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showInkAnnotation="0" autoCompressPictures="0"/>
  <mc:AlternateContent xmlns:mc="http://schemas.openxmlformats.org/markup-compatibility/2006">
    <mc:Choice Requires="x15">
      <x15ac:absPath xmlns:x15ac="http://schemas.microsoft.com/office/spreadsheetml/2010/11/ac" url="/Users/tove/Documents/Kurser/Skoleårets planlægning/2024-2025/Lærer/Værktøj/"/>
    </mc:Choice>
  </mc:AlternateContent>
  <xr:revisionPtr revIDLastSave="0" documentId="8_{5E5A67C8-FDAB-9145-93D6-3DDE8DE469A1}" xr6:coauthVersionLast="47" xr6:coauthVersionMax="47" xr10:uidLastSave="{00000000-0000-0000-0000-000000000000}"/>
  <bookViews>
    <workbookView xWindow="0" yWindow="500" windowWidth="27960" windowHeight="17500" tabRatio="500" xr2:uid="{00000000-000D-0000-FFFF-FFFF00000000}"/>
  </bookViews>
  <sheets>
    <sheet name="Vejledning" sheetId="21" r:id="rId1"/>
    <sheet name="Ændringer i forhold til 23-24" sheetId="80" r:id="rId2"/>
    <sheet name="Gode råd til check" sheetId="81" r:id="rId3"/>
    <sheet name="Opgørelse af arbejdstiden" sheetId="85" r:id="rId4"/>
    <sheet name="Stamoplysninger" sheetId="62" r:id="rId5"/>
    <sheet name="Skemaoplysninger" sheetId="43" r:id="rId6"/>
    <sheet name="August" sheetId="41" r:id="rId7"/>
    <sheet name="September" sheetId="63" r:id="rId8"/>
    <sheet name="Oktober" sheetId="64" r:id="rId9"/>
    <sheet name="November" sheetId="65" r:id="rId10"/>
    <sheet name="December" sheetId="66" r:id="rId11"/>
    <sheet name="Januar" sheetId="67" r:id="rId12"/>
    <sheet name="Februar" sheetId="68" r:id="rId13"/>
    <sheet name="Marts" sheetId="69" r:id="rId14"/>
    <sheet name="April" sheetId="70" r:id="rId15"/>
    <sheet name="Maj" sheetId="71" r:id="rId16"/>
    <sheet name="Juni" sheetId="72" r:id="rId17"/>
    <sheet name="Juli" sheetId="73" r:id="rId18"/>
    <sheet name="Arbejdstidsoversigt" sheetId="1" r:id="rId19"/>
    <sheet name="Opgaver" sheetId="44" r:id="rId20"/>
    <sheet name="Opgørelse" sheetId="50" r:id="rId21"/>
    <sheet name="Undervisningstillæg" sheetId="61" r:id="rId22"/>
    <sheet name="Ulempe-weekendtillæg" sheetId="74" r:id="rId23"/>
    <sheet name="Vejledning til arb.tidsoversigt" sheetId="20" state="hidden" r:id="rId24"/>
    <sheet name="Opgaveoversigt" sheetId="2" state="hidden" r:id="rId25"/>
    <sheet name="Aften-weekendtillæg" sheetId="5" state="hidden" r:id="rId26"/>
    <sheet name="Aar" sheetId="23" r:id="rId27"/>
    <sheet name="1.halvaar" sheetId="24" r:id="rId28"/>
    <sheet name="2.halvaar" sheetId="25" r:id="rId29"/>
    <sheet name="Skema 1 til print" sheetId="46" r:id="rId30"/>
    <sheet name="Skema 2 til print" sheetId="47" r:id="rId31"/>
    <sheet name="Skema 3 til print" sheetId="49" r:id="rId32"/>
    <sheet name="Skema 4 til print" sheetId="48" r:id="rId33"/>
    <sheet name="TOMT ÅR" sheetId="82" r:id="rId34"/>
    <sheet name="TOMT 1. HALVÅR" sheetId="83" r:id="rId35"/>
    <sheet name="TOMT 2. HALVÅR" sheetId="84" r:id="rId36"/>
  </sheets>
  <externalReferences>
    <externalReference r:id="rId37"/>
    <externalReference r:id="rId38"/>
    <externalReference r:id="rId39"/>
  </externalReferences>
  <definedNames>
    <definedName name="april" localSheetId="22">[1]Maaned!$AR$5:$AR$34</definedName>
    <definedName name="April">April!$C$9:$C$38</definedName>
    <definedName name="April1">[2]April!$C$10:$C$39</definedName>
    <definedName name="AUG" localSheetId="14">April!$D$9:$D$38</definedName>
    <definedName name="AUG" localSheetId="10">December!$D$9:$D$39</definedName>
    <definedName name="AUG" localSheetId="12">Februar!$D$9:$D$36</definedName>
    <definedName name="AUG" localSheetId="11">Januar!$D$9:$D$39</definedName>
    <definedName name="AUG" localSheetId="17">Juli!$D$9:$D$39</definedName>
    <definedName name="AUG" localSheetId="16">Juni!$D$9:$D$38</definedName>
    <definedName name="AUG" localSheetId="15">Maj!$D$9:$D$39</definedName>
    <definedName name="AUG" localSheetId="13">Marts!$D$9:$D$39</definedName>
    <definedName name="AUG" localSheetId="9">November!$D$9:$D$38</definedName>
    <definedName name="AUG" localSheetId="8">Oktober!$D$9:$D$39</definedName>
    <definedName name="AUG" localSheetId="7">September!$D$9:$D$38</definedName>
    <definedName name="AUG">August!$D$10:$D$40</definedName>
    <definedName name="august" localSheetId="14">April!$D$9:$D$38</definedName>
    <definedName name="august" localSheetId="6">August!$D$10:$D$40</definedName>
    <definedName name="august" localSheetId="10">December!$D$9:$D$39</definedName>
    <definedName name="august" localSheetId="12">Februar!$D$9:$D$36</definedName>
    <definedName name="august" localSheetId="11">Januar!$D$9:$D$39</definedName>
    <definedName name="august" localSheetId="17">Juli!$D$9:$D$39</definedName>
    <definedName name="august" localSheetId="16">Juni!$D$9:$D$38</definedName>
    <definedName name="august" localSheetId="15">Maj!$D$9:$D$39</definedName>
    <definedName name="august" localSheetId="13">Marts!$D$9:$D$39</definedName>
    <definedName name="august" localSheetId="9">November!$D$9:$D$38</definedName>
    <definedName name="august" localSheetId="8">Oktober!$D$9:$D$39</definedName>
    <definedName name="august" localSheetId="7">September!$D$9:$D$38</definedName>
    <definedName name="AUGUST">August!$C$10:$C$40</definedName>
    <definedName name="dagapr">[1]Maaned!$AQ$5:$AQ$34</definedName>
    <definedName name="dagaug">[1]Maaned!$C$5:$C$35</definedName>
    <definedName name="dagdec">[1]Maaned!$W$5:$W$35</definedName>
    <definedName name="dagfeb">[1]Maaned!$AG$5:$AG$33</definedName>
    <definedName name="dagjan">[1]Maaned!$AB$5:$AB$35</definedName>
    <definedName name="dagjul">[1]Maaned!$BF$5:$BF$35</definedName>
    <definedName name="dagjun">[1]Maaned!$BA$5:$BA$34</definedName>
    <definedName name="dagmaj">[1]Maaned!$AV$5:$AV$35</definedName>
    <definedName name="dagmar">[1]Maaned!$AL$5:$AL$35</definedName>
    <definedName name="dagnov">[1]Maaned!$R$5:$R$34</definedName>
    <definedName name="dagokt">[1]Maaned!$M$5:$M$35</definedName>
    <definedName name="dagsep">[1]Maaned!$H$5:$H$34</definedName>
    <definedName name="December">December!$C$9:$C$39</definedName>
    <definedName name="December1">[2]December!$C$10:$C$40</definedName>
    <definedName name="Februar">Februar!$C$9:$C$37</definedName>
    <definedName name="Februar1">[2]Februar!$C$10:$C$38</definedName>
    <definedName name="fridageGrå" localSheetId="33">'TOMT ÅR'!fridageGrå</definedName>
    <definedName name="fridageGrå" localSheetId="22">'Ulempe-weekendtillæg'!fridageGrå</definedName>
    <definedName name="fridageGrå" localSheetId="26">Aar!fridageGrå</definedName>
    <definedName name="fridageGrå">[0]!fridageGrå</definedName>
    <definedName name="Januar">Januar!$C$9:$C$39</definedName>
    <definedName name="Januar1">[2]Januar!$C$10:$C$40</definedName>
    <definedName name="Juli">Juli!$C$9:$C$39</definedName>
    <definedName name="Juli1">[2]Juli!$C$10:$C$40</definedName>
    <definedName name="Juni">Juni!$C$9:$C$38</definedName>
    <definedName name="Juni1">[2]Juni!$C$10:$C$39</definedName>
    <definedName name="Maj">Maj!$C$9:$C$39</definedName>
    <definedName name="Majmåned">[2]Maj!$C$10:$C$40</definedName>
    <definedName name="Marts">Marts!$C$9:$C$39</definedName>
    <definedName name="Marts1">[2]Marts!$C$10:$C$40</definedName>
    <definedName name="November">November!$C$9:$C$38</definedName>
    <definedName name="November1">[2]November!$C$10:$C$39</definedName>
    <definedName name="Oktober">Oktober!$C$9:$C$39</definedName>
    <definedName name="Oktober1">[2]Oktober!$C$10:$C$40</definedName>
    <definedName name="SEPTEMBER">September!$C$9:$C$38</definedName>
    <definedName name="September1">[2]September!$C$10:$C$39</definedName>
    <definedName name="Skema_1">Februar!$C$9:$C$37</definedName>
    <definedName name="skolenavn" localSheetId="22">#REF!</definedName>
    <definedName name="skolenavn">#REF!</definedName>
    <definedName name="_xlnm.Print_Area" localSheetId="27">'1.halvaar'!$A$1:$AD$41</definedName>
    <definedName name="_xlnm.Print_Area" localSheetId="28">'2.halvaar'!$A$1:$AD$40</definedName>
    <definedName name="_xlnm.Print_Area" localSheetId="14">April!$A$5:$R$39</definedName>
    <definedName name="_xlnm.Print_Area" localSheetId="18">Arbejdstidsoversigt!$A$8:$J$109</definedName>
    <definedName name="_xlnm.Print_Area" localSheetId="6">August!$A$6:$R$41</definedName>
    <definedName name="_xlnm.Print_Area" localSheetId="10">December!$A$5:$R$40</definedName>
    <definedName name="_xlnm.Print_Area" localSheetId="12">Februar!$A$5:$R$38</definedName>
    <definedName name="_xlnm.Print_Area" localSheetId="11">Januar!$A$5:$R$40</definedName>
    <definedName name="_xlnm.Print_Area" localSheetId="17">Juli!$A$5:$R$40</definedName>
    <definedName name="_xlnm.Print_Area" localSheetId="16">Juni!$A$5:$R$39</definedName>
    <definedName name="_xlnm.Print_Area" localSheetId="15">Maj!$A$5:$R$40</definedName>
    <definedName name="_xlnm.Print_Area" localSheetId="13">Marts!$A$5:$R$40</definedName>
    <definedName name="_xlnm.Print_Area" localSheetId="9">November!$A$5:$R$39</definedName>
    <definedName name="_xlnm.Print_Area" localSheetId="8">Oktober!$A$5:$R$40</definedName>
    <definedName name="_xlnm.Print_Area" localSheetId="19">Opgaver!$A$23:$K$117</definedName>
    <definedName name="_xlnm.Print_Area" localSheetId="20">Opgørelse!$A$1:$H$59</definedName>
    <definedName name="_xlnm.Print_Area" localSheetId="7">September!$A$5:$R$39</definedName>
    <definedName name="_xlnm.Print_Area" localSheetId="5">Skemaoplysninger!$A$5:$BC$91</definedName>
    <definedName name="_xlnm.Print_Area" localSheetId="4">Stamoplysninger!$A$5:$H$31</definedName>
    <definedName name="_xlnm.Print_Area" localSheetId="35">'TOMT 2. HALVÅR'!$A$1:$X$33</definedName>
    <definedName name="_xlnm.Print_Area" localSheetId="22">'Ulempe-weekendtillæg'!$A$1:$D$33</definedName>
    <definedName name="_xlnm.Print_Area" localSheetId="21">Undervisningstillæg!$A$1:$J$39</definedName>
    <definedName name="_xlnm.Print_Area" localSheetId="0">Vejledning!$B$3:$B$98</definedName>
    <definedName name="_xlnm.Print_Area" localSheetId="26">Aar!$A$1:$AV$37</definedName>
    <definedName name="Ugenr" localSheetId="33">'TOMT ÅR'!Ugenr</definedName>
    <definedName name="Ugenr" localSheetId="22">'Ulempe-weekendtillæg'!Ugenr</definedName>
    <definedName name="Ugenr">[0]!Ugenr</definedName>
    <definedName name="Årstal" localSheetId="26">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C37" i="73" l="1"/>
  <c r="ED37" i="73"/>
  <c r="EE37" i="73"/>
  <c r="EF37" i="73"/>
  <c r="EG37" i="73"/>
  <c r="EH37" i="73"/>
  <c r="EI37" i="73"/>
  <c r="EJ37" i="73"/>
  <c r="EK37" i="73"/>
  <c r="EL37" i="73"/>
  <c r="EM37" i="73"/>
  <c r="EN37" i="73"/>
  <c r="EO37" i="73"/>
  <c r="EP37" i="73"/>
  <c r="EQ37" i="73"/>
  <c r="ER37" i="73"/>
  <c r="ES37" i="73"/>
  <c r="ET37" i="73"/>
  <c r="EU37" i="73"/>
  <c r="EV37" i="73"/>
  <c r="EW37" i="73"/>
  <c r="EX37" i="73"/>
  <c r="EY37" i="73"/>
  <c r="EZ37" i="73"/>
  <c r="FA37" i="73"/>
  <c r="FB37" i="73"/>
  <c r="FC37" i="73"/>
  <c r="FD37" i="73"/>
  <c r="FE37" i="73"/>
  <c r="FF37" i="73"/>
  <c r="FG37" i="73"/>
  <c r="FH37" i="73"/>
  <c r="FI37" i="73"/>
  <c r="FJ37" i="73"/>
  <c r="FK37" i="73"/>
  <c r="FL37" i="73"/>
  <c r="FM37" i="73"/>
  <c r="FN37" i="73"/>
  <c r="FO37" i="73"/>
  <c r="FP37" i="73"/>
  <c r="FQ37" i="73"/>
  <c r="FR37" i="73"/>
  <c r="FS37" i="73"/>
  <c r="FT37" i="73"/>
  <c r="FU37" i="73"/>
  <c r="FV37" i="73"/>
  <c r="FW37" i="73"/>
  <c r="FX37" i="73"/>
  <c r="FY37" i="73"/>
  <c r="FZ37" i="73"/>
  <c r="GA37" i="73"/>
  <c r="GB37" i="73"/>
  <c r="GC37" i="73"/>
  <c r="EC38" i="73"/>
  <c r="ED38" i="73"/>
  <c r="EE38" i="73"/>
  <c r="EF38" i="73"/>
  <c r="EG38" i="73"/>
  <c r="EH38" i="73"/>
  <c r="EI38" i="73"/>
  <c r="EJ38" i="73"/>
  <c r="EK38" i="73"/>
  <c r="EL38" i="73"/>
  <c r="EM38" i="73"/>
  <c r="EN38" i="73"/>
  <c r="EO38" i="73"/>
  <c r="EP38" i="73"/>
  <c r="EQ38" i="73"/>
  <c r="ER38" i="73"/>
  <c r="ES38" i="73"/>
  <c r="ET38" i="73"/>
  <c r="EU38" i="73"/>
  <c r="EV38" i="73"/>
  <c r="EW38" i="73"/>
  <c r="EX38" i="73"/>
  <c r="EY38" i="73"/>
  <c r="EZ38" i="73"/>
  <c r="FA38" i="73"/>
  <c r="FB38" i="73"/>
  <c r="FC38" i="73"/>
  <c r="FD38" i="73"/>
  <c r="FE38" i="73"/>
  <c r="FF38" i="73"/>
  <c r="FG38" i="73"/>
  <c r="FH38" i="73"/>
  <c r="FI38" i="73"/>
  <c r="FJ38" i="73"/>
  <c r="FK38" i="73"/>
  <c r="FL38" i="73"/>
  <c r="FM38" i="73"/>
  <c r="FN38" i="73"/>
  <c r="FO38" i="73"/>
  <c r="FP38" i="73"/>
  <c r="FQ38" i="73"/>
  <c r="FR38" i="73"/>
  <c r="FS38" i="73"/>
  <c r="FT38" i="73"/>
  <c r="FU38" i="73"/>
  <c r="FV38" i="73"/>
  <c r="FW38" i="73"/>
  <c r="FX38" i="73"/>
  <c r="FY38" i="73"/>
  <c r="FZ38" i="73"/>
  <c r="GA38" i="73"/>
  <c r="GB38" i="73"/>
  <c r="GC38" i="73"/>
  <c r="EC39" i="73"/>
  <c r="ED39" i="73"/>
  <c r="EE39" i="73"/>
  <c r="EF39" i="73"/>
  <c r="EG39" i="73"/>
  <c r="EH39" i="73"/>
  <c r="EI39" i="73"/>
  <c r="EJ39" i="73"/>
  <c r="EK39" i="73"/>
  <c r="EL39" i="73"/>
  <c r="EM39" i="73"/>
  <c r="EN39" i="73"/>
  <c r="EO39" i="73"/>
  <c r="EP39" i="73"/>
  <c r="EQ39" i="73"/>
  <c r="ER39" i="73"/>
  <c r="ES39" i="73"/>
  <c r="ET39" i="73"/>
  <c r="EU39" i="73"/>
  <c r="EV39" i="73"/>
  <c r="EW39" i="73"/>
  <c r="EX39" i="73"/>
  <c r="EY39" i="73"/>
  <c r="EZ39" i="73"/>
  <c r="FA39" i="73"/>
  <c r="FB39" i="73"/>
  <c r="FC39" i="73"/>
  <c r="FD39" i="73"/>
  <c r="FE39" i="73"/>
  <c r="FF39" i="73"/>
  <c r="FG39" i="73"/>
  <c r="FH39" i="73"/>
  <c r="FI39" i="73"/>
  <c r="FJ39" i="73"/>
  <c r="FK39" i="73"/>
  <c r="FL39" i="73"/>
  <c r="FM39" i="73"/>
  <c r="FN39" i="73"/>
  <c r="FO39" i="73"/>
  <c r="FP39" i="73"/>
  <c r="FQ39" i="73"/>
  <c r="FR39" i="73"/>
  <c r="FS39" i="73"/>
  <c r="FT39" i="73"/>
  <c r="FU39" i="73"/>
  <c r="FV39" i="73"/>
  <c r="FW39" i="73"/>
  <c r="FX39" i="73"/>
  <c r="FY39" i="73"/>
  <c r="FZ39" i="73"/>
  <c r="GA39" i="73"/>
  <c r="GB39" i="73"/>
  <c r="GC39" i="73"/>
  <c r="EC37" i="72"/>
  <c r="ED37" i="72"/>
  <c r="EE37" i="72"/>
  <c r="EF37" i="72"/>
  <c r="EG37" i="72"/>
  <c r="EH37" i="72"/>
  <c r="EI37" i="72"/>
  <c r="EJ37" i="72"/>
  <c r="EK37" i="72"/>
  <c r="EL37" i="72"/>
  <c r="EM37" i="72"/>
  <c r="EN37" i="72"/>
  <c r="EO37" i="72"/>
  <c r="EP37" i="72"/>
  <c r="EQ37" i="72"/>
  <c r="ER37" i="72"/>
  <c r="ES37" i="72"/>
  <c r="ET37" i="72"/>
  <c r="EU37" i="72"/>
  <c r="EV37" i="72"/>
  <c r="EW37" i="72"/>
  <c r="EX37" i="72"/>
  <c r="EY37" i="72"/>
  <c r="EZ37" i="72"/>
  <c r="FA37" i="72"/>
  <c r="FB37" i="72"/>
  <c r="FC37" i="72"/>
  <c r="FD37" i="72"/>
  <c r="FE37" i="72"/>
  <c r="FF37" i="72"/>
  <c r="FG37" i="72"/>
  <c r="FH37" i="72"/>
  <c r="FI37" i="72"/>
  <c r="FJ37" i="72"/>
  <c r="FK37" i="72"/>
  <c r="FL37" i="72"/>
  <c r="FM37" i="72"/>
  <c r="FN37" i="72"/>
  <c r="FO37" i="72"/>
  <c r="FP37" i="72"/>
  <c r="FQ37" i="72"/>
  <c r="FR37" i="72"/>
  <c r="FS37" i="72"/>
  <c r="FT37" i="72"/>
  <c r="FU37" i="72"/>
  <c r="FV37" i="72"/>
  <c r="FW37" i="72"/>
  <c r="FX37" i="72"/>
  <c r="FY37" i="72"/>
  <c r="FZ37" i="72"/>
  <c r="GA37" i="72"/>
  <c r="GB37" i="72"/>
  <c r="GC37" i="72"/>
  <c r="EC38" i="72"/>
  <c r="ED38" i="72"/>
  <c r="EE38" i="72"/>
  <c r="EF38" i="72"/>
  <c r="EG38" i="72"/>
  <c r="EH38" i="72"/>
  <c r="EI38" i="72"/>
  <c r="EJ38" i="72"/>
  <c r="EK38" i="72"/>
  <c r="EL38" i="72"/>
  <c r="EM38" i="72"/>
  <c r="EN38" i="72"/>
  <c r="EO38" i="72"/>
  <c r="EP38" i="72"/>
  <c r="EQ38" i="72"/>
  <c r="ER38" i="72"/>
  <c r="ES38" i="72"/>
  <c r="ET38" i="72"/>
  <c r="EU38" i="72"/>
  <c r="EV38" i="72"/>
  <c r="EW38" i="72"/>
  <c r="EX38" i="72"/>
  <c r="EY38" i="72"/>
  <c r="EZ38" i="72"/>
  <c r="FA38" i="72"/>
  <c r="FB38" i="72"/>
  <c r="FC38" i="72"/>
  <c r="FD38" i="72"/>
  <c r="FE38" i="72"/>
  <c r="FF38" i="72"/>
  <c r="FG38" i="72"/>
  <c r="FH38" i="72"/>
  <c r="FI38" i="72"/>
  <c r="FJ38" i="72"/>
  <c r="FK38" i="72"/>
  <c r="FL38" i="72"/>
  <c r="FM38" i="72"/>
  <c r="FN38" i="72"/>
  <c r="FO38" i="72"/>
  <c r="FP38" i="72"/>
  <c r="FQ38" i="72"/>
  <c r="FR38" i="72"/>
  <c r="FS38" i="72"/>
  <c r="FT38" i="72"/>
  <c r="FU38" i="72"/>
  <c r="FV38" i="72"/>
  <c r="FW38" i="72"/>
  <c r="FX38" i="72"/>
  <c r="FY38" i="72"/>
  <c r="FZ38" i="72"/>
  <c r="GA38" i="72"/>
  <c r="GB38" i="72"/>
  <c r="GC38" i="72"/>
  <c r="EC37" i="71"/>
  <c r="ED37" i="71"/>
  <c r="EE37" i="71"/>
  <c r="EF37" i="71"/>
  <c r="EG37" i="71"/>
  <c r="EH37" i="71"/>
  <c r="EI37" i="71"/>
  <c r="EJ37" i="71"/>
  <c r="EK37" i="71"/>
  <c r="EL37" i="71"/>
  <c r="EM37" i="71"/>
  <c r="EN37" i="71"/>
  <c r="EO37" i="71"/>
  <c r="EP37" i="71"/>
  <c r="EQ37" i="71"/>
  <c r="ER37" i="71"/>
  <c r="ES37" i="71"/>
  <c r="ET37" i="71"/>
  <c r="EU37" i="71"/>
  <c r="EV37" i="71"/>
  <c r="EW37" i="71"/>
  <c r="EX37" i="71"/>
  <c r="EY37" i="71"/>
  <c r="EZ37" i="71"/>
  <c r="FA37" i="71"/>
  <c r="FB37" i="71"/>
  <c r="FC37" i="71"/>
  <c r="FD37" i="71"/>
  <c r="FE37" i="71"/>
  <c r="FF37" i="71"/>
  <c r="FG37" i="71"/>
  <c r="FH37" i="71"/>
  <c r="FI37" i="71"/>
  <c r="FJ37" i="71"/>
  <c r="FK37" i="71"/>
  <c r="FL37" i="71"/>
  <c r="FM37" i="71"/>
  <c r="FN37" i="71"/>
  <c r="FO37" i="71"/>
  <c r="FP37" i="71"/>
  <c r="FQ37" i="71"/>
  <c r="FR37" i="71"/>
  <c r="FS37" i="71"/>
  <c r="FT37" i="71"/>
  <c r="FU37" i="71"/>
  <c r="FV37" i="71"/>
  <c r="FW37" i="71"/>
  <c r="FX37" i="71"/>
  <c r="FY37" i="71"/>
  <c r="FZ37" i="71"/>
  <c r="GA37" i="71"/>
  <c r="GB37" i="71"/>
  <c r="GC37" i="71"/>
  <c r="EC38" i="71"/>
  <c r="ED38" i="71"/>
  <c r="EE38" i="71"/>
  <c r="EF38" i="71"/>
  <c r="EG38" i="71"/>
  <c r="EH38" i="71"/>
  <c r="EI38" i="71"/>
  <c r="EJ38" i="71"/>
  <c r="EK38" i="71"/>
  <c r="EL38" i="71"/>
  <c r="EM38" i="71"/>
  <c r="EN38" i="71"/>
  <c r="EO38" i="71"/>
  <c r="EP38" i="71"/>
  <c r="EQ38" i="71"/>
  <c r="ER38" i="71"/>
  <c r="ES38" i="71"/>
  <c r="ET38" i="71"/>
  <c r="EU38" i="71"/>
  <c r="EV38" i="71"/>
  <c r="EW38" i="71"/>
  <c r="EX38" i="71"/>
  <c r="EY38" i="71"/>
  <c r="EZ38" i="71"/>
  <c r="FA38" i="71"/>
  <c r="FB38" i="71"/>
  <c r="FC38" i="71"/>
  <c r="FD38" i="71"/>
  <c r="FE38" i="71"/>
  <c r="FF38" i="71"/>
  <c r="FG38" i="71"/>
  <c r="FH38" i="71"/>
  <c r="FI38" i="71"/>
  <c r="FJ38" i="71"/>
  <c r="FK38" i="71"/>
  <c r="FL38" i="71"/>
  <c r="FM38" i="71"/>
  <c r="FN38" i="71"/>
  <c r="FO38" i="71"/>
  <c r="FP38" i="71"/>
  <c r="FQ38" i="71"/>
  <c r="FR38" i="71"/>
  <c r="FS38" i="71"/>
  <c r="FT38" i="71"/>
  <c r="FU38" i="71"/>
  <c r="FV38" i="71"/>
  <c r="FW38" i="71"/>
  <c r="FX38" i="71"/>
  <c r="FY38" i="71"/>
  <c r="FZ38" i="71"/>
  <c r="GA38" i="71"/>
  <c r="GB38" i="71"/>
  <c r="GC38" i="71"/>
  <c r="EC39" i="71"/>
  <c r="ED39" i="71"/>
  <c r="EE39" i="71"/>
  <c r="EF39" i="71"/>
  <c r="EG39" i="71"/>
  <c r="EH39" i="71"/>
  <c r="EI39" i="71"/>
  <c r="EJ39" i="71"/>
  <c r="EK39" i="71"/>
  <c r="EL39" i="71"/>
  <c r="EM39" i="71"/>
  <c r="EN39" i="71"/>
  <c r="EO39" i="71"/>
  <c r="EP39" i="71"/>
  <c r="EQ39" i="71"/>
  <c r="ER39" i="71"/>
  <c r="ES39" i="71"/>
  <c r="ET39" i="71"/>
  <c r="EU39" i="71"/>
  <c r="EV39" i="71"/>
  <c r="EW39" i="71"/>
  <c r="EX39" i="71"/>
  <c r="EY39" i="71"/>
  <c r="EZ39" i="71"/>
  <c r="FA39" i="71"/>
  <c r="FB39" i="71"/>
  <c r="FC39" i="71"/>
  <c r="FD39" i="71"/>
  <c r="FE39" i="71"/>
  <c r="FF39" i="71"/>
  <c r="FG39" i="71"/>
  <c r="FH39" i="71"/>
  <c r="FI39" i="71"/>
  <c r="FJ39" i="71"/>
  <c r="FK39" i="71"/>
  <c r="FL39" i="71"/>
  <c r="FM39" i="71"/>
  <c r="FN39" i="71"/>
  <c r="FO39" i="71"/>
  <c r="FP39" i="71"/>
  <c r="FQ39" i="71"/>
  <c r="FR39" i="71"/>
  <c r="FS39" i="71"/>
  <c r="FT39" i="71"/>
  <c r="FU39" i="71"/>
  <c r="FV39" i="71"/>
  <c r="FW39" i="71"/>
  <c r="FX39" i="71"/>
  <c r="FY39" i="71"/>
  <c r="FZ39" i="71"/>
  <c r="GA39" i="71"/>
  <c r="GB39" i="71"/>
  <c r="GC39" i="71"/>
  <c r="EC37" i="70"/>
  <c r="ED37" i="70"/>
  <c r="EE37" i="70"/>
  <c r="EF37" i="70"/>
  <c r="EG37" i="70"/>
  <c r="EH37" i="70"/>
  <c r="EI37" i="70"/>
  <c r="EJ37" i="70"/>
  <c r="EK37" i="70"/>
  <c r="EL37" i="70"/>
  <c r="EM37" i="70"/>
  <c r="EN37" i="70"/>
  <c r="EO37" i="70"/>
  <c r="EP37" i="70"/>
  <c r="EQ37" i="70"/>
  <c r="ER37" i="70"/>
  <c r="ES37" i="70"/>
  <c r="ET37" i="70"/>
  <c r="EU37" i="70"/>
  <c r="EV37" i="70"/>
  <c r="EW37" i="70"/>
  <c r="EX37" i="70"/>
  <c r="EY37" i="70"/>
  <c r="EZ37" i="70"/>
  <c r="FA37" i="70"/>
  <c r="FB37" i="70"/>
  <c r="FC37" i="70"/>
  <c r="FD37" i="70"/>
  <c r="FE37" i="70"/>
  <c r="FF37" i="70"/>
  <c r="FG37" i="70"/>
  <c r="FH37" i="70"/>
  <c r="FI37" i="70"/>
  <c r="FJ37" i="70"/>
  <c r="FK37" i="70"/>
  <c r="FL37" i="70"/>
  <c r="FM37" i="70"/>
  <c r="FN37" i="70"/>
  <c r="FO37" i="70"/>
  <c r="FP37" i="70"/>
  <c r="FQ37" i="70"/>
  <c r="FR37" i="70"/>
  <c r="FS37" i="70"/>
  <c r="FT37" i="70"/>
  <c r="FU37" i="70"/>
  <c r="FV37" i="70"/>
  <c r="FW37" i="70"/>
  <c r="FX37" i="70"/>
  <c r="FY37" i="70"/>
  <c r="FZ37" i="70"/>
  <c r="GA37" i="70"/>
  <c r="GB37" i="70"/>
  <c r="GC37" i="70"/>
  <c r="EC38" i="70"/>
  <c r="ED38" i="70"/>
  <c r="EE38" i="70"/>
  <c r="EF38" i="70"/>
  <c r="EG38" i="70"/>
  <c r="EH38" i="70"/>
  <c r="EI38" i="70"/>
  <c r="EJ38" i="70"/>
  <c r="EK38" i="70"/>
  <c r="EL38" i="70"/>
  <c r="EM38" i="70"/>
  <c r="EN38" i="70"/>
  <c r="EO38" i="70"/>
  <c r="EP38" i="70"/>
  <c r="EQ38" i="70"/>
  <c r="ER38" i="70"/>
  <c r="ES38" i="70"/>
  <c r="ET38" i="70"/>
  <c r="EU38" i="70"/>
  <c r="EV38" i="70"/>
  <c r="EW38" i="70"/>
  <c r="EX38" i="70"/>
  <c r="EY38" i="70"/>
  <c r="EZ38" i="70"/>
  <c r="FA38" i="70"/>
  <c r="FB38" i="70"/>
  <c r="FC38" i="70"/>
  <c r="FD38" i="70"/>
  <c r="FE38" i="70"/>
  <c r="FF38" i="70"/>
  <c r="FG38" i="70"/>
  <c r="FH38" i="70"/>
  <c r="FI38" i="70"/>
  <c r="FJ38" i="70"/>
  <c r="FK38" i="70"/>
  <c r="FL38" i="70"/>
  <c r="FM38" i="70"/>
  <c r="FN38" i="70"/>
  <c r="FO38" i="70"/>
  <c r="FP38" i="70"/>
  <c r="FQ38" i="70"/>
  <c r="FR38" i="70"/>
  <c r="FS38" i="70"/>
  <c r="FT38" i="70"/>
  <c r="FU38" i="70"/>
  <c r="FV38" i="70"/>
  <c r="FW38" i="70"/>
  <c r="FX38" i="70"/>
  <c r="FY38" i="70"/>
  <c r="FZ38" i="70"/>
  <c r="GA38" i="70"/>
  <c r="GB38" i="70"/>
  <c r="GC38" i="70"/>
  <c r="EC37" i="69"/>
  <c r="ED37" i="69"/>
  <c r="EE37" i="69"/>
  <c r="EF37" i="69"/>
  <c r="EG37" i="69"/>
  <c r="EH37" i="69"/>
  <c r="EI37" i="69"/>
  <c r="EJ37" i="69"/>
  <c r="EK37" i="69"/>
  <c r="EL37" i="69"/>
  <c r="EM37" i="69"/>
  <c r="EN37" i="69"/>
  <c r="EO37" i="69"/>
  <c r="EP37" i="69"/>
  <c r="EQ37" i="69"/>
  <c r="ER37" i="69"/>
  <c r="ES37" i="69"/>
  <c r="ET37" i="69"/>
  <c r="EU37" i="69"/>
  <c r="EV37" i="69"/>
  <c r="EW37" i="69"/>
  <c r="EX37" i="69"/>
  <c r="EY37" i="69"/>
  <c r="EZ37" i="69"/>
  <c r="FA37" i="69"/>
  <c r="FB37" i="69"/>
  <c r="FC37" i="69"/>
  <c r="FD37" i="69"/>
  <c r="FE37" i="69"/>
  <c r="FF37" i="69"/>
  <c r="FG37" i="69"/>
  <c r="FH37" i="69"/>
  <c r="FI37" i="69"/>
  <c r="FJ37" i="69"/>
  <c r="FK37" i="69"/>
  <c r="FL37" i="69"/>
  <c r="FM37" i="69"/>
  <c r="FN37" i="69"/>
  <c r="FO37" i="69"/>
  <c r="FP37" i="69"/>
  <c r="FQ37" i="69"/>
  <c r="FR37" i="69"/>
  <c r="FS37" i="69"/>
  <c r="FT37" i="69"/>
  <c r="FU37" i="69"/>
  <c r="FV37" i="69"/>
  <c r="FW37" i="69"/>
  <c r="FX37" i="69"/>
  <c r="FY37" i="69"/>
  <c r="FZ37" i="69"/>
  <c r="GA37" i="69"/>
  <c r="GB37" i="69"/>
  <c r="GC37" i="69"/>
  <c r="EC38" i="69"/>
  <c r="ED38" i="69"/>
  <c r="EE38" i="69"/>
  <c r="EF38" i="69"/>
  <c r="EG38" i="69"/>
  <c r="EH38" i="69"/>
  <c r="EI38" i="69"/>
  <c r="EJ38" i="69"/>
  <c r="EK38" i="69"/>
  <c r="EL38" i="69"/>
  <c r="EM38" i="69"/>
  <c r="EN38" i="69"/>
  <c r="EO38" i="69"/>
  <c r="EP38" i="69"/>
  <c r="EQ38" i="69"/>
  <c r="ER38" i="69"/>
  <c r="ES38" i="69"/>
  <c r="ET38" i="69"/>
  <c r="EU38" i="69"/>
  <c r="EV38" i="69"/>
  <c r="EW38" i="69"/>
  <c r="EX38" i="69"/>
  <c r="EY38" i="69"/>
  <c r="EZ38" i="69"/>
  <c r="FA38" i="69"/>
  <c r="FB38" i="69"/>
  <c r="FC38" i="69"/>
  <c r="FD38" i="69"/>
  <c r="FE38" i="69"/>
  <c r="FF38" i="69"/>
  <c r="FG38" i="69"/>
  <c r="FH38" i="69"/>
  <c r="FI38" i="69"/>
  <c r="FJ38" i="69"/>
  <c r="FK38" i="69"/>
  <c r="FL38" i="69"/>
  <c r="FM38" i="69"/>
  <c r="FN38" i="69"/>
  <c r="FO38" i="69"/>
  <c r="FP38" i="69"/>
  <c r="FQ38" i="69"/>
  <c r="FR38" i="69"/>
  <c r="FS38" i="69"/>
  <c r="FT38" i="69"/>
  <c r="FU38" i="69"/>
  <c r="FV38" i="69"/>
  <c r="FW38" i="69"/>
  <c r="FX38" i="69"/>
  <c r="FY38" i="69"/>
  <c r="FZ38" i="69"/>
  <c r="GA38" i="69"/>
  <c r="GB38" i="69"/>
  <c r="GC38" i="69"/>
  <c r="EC39" i="69"/>
  <c r="ED39" i="69"/>
  <c r="EE39" i="69"/>
  <c r="EF39" i="69"/>
  <c r="EG39" i="69"/>
  <c r="EH39" i="69"/>
  <c r="EI39" i="69"/>
  <c r="EJ39" i="69"/>
  <c r="EK39" i="69"/>
  <c r="EL39" i="69"/>
  <c r="EM39" i="69"/>
  <c r="EN39" i="69"/>
  <c r="EO39" i="69"/>
  <c r="EP39" i="69"/>
  <c r="EQ39" i="69"/>
  <c r="ER39" i="69"/>
  <c r="ES39" i="69"/>
  <c r="ET39" i="69"/>
  <c r="EU39" i="69"/>
  <c r="EV39" i="69"/>
  <c r="EW39" i="69"/>
  <c r="EX39" i="69"/>
  <c r="EY39" i="69"/>
  <c r="EZ39" i="69"/>
  <c r="FA39" i="69"/>
  <c r="FB39" i="69"/>
  <c r="FC39" i="69"/>
  <c r="FD39" i="69"/>
  <c r="FE39" i="69"/>
  <c r="FF39" i="69"/>
  <c r="FG39" i="69"/>
  <c r="FH39" i="69"/>
  <c r="FI39" i="69"/>
  <c r="FJ39" i="69"/>
  <c r="FK39" i="69"/>
  <c r="FL39" i="69"/>
  <c r="FM39" i="69"/>
  <c r="FN39" i="69"/>
  <c r="FO39" i="69"/>
  <c r="FP39" i="69"/>
  <c r="FQ39" i="69"/>
  <c r="FR39" i="69"/>
  <c r="FS39" i="69"/>
  <c r="FT39" i="69"/>
  <c r="FU39" i="69"/>
  <c r="FV39" i="69"/>
  <c r="FW39" i="69"/>
  <c r="FX39" i="69"/>
  <c r="FY39" i="69"/>
  <c r="FZ39" i="69"/>
  <c r="GA39" i="69"/>
  <c r="GB39" i="69"/>
  <c r="GC39" i="69"/>
  <c r="EC37" i="67"/>
  <c r="ED37" i="67"/>
  <c r="EE37" i="67"/>
  <c r="EF37" i="67"/>
  <c r="EG37" i="67"/>
  <c r="EH37" i="67"/>
  <c r="EI37" i="67"/>
  <c r="EJ37" i="67"/>
  <c r="EK37" i="67"/>
  <c r="EL37" i="67"/>
  <c r="EM37" i="67"/>
  <c r="EN37" i="67"/>
  <c r="EO37" i="67"/>
  <c r="EP37" i="67"/>
  <c r="EQ37" i="67"/>
  <c r="ER37" i="67"/>
  <c r="ES37" i="67"/>
  <c r="ET37" i="67"/>
  <c r="EU37" i="67"/>
  <c r="EV37" i="67"/>
  <c r="EW37" i="67"/>
  <c r="EX37" i="67"/>
  <c r="EY37" i="67"/>
  <c r="EZ37" i="67"/>
  <c r="FA37" i="67"/>
  <c r="FB37" i="67"/>
  <c r="FC37" i="67"/>
  <c r="FD37" i="67"/>
  <c r="FE37" i="67"/>
  <c r="FF37" i="67"/>
  <c r="FG37" i="67"/>
  <c r="FH37" i="67"/>
  <c r="FI37" i="67"/>
  <c r="FJ37" i="67"/>
  <c r="FK37" i="67"/>
  <c r="FL37" i="67"/>
  <c r="FM37" i="67"/>
  <c r="FN37" i="67"/>
  <c r="FO37" i="67"/>
  <c r="FP37" i="67"/>
  <c r="FQ37" i="67"/>
  <c r="FR37" i="67"/>
  <c r="FS37" i="67"/>
  <c r="FT37" i="67"/>
  <c r="FU37" i="67"/>
  <c r="FV37" i="67"/>
  <c r="FW37" i="67"/>
  <c r="FX37" i="67"/>
  <c r="FY37" i="67"/>
  <c r="FZ37" i="67"/>
  <c r="GA37" i="67"/>
  <c r="GB37" i="67"/>
  <c r="GC37" i="67"/>
  <c r="EC38" i="67"/>
  <c r="ED38" i="67"/>
  <c r="EE38" i="67"/>
  <c r="EF38" i="67"/>
  <c r="EG38" i="67"/>
  <c r="EH38" i="67"/>
  <c r="EI38" i="67"/>
  <c r="EJ38" i="67"/>
  <c r="EK38" i="67"/>
  <c r="EL38" i="67"/>
  <c r="EM38" i="67"/>
  <c r="EN38" i="67"/>
  <c r="EO38" i="67"/>
  <c r="EP38" i="67"/>
  <c r="EQ38" i="67"/>
  <c r="ER38" i="67"/>
  <c r="ES38" i="67"/>
  <c r="ET38" i="67"/>
  <c r="EU38" i="67"/>
  <c r="EV38" i="67"/>
  <c r="EW38" i="67"/>
  <c r="EX38" i="67"/>
  <c r="EY38" i="67"/>
  <c r="EZ38" i="67"/>
  <c r="FA38" i="67"/>
  <c r="FB38" i="67"/>
  <c r="FC38" i="67"/>
  <c r="FD38" i="67"/>
  <c r="FE38" i="67"/>
  <c r="FF38" i="67"/>
  <c r="FG38" i="67"/>
  <c r="FH38" i="67"/>
  <c r="FI38" i="67"/>
  <c r="FJ38" i="67"/>
  <c r="FK38" i="67"/>
  <c r="FL38" i="67"/>
  <c r="FM38" i="67"/>
  <c r="FN38" i="67"/>
  <c r="FO38" i="67"/>
  <c r="FP38" i="67"/>
  <c r="FQ38" i="67"/>
  <c r="FR38" i="67"/>
  <c r="FS38" i="67"/>
  <c r="FT38" i="67"/>
  <c r="FU38" i="67"/>
  <c r="FV38" i="67"/>
  <c r="FW38" i="67"/>
  <c r="FX38" i="67"/>
  <c r="FY38" i="67"/>
  <c r="FZ38" i="67"/>
  <c r="GA38" i="67"/>
  <c r="GB38" i="67"/>
  <c r="GC38" i="67"/>
  <c r="EC39" i="67"/>
  <c r="ED39" i="67"/>
  <c r="EE39" i="67"/>
  <c r="EF39" i="67"/>
  <c r="EG39" i="67"/>
  <c r="EH39" i="67"/>
  <c r="EI39" i="67"/>
  <c r="EJ39" i="67"/>
  <c r="EK39" i="67"/>
  <c r="EL39" i="67"/>
  <c r="EM39" i="67"/>
  <c r="EN39" i="67"/>
  <c r="EO39" i="67"/>
  <c r="EP39" i="67"/>
  <c r="EQ39" i="67"/>
  <c r="ER39" i="67"/>
  <c r="ES39" i="67"/>
  <c r="ET39" i="67"/>
  <c r="EU39" i="67"/>
  <c r="EV39" i="67"/>
  <c r="EW39" i="67"/>
  <c r="EX39" i="67"/>
  <c r="EY39" i="67"/>
  <c r="EZ39" i="67"/>
  <c r="FA39" i="67"/>
  <c r="FB39" i="67"/>
  <c r="FC39" i="67"/>
  <c r="FD39" i="67"/>
  <c r="FE39" i="67"/>
  <c r="FF39" i="67"/>
  <c r="FG39" i="67"/>
  <c r="FH39" i="67"/>
  <c r="FI39" i="67"/>
  <c r="FJ39" i="67"/>
  <c r="FK39" i="67"/>
  <c r="FL39" i="67"/>
  <c r="FM39" i="67"/>
  <c r="FN39" i="67"/>
  <c r="FO39" i="67"/>
  <c r="FP39" i="67"/>
  <c r="FQ39" i="67"/>
  <c r="FR39" i="67"/>
  <c r="FS39" i="67"/>
  <c r="FT39" i="67"/>
  <c r="FU39" i="67"/>
  <c r="FV39" i="67"/>
  <c r="FW39" i="67"/>
  <c r="FX39" i="67"/>
  <c r="FY39" i="67"/>
  <c r="FZ39" i="67"/>
  <c r="GA39" i="67"/>
  <c r="GB39" i="67"/>
  <c r="GC39" i="67"/>
  <c r="EC37" i="66"/>
  <c r="ED37" i="66"/>
  <c r="EE37" i="66"/>
  <c r="EF37" i="66"/>
  <c r="EG37" i="66"/>
  <c r="EH37" i="66"/>
  <c r="EI37" i="66"/>
  <c r="EJ37" i="66"/>
  <c r="EK37" i="66"/>
  <c r="EL37" i="66"/>
  <c r="EM37" i="66"/>
  <c r="EN37" i="66"/>
  <c r="EO37" i="66"/>
  <c r="EP37" i="66"/>
  <c r="EQ37" i="66"/>
  <c r="ER37" i="66"/>
  <c r="ES37" i="66"/>
  <c r="ET37" i="66"/>
  <c r="EU37" i="66"/>
  <c r="EV37" i="66"/>
  <c r="EW37" i="66"/>
  <c r="EX37" i="66"/>
  <c r="EY37" i="66"/>
  <c r="EZ37" i="66"/>
  <c r="FA37" i="66"/>
  <c r="FB37" i="66"/>
  <c r="FC37" i="66"/>
  <c r="FD37" i="66"/>
  <c r="FE37" i="66"/>
  <c r="FF37" i="66"/>
  <c r="FG37" i="66"/>
  <c r="FH37" i="66"/>
  <c r="FI37" i="66"/>
  <c r="FJ37" i="66"/>
  <c r="FK37" i="66"/>
  <c r="FL37" i="66"/>
  <c r="FM37" i="66"/>
  <c r="FN37" i="66"/>
  <c r="FO37" i="66"/>
  <c r="FP37" i="66"/>
  <c r="FQ37" i="66"/>
  <c r="FR37" i="66"/>
  <c r="FS37" i="66"/>
  <c r="FT37" i="66"/>
  <c r="FU37" i="66"/>
  <c r="FV37" i="66"/>
  <c r="FW37" i="66"/>
  <c r="FX37" i="66"/>
  <c r="FY37" i="66"/>
  <c r="FZ37" i="66"/>
  <c r="GA37" i="66"/>
  <c r="GB37" i="66"/>
  <c r="GC37" i="66"/>
  <c r="EC38" i="66"/>
  <c r="ED38" i="66"/>
  <c r="EE38" i="66"/>
  <c r="EF38" i="66"/>
  <c r="EG38" i="66"/>
  <c r="EH38" i="66"/>
  <c r="EI38" i="66"/>
  <c r="EJ38" i="66"/>
  <c r="EK38" i="66"/>
  <c r="EL38" i="66"/>
  <c r="EM38" i="66"/>
  <c r="EN38" i="66"/>
  <c r="EO38" i="66"/>
  <c r="EP38" i="66"/>
  <c r="EQ38" i="66"/>
  <c r="ER38" i="66"/>
  <c r="ES38" i="66"/>
  <c r="ET38" i="66"/>
  <c r="EU38" i="66"/>
  <c r="EV38" i="66"/>
  <c r="EW38" i="66"/>
  <c r="EX38" i="66"/>
  <c r="EY38" i="66"/>
  <c r="EZ38" i="66"/>
  <c r="FA38" i="66"/>
  <c r="FB38" i="66"/>
  <c r="FC38" i="66"/>
  <c r="FD38" i="66"/>
  <c r="FE38" i="66"/>
  <c r="FF38" i="66"/>
  <c r="FG38" i="66"/>
  <c r="FH38" i="66"/>
  <c r="FI38" i="66"/>
  <c r="FJ38" i="66"/>
  <c r="FK38" i="66"/>
  <c r="FL38" i="66"/>
  <c r="FM38" i="66"/>
  <c r="FN38" i="66"/>
  <c r="FO38" i="66"/>
  <c r="FP38" i="66"/>
  <c r="FQ38" i="66"/>
  <c r="FR38" i="66"/>
  <c r="FS38" i="66"/>
  <c r="FT38" i="66"/>
  <c r="FU38" i="66"/>
  <c r="FV38" i="66"/>
  <c r="FW38" i="66"/>
  <c r="FX38" i="66"/>
  <c r="FY38" i="66"/>
  <c r="FZ38" i="66"/>
  <c r="GA38" i="66"/>
  <c r="GB38" i="66"/>
  <c r="GC38" i="66"/>
  <c r="EC39" i="66"/>
  <c r="ED39" i="66"/>
  <c r="EE39" i="66"/>
  <c r="EF39" i="66"/>
  <c r="EG39" i="66"/>
  <c r="EH39" i="66"/>
  <c r="EI39" i="66"/>
  <c r="EJ39" i="66"/>
  <c r="EK39" i="66"/>
  <c r="EL39" i="66"/>
  <c r="EM39" i="66"/>
  <c r="EN39" i="66"/>
  <c r="EO39" i="66"/>
  <c r="EP39" i="66"/>
  <c r="EQ39" i="66"/>
  <c r="ER39" i="66"/>
  <c r="ES39" i="66"/>
  <c r="ET39" i="66"/>
  <c r="EU39" i="66"/>
  <c r="EV39" i="66"/>
  <c r="EW39" i="66"/>
  <c r="EX39" i="66"/>
  <c r="EY39" i="66"/>
  <c r="EZ39" i="66"/>
  <c r="FA39" i="66"/>
  <c r="FB39" i="66"/>
  <c r="FC39" i="66"/>
  <c r="FD39" i="66"/>
  <c r="FE39" i="66"/>
  <c r="FF39" i="66"/>
  <c r="FG39" i="66"/>
  <c r="FH39" i="66"/>
  <c r="FI39" i="66"/>
  <c r="FJ39" i="66"/>
  <c r="FK39" i="66"/>
  <c r="FL39" i="66"/>
  <c r="FM39" i="66"/>
  <c r="FN39" i="66"/>
  <c r="FO39" i="66"/>
  <c r="FP39" i="66"/>
  <c r="FQ39" i="66"/>
  <c r="FR39" i="66"/>
  <c r="FS39" i="66"/>
  <c r="FT39" i="66"/>
  <c r="FU39" i="66"/>
  <c r="FV39" i="66"/>
  <c r="FW39" i="66"/>
  <c r="FX39" i="66"/>
  <c r="FY39" i="66"/>
  <c r="FZ39" i="66"/>
  <c r="GA39" i="66"/>
  <c r="GB39" i="66"/>
  <c r="GC39" i="66"/>
  <c r="EC37" i="65"/>
  <c r="ED37" i="65"/>
  <c r="EE37" i="65"/>
  <c r="EF37" i="65"/>
  <c r="EG37" i="65"/>
  <c r="EH37" i="65"/>
  <c r="EI37" i="65"/>
  <c r="EJ37" i="65"/>
  <c r="EK37" i="65"/>
  <c r="EL37" i="65"/>
  <c r="EM37" i="65"/>
  <c r="EN37" i="65"/>
  <c r="EO37" i="65"/>
  <c r="EP37" i="65"/>
  <c r="EQ37" i="65"/>
  <c r="ER37" i="65"/>
  <c r="ES37" i="65"/>
  <c r="ET37" i="65"/>
  <c r="EU37" i="65"/>
  <c r="EV37" i="65"/>
  <c r="EW37" i="65"/>
  <c r="EX37" i="65"/>
  <c r="EY37" i="65"/>
  <c r="EZ37" i="65"/>
  <c r="FA37" i="65"/>
  <c r="FB37" i="65"/>
  <c r="FC37" i="65"/>
  <c r="FD37" i="65"/>
  <c r="FE37" i="65"/>
  <c r="FF37" i="65"/>
  <c r="FG37" i="65"/>
  <c r="FH37" i="65"/>
  <c r="FI37" i="65"/>
  <c r="FJ37" i="65"/>
  <c r="FK37" i="65"/>
  <c r="FL37" i="65"/>
  <c r="FM37" i="65"/>
  <c r="FN37" i="65"/>
  <c r="FO37" i="65"/>
  <c r="FP37" i="65"/>
  <c r="FQ37" i="65"/>
  <c r="FR37" i="65"/>
  <c r="FS37" i="65"/>
  <c r="FT37" i="65"/>
  <c r="FU37" i="65"/>
  <c r="FV37" i="65"/>
  <c r="FW37" i="65"/>
  <c r="FX37" i="65"/>
  <c r="FY37" i="65"/>
  <c r="FZ37" i="65"/>
  <c r="GA37" i="65"/>
  <c r="GB37" i="65"/>
  <c r="GC37" i="65"/>
  <c r="EC38" i="65"/>
  <c r="ED38" i="65"/>
  <c r="EE38" i="65"/>
  <c r="EF38" i="65"/>
  <c r="EG38" i="65"/>
  <c r="EH38" i="65"/>
  <c r="EI38" i="65"/>
  <c r="EJ38" i="65"/>
  <c r="EK38" i="65"/>
  <c r="EL38" i="65"/>
  <c r="EM38" i="65"/>
  <c r="EN38" i="65"/>
  <c r="EO38" i="65"/>
  <c r="EP38" i="65"/>
  <c r="EQ38" i="65"/>
  <c r="ER38" i="65"/>
  <c r="ES38" i="65"/>
  <c r="ET38" i="65"/>
  <c r="EU38" i="65"/>
  <c r="EV38" i="65"/>
  <c r="EW38" i="65"/>
  <c r="EX38" i="65"/>
  <c r="EY38" i="65"/>
  <c r="EZ38" i="65"/>
  <c r="FA38" i="65"/>
  <c r="FB38" i="65"/>
  <c r="FC38" i="65"/>
  <c r="FD38" i="65"/>
  <c r="FE38" i="65"/>
  <c r="FF38" i="65"/>
  <c r="FG38" i="65"/>
  <c r="FH38" i="65"/>
  <c r="FI38" i="65"/>
  <c r="FJ38" i="65"/>
  <c r="FK38" i="65"/>
  <c r="FL38" i="65"/>
  <c r="FM38" i="65"/>
  <c r="FN38" i="65"/>
  <c r="FO38" i="65"/>
  <c r="FP38" i="65"/>
  <c r="FQ38" i="65"/>
  <c r="FR38" i="65"/>
  <c r="FS38" i="65"/>
  <c r="FT38" i="65"/>
  <c r="FU38" i="65"/>
  <c r="FV38" i="65"/>
  <c r="FW38" i="65"/>
  <c r="FX38" i="65"/>
  <c r="FY38" i="65"/>
  <c r="FZ38" i="65"/>
  <c r="GA38" i="65"/>
  <c r="GB38" i="65"/>
  <c r="GC38" i="65"/>
  <c r="Y37" i="64"/>
  <c r="Z37" i="64"/>
  <c r="AA37" i="64"/>
  <c r="AB37" i="64"/>
  <c r="AC37" i="64"/>
  <c r="AD37" i="64"/>
  <c r="AE37" i="64"/>
  <c r="AF37" i="64"/>
  <c r="BA37" i="64" s="1"/>
  <c r="AG37" i="64"/>
  <c r="AH37" i="64"/>
  <c r="BB37" i="64" s="1"/>
  <c r="AI37" i="64"/>
  <c r="AJ37" i="64"/>
  <c r="AK37" i="64"/>
  <c r="AL37" i="64"/>
  <c r="AM37" i="64"/>
  <c r="AN37" i="64"/>
  <c r="AO37" i="64"/>
  <c r="AP37" i="64"/>
  <c r="AQ37" i="64"/>
  <c r="AR37" i="64"/>
  <c r="AS37" i="64"/>
  <c r="AT37" i="64"/>
  <c r="AU37" i="64"/>
  <c r="AV37" i="64"/>
  <c r="AW37" i="64"/>
  <c r="AX37" i="64"/>
  <c r="AY37" i="64"/>
  <c r="AZ37" i="64"/>
  <c r="BC37" i="64"/>
  <c r="BD37" i="64"/>
  <c r="BE37" i="64"/>
  <c r="BF37" i="64"/>
  <c r="BG37" i="64"/>
  <c r="BH37" i="64"/>
  <c r="CA37" i="64" s="1"/>
  <c r="BI37" i="64"/>
  <c r="BJ37" i="64"/>
  <c r="BK37" i="64"/>
  <c r="BL37" i="64"/>
  <c r="BM37" i="64"/>
  <c r="BN37" i="64"/>
  <c r="BO37" i="64"/>
  <c r="BP37" i="64"/>
  <c r="BQ37" i="64"/>
  <c r="BR37" i="64"/>
  <c r="BS37" i="64"/>
  <c r="BT37" i="64"/>
  <c r="BU37" i="64"/>
  <c r="BV37" i="64"/>
  <c r="BW37" i="64"/>
  <c r="BX37" i="64"/>
  <c r="BY37" i="64"/>
  <c r="BZ37" i="64"/>
  <c r="CB37" i="64"/>
  <c r="CC37" i="64"/>
  <c r="CD37" i="64"/>
  <c r="CE37" i="64"/>
  <c r="CF37" i="64"/>
  <c r="CG37" i="64"/>
  <c r="CH37" i="64"/>
  <c r="CI37" i="64"/>
  <c r="CX37" i="64" s="1"/>
  <c r="CJ37" i="64"/>
  <c r="CK37" i="64"/>
  <c r="CL37" i="64"/>
  <c r="CM37" i="64"/>
  <c r="CN37" i="64"/>
  <c r="CO37" i="64"/>
  <c r="CP37" i="64"/>
  <c r="CQ37" i="64"/>
  <c r="CR37" i="64"/>
  <c r="CS37" i="64"/>
  <c r="CT37" i="64"/>
  <c r="CU37" i="64"/>
  <c r="CV37" i="64"/>
  <c r="CW37" i="64"/>
  <c r="CY37" i="64"/>
  <c r="DG37" i="64" s="1"/>
  <c r="CZ37" i="64"/>
  <c r="DA37" i="64"/>
  <c r="DB37" i="64"/>
  <c r="DC37" i="64"/>
  <c r="DD37" i="64"/>
  <c r="DE37" i="64"/>
  <c r="DF37" i="64"/>
  <c r="DH37" i="64"/>
  <c r="DK37" i="64" s="1"/>
  <c r="DN37" i="64" s="1"/>
  <c r="DI37" i="64"/>
  <c r="DJ37" i="64"/>
  <c r="DL37" i="64"/>
  <c r="DM37" i="64"/>
  <c r="DO37" i="64"/>
  <c r="DP37" i="64"/>
  <c r="DQ37" i="64"/>
  <c r="DR37" i="64"/>
  <c r="DS37" i="64"/>
  <c r="DT37" i="64"/>
  <c r="DU37" i="64"/>
  <c r="DV37" i="64"/>
  <c r="EC37" i="64"/>
  <c r="ED37" i="64"/>
  <c r="EE37" i="64"/>
  <c r="EF37" i="64"/>
  <c r="EG37" i="64"/>
  <c r="EH37" i="64"/>
  <c r="EI37" i="64"/>
  <c r="EJ37" i="64"/>
  <c r="EK37" i="64"/>
  <c r="EL37" i="64"/>
  <c r="EM37" i="64"/>
  <c r="EN37" i="64"/>
  <c r="EO37" i="64"/>
  <c r="EP37" i="64"/>
  <c r="EQ37" i="64"/>
  <c r="ER37" i="64"/>
  <c r="ES37" i="64"/>
  <c r="ET37" i="64"/>
  <c r="EU37" i="64"/>
  <c r="EV37" i="64"/>
  <c r="EW37" i="64"/>
  <c r="EX37" i="64"/>
  <c r="EY37" i="64"/>
  <c r="EZ37" i="64"/>
  <c r="FA37" i="64"/>
  <c r="FB37" i="64"/>
  <c r="FC37" i="64"/>
  <c r="FD37" i="64"/>
  <c r="FE37" i="64"/>
  <c r="FF37" i="64"/>
  <c r="FG37" i="64"/>
  <c r="FH37" i="64"/>
  <c r="FI37" i="64"/>
  <c r="FJ37" i="64"/>
  <c r="FK37" i="64"/>
  <c r="FL37" i="64"/>
  <c r="FM37" i="64"/>
  <c r="FN37" i="64"/>
  <c r="FO37" i="64"/>
  <c r="FP37" i="64"/>
  <c r="FQ37" i="64"/>
  <c r="FR37" i="64"/>
  <c r="FS37" i="64"/>
  <c r="FT37" i="64"/>
  <c r="FU37" i="64"/>
  <c r="FV37" i="64"/>
  <c r="FW37" i="64"/>
  <c r="FX37" i="64"/>
  <c r="FY37" i="64"/>
  <c r="FZ37" i="64"/>
  <c r="GA37" i="64"/>
  <c r="GB37" i="64"/>
  <c r="GC37" i="64"/>
  <c r="Y38" i="64"/>
  <c r="Z38" i="64"/>
  <c r="AA38" i="64"/>
  <c r="AB38" i="64"/>
  <c r="BA38" i="64" s="1"/>
  <c r="AC38" i="64"/>
  <c r="AD38" i="64"/>
  <c r="AE38" i="64"/>
  <c r="AF38" i="64"/>
  <c r="AG38" i="64"/>
  <c r="BB38" i="64" s="1"/>
  <c r="AH38" i="64"/>
  <c r="AI38" i="64"/>
  <c r="AJ38" i="64"/>
  <c r="AK38" i="64"/>
  <c r="AL38" i="64"/>
  <c r="AM38" i="64"/>
  <c r="AN38" i="64"/>
  <c r="AO38" i="64"/>
  <c r="AP38" i="64"/>
  <c r="AQ38" i="64"/>
  <c r="AR38" i="64"/>
  <c r="AS38" i="64"/>
  <c r="AT38" i="64"/>
  <c r="AU38" i="64"/>
  <c r="AV38" i="64"/>
  <c r="AW38" i="64"/>
  <c r="AX38" i="64"/>
  <c r="AY38" i="64"/>
  <c r="AZ38" i="64"/>
  <c r="BC38" i="64"/>
  <c r="BD38" i="64"/>
  <c r="BE38" i="64"/>
  <c r="BF38" i="64"/>
  <c r="BG38" i="64"/>
  <c r="CA38" i="64" s="1"/>
  <c r="BH38" i="64"/>
  <c r="BI38" i="64"/>
  <c r="BJ38" i="64"/>
  <c r="BK38" i="64"/>
  <c r="BL38" i="64"/>
  <c r="BM38" i="64"/>
  <c r="BN38" i="64"/>
  <c r="BO38" i="64"/>
  <c r="BP38" i="64"/>
  <c r="BQ38" i="64"/>
  <c r="BR38" i="64"/>
  <c r="BS38" i="64"/>
  <c r="BT38" i="64"/>
  <c r="BU38" i="64"/>
  <c r="BV38" i="64"/>
  <c r="BW38" i="64"/>
  <c r="BX38" i="64"/>
  <c r="BY38" i="64"/>
  <c r="BZ38" i="64"/>
  <c r="CB38" i="64"/>
  <c r="CC38" i="64"/>
  <c r="CD38" i="64"/>
  <c r="CE38" i="64"/>
  <c r="CF38" i="64"/>
  <c r="CG38" i="64"/>
  <c r="CH38" i="64"/>
  <c r="CI38" i="64"/>
  <c r="CX38" i="64" s="1"/>
  <c r="CJ38" i="64"/>
  <c r="CK38" i="64"/>
  <c r="CL38" i="64"/>
  <c r="CM38" i="64"/>
  <c r="CN38" i="64"/>
  <c r="CO38" i="64"/>
  <c r="CP38" i="64"/>
  <c r="CQ38" i="64"/>
  <c r="CR38" i="64"/>
  <c r="CS38" i="64"/>
  <c r="CT38" i="64"/>
  <c r="CU38" i="64"/>
  <c r="CV38" i="64"/>
  <c r="CW38" i="64"/>
  <c r="CY38" i="64"/>
  <c r="DG38" i="64" s="1"/>
  <c r="CZ38" i="64"/>
  <c r="DA38" i="64"/>
  <c r="DB38" i="64"/>
  <c r="DC38" i="64"/>
  <c r="DD38" i="64"/>
  <c r="DE38" i="64"/>
  <c r="DF38" i="64"/>
  <c r="DH38" i="64"/>
  <c r="DK38" i="64" s="1"/>
  <c r="DN38" i="64" s="1"/>
  <c r="DI38" i="64"/>
  <c r="DJ38" i="64"/>
  <c r="DL38" i="64"/>
  <c r="DM38" i="64"/>
  <c r="DO38" i="64"/>
  <c r="DP38" i="64"/>
  <c r="DQ38" i="64"/>
  <c r="DR38" i="64"/>
  <c r="DS38" i="64"/>
  <c r="DT38" i="64"/>
  <c r="DU38" i="64"/>
  <c r="DV38" i="64"/>
  <c r="EC38" i="64"/>
  <c r="ED38" i="64"/>
  <c r="EE38" i="64"/>
  <c r="EF38" i="64"/>
  <c r="EG38" i="64"/>
  <c r="EH38" i="64"/>
  <c r="EI38" i="64"/>
  <c r="EJ38" i="64"/>
  <c r="EK38" i="64"/>
  <c r="EL38" i="64"/>
  <c r="EM38" i="64"/>
  <c r="EN38" i="64"/>
  <c r="EO38" i="64"/>
  <c r="EP38" i="64"/>
  <c r="EQ38" i="64"/>
  <c r="ER38" i="64"/>
  <c r="ES38" i="64"/>
  <c r="ET38" i="64"/>
  <c r="EU38" i="64"/>
  <c r="EV38" i="64"/>
  <c r="EW38" i="64"/>
  <c r="EX38" i="64"/>
  <c r="EY38" i="64"/>
  <c r="EZ38" i="64"/>
  <c r="FA38" i="64"/>
  <c r="FB38" i="64"/>
  <c r="FC38" i="64"/>
  <c r="FD38" i="64"/>
  <c r="FE38" i="64"/>
  <c r="FF38" i="64"/>
  <c r="FG38" i="64"/>
  <c r="FH38" i="64"/>
  <c r="FI38" i="64"/>
  <c r="FJ38" i="64"/>
  <c r="FK38" i="64"/>
  <c r="FL38" i="64"/>
  <c r="FM38" i="64"/>
  <c r="FN38" i="64"/>
  <c r="FO38" i="64"/>
  <c r="FP38" i="64"/>
  <c r="FQ38" i="64"/>
  <c r="FR38" i="64"/>
  <c r="FS38" i="64"/>
  <c r="FT38" i="64"/>
  <c r="FU38" i="64"/>
  <c r="FV38" i="64"/>
  <c r="FW38" i="64"/>
  <c r="FX38" i="64"/>
  <c r="FY38" i="64"/>
  <c r="FZ38" i="64"/>
  <c r="GA38" i="64"/>
  <c r="GB38" i="64"/>
  <c r="GC38" i="64"/>
  <c r="Y39" i="64"/>
  <c r="FJ39" i="64" s="1"/>
  <c r="Z39" i="64"/>
  <c r="AA39" i="64"/>
  <c r="FR39" i="64" s="1"/>
  <c r="AB39" i="64"/>
  <c r="AC39" i="64"/>
  <c r="AD39" i="64"/>
  <c r="AE39" i="64"/>
  <c r="AF39" i="64"/>
  <c r="AG39" i="64"/>
  <c r="BB39" i="64" s="1"/>
  <c r="AH39" i="64"/>
  <c r="AI39" i="64"/>
  <c r="AJ39" i="64"/>
  <c r="AK39" i="64"/>
  <c r="AL39" i="64"/>
  <c r="AM39" i="64"/>
  <c r="AN39" i="64"/>
  <c r="AO39" i="64"/>
  <c r="AP39" i="64"/>
  <c r="AQ39" i="64"/>
  <c r="AR39" i="64"/>
  <c r="AS39" i="64"/>
  <c r="AT39" i="64"/>
  <c r="AU39" i="64"/>
  <c r="AV39" i="64"/>
  <c r="AW39" i="64"/>
  <c r="AX39" i="64"/>
  <c r="AY39" i="64"/>
  <c r="AZ39" i="64"/>
  <c r="BA39" i="64"/>
  <c r="BC39" i="64"/>
  <c r="BD39" i="64"/>
  <c r="BE39" i="64"/>
  <c r="BF39" i="64"/>
  <c r="BG39" i="64"/>
  <c r="CA39" i="64" s="1"/>
  <c r="BH39" i="64"/>
  <c r="BI39" i="64"/>
  <c r="BJ39" i="64"/>
  <c r="BK39" i="64"/>
  <c r="BL39" i="64"/>
  <c r="BM39" i="64"/>
  <c r="BN39" i="64"/>
  <c r="BO39" i="64"/>
  <c r="BP39" i="64"/>
  <c r="BQ39" i="64"/>
  <c r="BR39" i="64"/>
  <c r="BS39" i="64"/>
  <c r="BT39" i="64"/>
  <c r="BU39" i="64"/>
  <c r="BV39" i="64"/>
  <c r="BW39" i="64"/>
  <c r="BX39" i="64"/>
  <c r="BY39" i="64"/>
  <c r="BZ39" i="64"/>
  <c r="CB39" i="64"/>
  <c r="CC39" i="64"/>
  <c r="CD39" i="64"/>
  <c r="CE39" i="64"/>
  <c r="CF39" i="64"/>
  <c r="CG39" i="64"/>
  <c r="CH39" i="64"/>
  <c r="CI39" i="64"/>
  <c r="CJ39" i="64"/>
  <c r="CK39" i="64"/>
  <c r="CL39" i="64"/>
  <c r="CM39" i="64"/>
  <c r="CN39" i="64"/>
  <c r="CO39" i="64"/>
  <c r="CP39" i="64"/>
  <c r="CX39" i="64" s="1"/>
  <c r="CQ39" i="64"/>
  <c r="CR39" i="64"/>
  <c r="CS39" i="64"/>
  <c r="CT39" i="64"/>
  <c r="CU39" i="64"/>
  <c r="CV39" i="64"/>
  <c r="CW39" i="64"/>
  <c r="CY39" i="64"/>
  <c r="CZ39" i="64"/>
  <c r="DG39" i="64" s="1"/>
  <c r="DA39" i="64"/>
  <c r="DB39" i="64"/>
  <c r="DC39" i="64"/>
  <c r="DD39" i="64"/>
  <c r="DE39" i="64"/>
  <c r="DF39" i="64"/>
  <c r="DH39" i="64"/>
  <c r="DI39" i="64"/>
  <c r="DJ39" i="64"/>
  <c r="DK39" i="64"/>
  <c r="DL39" i="64"/>
  <c r="DM39" i="64"/>
  <c r="DN39" i="64"/>
  <c r="DO39" i="64"/>
  <c r="DP39" i="64"/>
  <c r="DQ39" i="64"/>
  <c r="DR39" i="64"/>
  <c r="DS39" i="64"/>
  <c r="DT39" i="64"/>
  <c r="DU39" i="64"/>
  <c r="DV39" i="64"/>
  <c r="EC39" i="64"/>
  <c r="ED39" i="64"/>
  <c r="EE39" i="64"/>
  <c r="EF39" i="64"/>
  <c r="EG39" i="64"/>
  <c r="EH39" i="64"/>
  <c r="EI39" i="64"/>
  <c r="EJ39" i="64"/>
  <c r="EK39" i="64"/>
  <c r="EL39" i="64"/>
  <c r="EM39" i="64"/>
  <c r="EN39" i="64"/>
  <c r="EO39" i="64"/>
  <c r="EP39" i="64"/>
  <c r="EQ39" i="64"/>
  <c r="ER39" i="64"/>
  <c r="ES39" i="64"/>
  <c r="ET39" i="64"/>
  <c r="EU39" i="64"/>
  <c r="EV39" i="64"/>
  <c r="EW39" i="64"/>
  <c r="EX39" i="64"/>
  <c r="EY39" i="64"/>
  <c r="EZ39" i="64"/>
  <c r="FA39" i="64"/>
  <c r="FB39" i="64"/>
  <c r="FC39" i="64"/>
  <c r="FD39" i="64"/>
  <c r="FE39" i="64"/>
  <c r="FF39" i="64"/>
  <c r="FG39" i="64"/>
  <c r="FH39" i="64"/>
  <c r="FI39" i="64"/>
  <c r="FK39" i="64"/>
  <c r="FL39" i="64"/>
  <c r="FM39" i="64"/>
  <c r="FN39" i="64"/>
  <c r="FO39" i="64"/>
  <c r="FP39" i="64"/>
  <c r="FQ39" i="64"/>
  <c r="FS39" i="64"/>
  <c r="FT39" i="64"/>
  <c r="FU39" i="64"/>
  <c r="FV39" i="64"/>
  <c r="FW39" i="64"/>
  <c r="FX39" i="64"/>
  <c r="FY39" i="64"/>
  <c r="FZ39" i="64"/>
  <c r="GA39" i="64"/>
  <c r="GB39" i="64"/>
  <c r="GC39" i="64"/>
  <c r="EC37" i="63"/>
  <c r="ED37" i="63"/>
  <c r="EE37" i="63"/>
  <c r="EF37" i="63"/>
  <c r="EG37" i="63"/>
  <c r="EH37" i="63"/>
  <c r="EI37" i="63"/>
  <c r="EJ37" i="63"/>
  <c r="EK37" i="63"/>
  <c r="EL37" i="63"/>
  <c r="EM37" i="63"/>
  <c r="EN37" i="63"/>
  <c r="EO37" i="63"/>
  <c r="EP37" i="63"/>
  <c r="EQ37" i="63"/>
  <c r="ER37" i="63"/>
  <c r="ES37" i="63"/>
  <c r="ET37" i="63"/>
  <c r="EU37" i="63"/>
  <c r="EV37" i="63"/>
  <c r="EW37" i="63"/>
  <c r="EX37" i="63"/>
  <c r="EY37" i="63"/>
  <c r="EZ37" i="63"/>
  <c r="FA37" i="63"/>
  <c r="FB37" i="63"/>
  <c r="FC37" i="63"/>
  <c r="FD37" i="63"/>
  <c r="FE37" i="63"/>
  <c r="FF37" i="63"/>
  <c r="FG37" i="63"/>
  <c r="FH37" i="63"/>
  <c r="FI37" i="63"/>
  <c r="FJ37" i="63"/>
  <c r="FK37" i="63"/>
  <c r="FL37" i="63"/>
  <c r="FM37" i="63"/>
  <c r="FN37" i="63"/>
  <c r="FO37" i="63"/>
  <c r="FP37" i="63"/>
  <c r="FQ37" i="63"/>
  <c r="FR37" i="63"/>
  <c r="FS37" i="63"/>
  <c r="FT37" i="63"/>
  <c r="FU37" i="63"/>
  <c r="FV37" i="63"/>
  <c r="FW37" i="63"/>
  <c r="FX37" i="63"/>
  <c r="FY37" i="63"/>
  <c r="FZ37" i="63"/>
  <c r="GA37" i="63"/>
  <c r="GB37" i="63"/>
  <c r="GC37" i="63"/>
  <c r="EC38" i="63"/>
  <c r="ED38" i="63"/>
  <c r="EE38" i="63"/>
  <c r="EF38" i="63"/>
  <c r="EG38" i="63"/>
  <c r="EH38" i="63"/>
  <c r="EI38" i="63"/>
  <c r="EJ38" i="63"/>
  <c r="EK38" i="63"/>
  <c r="EL38" i="63"/>
  <c r="EM38" i="63"/>
  <c r="EN38" i="63"/>
  <c r="EO38" i="63"/>
  <c r="EP38" i="63"/>
  <c r="EQ38" i="63"/>
  <c r="ER38" i="63"/>
  <c r="ES38" i="63"/>
  <c r="ET38" i="63"/>
  <c r="EU38" i="63"/>
  <c r="EV38" i="63"/>
  <c r="EW38" i="63"/>
  <c r="EX38" i="63"/>
  <c r="EY38" i="63"/>
  <c r="EZ38" i="63"/>
  <c r="FA38" i="63"/>
  <c r="FB38" i="63"/>
  <c r="FC38" i="63"/>
  <c r="FD38" i="63"/>
  <c r="FE38" i="63"/>
  <c r="FF38" i="63"/>
  <c r="FG38" i="63"/>
  <c r="FH38" i="63"/>
  <c r="FI38" i="63"/>
  <c r="FJ38" i="63"/>
  <c r="FK38" i="63"/>
  <c r="FL38" i="63"/>
  <c r="FM38" i="63"/>
  <c r="FN38" i="63"/>
  <c r="FO38" i="63"/>
  <c r="FP38" i="63"/>
  <c r="FQ38" i="63"/>
  <c r="FR38" i="63"/>
  <c r="FS38" i="63"/>
  <c r="FT38" i="63"/>
  <c r="FU38" i="63"/>
  <c r="FV38" i="63"/>
  <c r="FW38" i="63"/>
  <c r="FX38" i="63"/>
  <c r="FY38" i="63"/>
  <c r="FZ38" i="63"/>
  <c r="GA38" i="63"/>
  <c r="GB38" i="63"/>
  <c r="GC38" i="63"/>
  <c r="EC37" i="41"/>
  <c r="ED37" i="41"/>
  <c r="EE37" i="41"/>
  <c r="EF37" i="41"/>
  <c r="EG37" i="41"/>
  <c r="EH37" i="41"/>
  <c r="EI37" i="41"/>
  <c r="EJ37" i="41"/>
  <c r="EK37" i="41"/>
  <c r="EL37" i="41"/>
  <c r="EM37" i="41"/>
  <c r="EN37" i="41"/>
  <c r="EO37" i="41"/>
  <c r="EP37" i="41"/>
  <c r="EQ37" i="41"/>
  <c r="ER37" i="41"/>
  <c r="ES37" i="41"/>
  <c r="ET37" i="41"/>
  <c r="EU37" i="41"/>
  <c r="EV37" i="41"/>
  <c r="EW37" i="41"/>
  <c r="EX37" i="41"/>
  <c r="EY37" i="41"/>
  <c r="EZ37" i="41"/>
  <c r="FA37" i="41"/>
  <c r="FB37" i="41"/>
  <c r="FC37" i="41"/>
  <c r="FD37" i="41"/>
  <c r="FE37" i="41"/>
  <c r="FF37" i="41"/>
  <c r="FG37" i="41"/>
  <c r="FH37" i="41"/>
  <c r="FI37" i="41"/>
  <c r="FJ37" i="41"/>
  <c r="FK37" i="41"/>
  <c r="FL37" i="41"/>
  <c r="FM37" i="41"/>
  <c r="FN37" i="41"/>
  <c r="FO37" i="41"/>
  <c r="FP37" i="41"/>
  <c r="FQ37" i="41"/>
  <c r="FR37" i="41"/>
  <c r="FS37" i="41"/>
  <c r="FT37" i="41"/>
  <c r="FU37" i="41"/>
  <c r="FV37" i="41"/>
  <c r="FW37" i="41"/>
  <c r="FX37" i="41"/>
  <c r="FY37" i="41"/>
  <c r="FZ37" i="41"/>
  <c r="GA37" i="41"/>
  <c r="GB37" i="41"/>
  <c r="GC37" i="41"/>
  <c r="EC38" i="41"/>
  <c r="ED38" i="41"/>
  <c r="EE38" i="41"/>
  <c r="EF38" i="41"/>
  <c r="EG38" i="41"/>
  <c r="EH38" i="41"/>
  <c r="EI38" i="41"/>
  <c r="EJ38" i="41"/>
  <c r="EK38" i="41"/>
  <c r="EL38" i="41"/>
  <c r="EM38" i="41"/>
  <c r="EN38" i="41"/>
  <c r="EO38" i="41"/>
  <c r="EP38" i="41"/>
  <c r="EQ38" i="41"/>
  <c r="ER38" i="41"/>
  <c r="ES38" i="41"/>
  <c r="ET38" i="41"/>
  <c r="EU38" i="41"/>
  <c r="EV38" i="41"/>
  <c r="EW38" i="41"/>
  <c r="EX38" i="41"/>
  <c r="EY38" i="41"/>
  <c r="EZ38" i="41"/>
  <c r="FA38" i="41"/>
  <c r="FB38" i="41"/>
  <c r="FC38" i="41"/>
  <c r="FD38" i="41"/>
  <c r="FE38" i="41"/>
  <c r="FF38" i="41"/>
  <c r="FG38" i="41"/>
  <c r="FH38" i="41"/>
  <c r="FI38" i="41"/>
  <c r="FJ38" i="41"/>
  <c r="FK38" i="41"/>
  <c r="FL38" i="41"/>
  <c r="FM38" i="41"/>
  <c r="FN38" i="41"/>
  <c r="FO38" i="41"/>
  <c r="FP38" i="41"/>
  <c r="FQ38" i="41"/>
  <c r="FR38" i="41"/>
  <c r="FS38" i="41"/>
  <c r="FT38" i="41"/>
  <c r="FU38" i="41"/>
  <c r="FV38" i="41"/>
  <c r="FW38" i="41"/>
  <c r="FX38" i="41"/>
  <c r="FY38" i="41"/>
  <c r="FZ38" i="41"/>
  <c r="GA38" i="41"/>
  <c r="GB38" i="41"/>
  <c r="GC38" i="41"/>
  <c r="EC39" i="41"/>
  <c r="ED39" i="41"/>
  <c r="EE39" i="41"/>
  <c r="EF39" i="41"/>
  <c r="EG39" i="41"/>
  <c r="EH39" i="41"/>
  <c r="EI39" i="41"/>
  <c r="EJ39" i="41"/>
  <c r="EK39" i="41"/>
  <c r="EL39" i="41"/>
  <c r="EM39" i="41"/>
  <c r="EN39" i="41"/>
  <c r="EO39" i="41"/>
  <c r="EP39" i="41"/>
  <c r="EQ39" i="41"/>
  <c r="ER39" i="41"/>
  <c r="ES39" i="41"/>
  <c r="ET39" i="41"/>
  <c r="EU39" i="41"/>
  <c r="EV39" i="41"/>
  <c r="EW39" i="41"/>
  <c r="EX39" i="41"/>
  <c r="EY39" i="41"/>
  <c r="EZ39" i="41"/>
  <c r="FA39" i="41"/>
  <c r="FB39" i="41"/>
  <c r="FC39" i="41"/>
  <c r="FD39" i="41"/>
  <c r="FE39" i="41"/>
  <c r="FF39" i="41"/>
  <c r="FG39" i="41"/>
  <c r="FH39" i="41"/>
  <c r="FI39" i="41"/>
  <c r="FJ39" i="41"/>
  <c r="FK39" i="41"/>
  <c r="FL39" i="41"/>
  <c r="FM39" i="41"/>
  <c r="FN39" i="41"/>
  <c r="FO39" i="41"/>
  <c r="FP39" i="41"/>
  <c r="FQ39" i="41"/>
  <c r="FR39" i="41"/>
  <c r="FS39" i="41"/>
  <c r="FT39" i="41"/>
  <c r="FU39" i="41"/>
  <c r="FV39" i="41"/>
  <c r="FW39" i="41"/>
  <c r="FX39" i="41"/>
  <c r="FY39" i="41"/>
  <c r="FZ39" i="41"/>
  <c r="GA39" i="41"/>
  <c r="GB39" i="41"/>
  <c r="GC39" i="41"/>
  <c r="EC40" i="41"/>
  <c r="ED40" i="41"/>
  <c r="EE40" i="41"/>
  <c r="EF40" i="41"/>
  <c r="EG40" i="41"/>
  <c r="EH40" i="41"/>
  <c r="EI40" i="41"/>
  <c r="EJ40" i="41"/>
  <c r="EK40" i="41"/>
  <c r="EL40" i="41"/>
  <c r="EM40" i="41"/>
  <c r="EN40" i="41"/>
  <c r="EO40" i="41"/>
  <c r="EP40" i="41"/>
  <c r="EQ40" i="41"/>
  <c r="ER40" i="41"/>
  <c r="ES40" i="41"/>
  <c r="ET40" i="41"/>
  <c r="EU40" i="41"/>
  <c r="EV40" i="41"/>
  <c r="EW40" i="41"/>
  <c r="EX40" i="41"/>
  <c r="EY40" i="41"/>
  <c r="EZ40" i="41"/>
  <c r="FA40" i="41"/>
  <c r="FB40" i="41"/>
  <c r="FC40" i="41"/>
  <c r="FD40" i="41"/>
  <c r="FE40" i="41"/>
  <c r="FF40" i="41"/>
  <c r="FG40" i="41"/>
  <c r="FH40" i="41"/>
  <c r="FI40" i="41"/>
  <c r="FJ40" i="41"/>
  <c r="FK40" i="41"/>
  <c r="FL40" i="41"/>
  <c r="FM40" i="41"/>
  <c r="FN40" i="41"/>
  <c r="FO40" i="41"/>
  <c r="FP40" i="41"/>
  <c r="FQ40" i="41"/>
  <c r="FR40" i="41"/>
  <c r="FS40" i="41"/>
  <c r="FT40" i="41"/>
  <c r="FU40" i="41"/>
  <c r="FV40" i="41"/>
  <c r="FW40" i="41"/>
  <c r="FX40" i="41"/>
  <c r="FY40" i="41"/>
  <c r="FZ40" i="41"/>
  <c r="GA40" i="41"/>
  <c r="GB40" i="41"/>
  <c r="GC40" i="41"/>
  <c r="G4" i="23" l="1"/>
  <c r="A83" i="41" l="1"/>
  <c r="A86" i="41"/>
  <c r="A85" i="41"/>
  <c r="A84" i="41"/>
  <c r="A82" i="41"/>
  <c r="G5" i="23" l="1"/>
  <c r="G6" i="23"/>
  <c r="G7" i="23"/>
  <c r="J19" i="1"/>
  <c r="J18" i="1"/>
  <c r="J17" i="1"/>
  <c r="B25" i="1" l="1"/>
  <c r="J20" i="1"/>
  <c r="J39" i="1"/>
  <c r="P22" i="43" l="1"/>
  <c r="A1" i="80" l="1"/>
  <c r="DO10" i="73" l="1"/>
  <c r="DO11" i="73"/>
  <c r="DO12" i="73"/>
  <c r="DO13" i="73"/>
  <c r="DO14" i="73"/>
  <c r="DO15" i="73"/>
  <c r="DO16" i="73"/>
  <c r="DO17" i="73"/>
  <c r="DO18" i="73"/>
  <c r="DO19" i="73"/>
  <c r="DO20" i="73"/>
  <c r="DO21" i="73"/>
  <c r="DO22" i="73"/>
  <c r="DO23" i="73"/>
  <c r="DO24" i="73"/>
  <c r="DO25" i="73"/>
  <c r="DO26" i="73"/>
  <c r="DO27" i="73"/>
  <c r="DO28" i="73"/>
  <c r="DO29" i="73"/>
  <c r="DO30" i="73"/>
  <c r="DO31" i="73"/>
  <c r="DO32" i="73"/>
  <c r="DO33" i="73"/>
  <c r="DO34" i="73"/>
  <c r="DO35" i="73"/>
  <c r="DO36" i="73"/>
  <c r="DO37" i="73"/>
  <c r="DO38" i="73"/>
  <c r="DO39" i="73"/>
  <c r="DO9" i="73"/>
  <c r="DO10" i="72"/>
  <c r="DO11" i="72"/>
  <c r="DO12" i="72"/>
  <c r="DO13" i="72"/>
  <c r="DO14" i="72"/>
  <c r="DO15" i="72"/>
  <c r="DO16" i="72"/>
  <c r="DO17" i="72"/>
  <c r="DO18" i="72"/>
  <c r="DO19" i="72"/>
  <c r="DO20" i="72"/>
  <c r="DO21" i="72"/>
  <c r="DO22" i="72"/>
  <c r="DO23" i="72"/>
  <c r="DO24" i="72"/>
  <c r="DO25" i="72"/>
  <c r="DO26" i="72"/>
  <c r="DO27" i="72"/>
  <c r="DO28" i="72"/>
  <c r="DO29" i="72"/>
  <c r="DO30" i="72"/>
  <c r="DO31" i="72"/>
  <c r="DO32" i="72"/>
  <c r="DO33" i="72"/>
  <c r="DO34" i="72"/>
  <c r="DO35" i="72"/>
  <c r="DO36" i="72"/>
  <c r="DO37" i="72"/>
  <c r="DO38" i="72"/>
  <c r="DO9" i="72"/>
  <c r="DO10" i="71"/>
  <c r="DO11" i="71"/>
  <c r="DO12" i="71"/>
  <c r="DO13" i="71"/>
  <c r="DO14" i="71"/>
  <c r="DO15" i="71"/>
  <c r="DO16" i="71"/>
  <c r="DO17" i="71"/>
  <c r="DO18" i="71"/>
  <c r="DO19" i="71"/>
  <c r="DO20" i="71"/>
  <c r="DO21" i="71"/>
  <c r="DO22" i="71"/>
  <c r="DO23" i="71"/>
  <c r="DO24" i="71"/>
  <c r="DO25" i="71"/>
  <c r="DO26" i="71"/>
  <c r="DO27" i="71"/>
  <c r="DO28" i="71"/>
  <c r="DO29" i="71"/>
  <c r="DO30" i="71"/>
  <c r="DO31" i="71"/>
  <c r="DO32" i="71"/>
  <c r="DO33" i="71"/>
  <c r="DO34" i="71"/>
  <c r="DO35" i="71"/>
  <c r="DO36" i="71"/>
  <c r="DO37" i="71"/>
  <c r="DO38" i="71"/>
  <c r="DO39" i="71"/>
  <c r="DO9" i="71"/>
  <c r="DO10" i="70"/>
  <c r="DO11" i="70"/>
  <c r="DO12" i="70"/>
  <c r="DO13" i="70"/>
  <c r="DO14" i="70"/>
  <c r="DO15" i="70"/>
  <c r="DO16" i="70"/>
  <c r="DO17" i="70"/>
  <c r="DO18" i="70"/>
  <c r="DO19" i="70"/>
  <c r="DO20" i="70"/>
  <c r="DO21" i="70"/>
  <c r="DO22" i="70"/>
  <c r="DO23" i="70"/>
  <c r="DO24" i="70"/>
  <c r="DO25" i="70"/>
  <c r="DO26" i="70"/>
  <c r="DO27" i="70"/>
  <c r="DO28" i="70"/>
  <c r="DO29" i="70"/>
  <c r="DO30" i="70"/>
  <c r="DO31" i="70"/>
  <c r="DO32" i="70"/>
  <c r="DO33" i="70"/>
  <c r="DO34" i="70"/>
  <c r="DO35" i="70"/>
  <c r="DO36" i="70"/>
  <c r="DO37" i="70"/>
  <c r="DO38" i="70"/>
  <c r="DO9" i="70"/>
  <c r="DO10" i="69"/>
  <c r="DO11" i="69"/>
  <c r="DO12" i="69"/>
  <c r="DO13" i="69"/>
  <c r="DO14" i="69"/>
  <c r="DO15" i="69"/>
  <c r="DO16" i="69"/>
  <c r="DO17" i="69"/>
  <c r="DO18" i="69"/>
  <c r="DO19" i="69"/>
  <c r="DO20" i="69"/>
  <c r="DO21" i="69"/>
  <c r="DO22" i="69"/>
  <c r="DO23" i="69"/>
  <c r="DO24" i="69"/>
  <c r="DO25" i="69"/>
  <c r="DO26" i="69"/>
  <c r="DO27" i="69"/>
  <c r="DO28" i="69"/>
  <c r="DO29" i="69"/>
  <c r="DO30" i="69"/>
  <c r="DO31" i="69"/>
  <c r="DO32" i="69"/>
  <c r="DO33" i="69"/>
  <c r="DO34" i="69"/>
  <c r="DO35" i="69"/>
  <c r="DO36" i="69"/>
  <c r="DO37" i="69"/>
  <c r="DO38" i="69"/>
  <c r="DO39" i="69"/>
  <c r="DO9" i="69"/>
  <c r="DO10" i="68"/>
  <c r="DO11" i="68"/>
  <c r="DO12" i="68"/>
  <c r="DO13" i="68"/>
  <c r="DO14" i="68"/>
  <c r="DO15" i="68"/>
  <c r="DO16" i="68"/>
  <c r="DO17" i="68"/>
  <c r="DO18" i="68"/>
  <c r="DO19" i="68"/>
  <c r="DO20" i="68"/>
  <c r="DO21" i="68"/>
  <c r="DO22" i="68"/>
  <c r="DO23" i="68"/>
  <c r="DO24" i="68"/>
  <c r="DO25" i="68"/>
  <c r="DO26" i="68"/>
  <c r="DO27" i="68"/>
  <c r="DO28" i="68"/>
  <c r="DO29" i="68"/>
  <c r="DO30" i="68"/>
  <c r="DO31" i="68"/>
  <c r="DO32" i="68"/>
  <c r="DO33" i="68"/>
  <c r="DO34" i="68"/>
  <c r="DO35" i="68"/>
  <c r="DO36" i="68"/>
  <c r="DO37" i="68"/>
  <c r="DO9" i="68"/>
  <c r="DO10" i="67"/>
  <c r="DO11" i="67"/>
  <c r="DO12" i="67"/>
  <c r="DO13" i="67"/>
  <c r="DO14" i="67"/>
  <c r="DO15" i="67"/>
  <c r="DO16" i="67"/>
  <c r="DO17" i="67"/>
  <c r="DO18" i="67"/>
  <c r="DO19" i="67"/>
  <c r="DO20" i="67"/>
  <c r="DO21" i="67"/>
  <c r="DO22" i="67"/>
  <c r="DO23" i="67"/>
  <c r="DO24" i="67"/>
  <c r="DO25" i="67"/>
  <c r="DO26" i="67"/>
  <c r="DO27" i="67"/>
  <c r="DO28" i="67"/>
  <c r="DO29" i="67"/>
  <c r="DO30" i="67"/>
  <c r="DO31" i="67"/>
  <c r="DO32" i="67"/>
  <c r="DO33" i="67"/>
  <c r="DO34" i="67"/>
  <c r="DO35" i="67"/>
  <c r="DO36" i="67"/>
  <c r="DO37" i="67"/>
  <c r="DO38" i="67"/>
  <c r="DO39" i="67"/>
  <c r="DO9" i="67"/>
  <c r="DO10" i="66"/>
  <c r="DO11" i="66"/>
  <c r="DO12" i="66"/>
  <c r="DO13" i="66"/>
  <c r="DO14" i="66"/>
  <c r="DO15" i="66"/>
  <c r="DO16" i="66"/>
  <c r="DO17" i="66"/>
  <c r="DO18" i="66"/>
  <c r="DO19" i="66"/>
  <c r="DO20" i="66"/>
  <c r="DO21" i="66"/>
  <c r="DO22" i="66"/>
  <c r="DO23" i="66"/>
  <c r="DO24" i="66"/>
  <c r="DO25" i="66"/>
  <c r="DO26" i="66"/>
  <c r="DO27" i="66"/>
  <c r="DO28" i="66"/>
  <c r="DO29" i="66"/>
  <c r="DO30" i="66"/>
  <c r="DO31" i="66"/>
  <c r="DO32" i="66"/>
  <c r="DO33" i="66"/>
  <c r="DO34" i="66"/>
  <c r="DO35" i="66"/>
  <c r="DO36" i="66"/>
  <c r="DO37" i="66"/>
  <c r="DO38" i="66"/>
  <c r="DO39" i="66"/>
  <c r="DO9" i="66"/>
  <c r="DO10" i="65"/>
  <c r="DO11" i="65"/>
  <c r="DO12" i="65"/>
  <c r="DO13" i="65"/>
  <c r="DO14" i="65"/>
  <c r="DO15" i="65"/>
  <c r="DO16" i="65"/>
  <c r="DO17" i="65"/>
  <c r="DO18" i="65"/>
  <c r="DO19" i="65"/>
  <c r="DO20" i="65"/>
  <c r="DO21" i="65"/>
  <c r="DO22" i="65"/>
  <c r="DO23" i="65"/>
  <c r="DO24" i="65"/>
  <c r="DO25" i="65"/>
  <c r="DO26" i="65"/>
  <c r="DO27" i="65"/>
  <c r="DO28" i="65"/>
  <c r="DO29" i="65"/>
  <c r="DO30" i="65"/>
  <c r="DO31" i="65"/>
  <c r="DO32" i="65"/>
  <c r="DO33" i="65"/>
  <c r="DO34" i="65"/>
  <c r="DO35" i="65"/>
  <c r="DO36" i="65"/>
  <c r="DO37" i="65"/>
  <c r="DO38" i="65"/>
  <c r="DO9" i="65"/>
  <c r="DO10" i="64"/>
  <c r="DO11" i="64"/>
  <c r="DO12" i="64"/>
  <c r="DO13" i="64"/>
  <c r="DO14" i="64"/>
  <c r="DO15" i="64"/>
  <c r="DO16" i="64"/>
  <c r="DO17" i="64"/>
  <c r="DO18" i="64"/>
  <c r="DO19" i="64"/>
  <c r="DO20" i="64"/>
  <c r="DO21" i="64"/>
  <c r="DO22" i="64"/>
  <c r="DO23" i="64"/>
  <c r="DO24" i="64"/>
  <c r="DO25" i="64"/>
  <c r="DO26" i="64"/>
  <c r="DO27" i="64"/>
  <c r="DO28" i="64"/>
  <c r="DO29" i="64"/>
  <c r="DO30" i="64"/>
  <c r="DO31" i="64"/>
  <c r="DO32" i="64"/>
  <c r="DO33" i="64"/>
  <c r="DO34" i="64"/>
  <c r="DO35" i="64"/>
  <c r="DO36" i="64"/>
  <c r="DO10" i="63"/>
  <c r="DO11" i="63"/>
  <c r="DO12" i="63"/>
  <c r="DO13" i="63"/>
  <c r="DO14" i="63"/>
  <c r="DO15" i="63"/>
  <c r="DO16" i="63"/>
  <c r="DO17" i="63"/>
  <c r="DO18" i="63"/>
  <c r="DO19" i="63"/>
  <c r="DO20" i="63"/>
  <c r="DO21" i="63"/>
  <c r="DO22" i="63"/>
  <c r="DO23" i="63"/>
  <c r="DO24" i="63"/>
  <c r="DO25" i="63"/>
  <c r="DO26" i="63"/>
  <c r="DO27" i="63"/>
  <c r="DO28" i="63"/>
  <c r="DO29" i="63"/>
  <c r="DO30" i="63"/>
  <c r="DO31" i="63"/>
  <c r="DO32" i="63"/>
  <c r="DO33" i="63"/>
  <c r="DO34" i="63"/>
  <c r="DO35" i="63"/>
  <c r="DO36" i="63"/>
  <c r="DO37" i="63"/>
  <c r="DO38" i="63"/>
  <c r="DO9" i="63"/>
  <c r="DO11" i="41"/>
  <c r="DO12" i="41"/>
  <c r="DO13" i="41"/>
  <c r="DO14" i="41"/>
  <c r="DO15" i="41"/>
  <c r="DO16" i="41"/>
  <c r="DO17" i="41"/>
  <c r="DO18" i="41"/>
  <c r="DO19" i="41"/>
  <c r="DO20" i="41"/>
  <c r="DO21" i="41"/>
  <c r="DO22" i="41"/>
  <c r="DO23" i="41"/>
  <c r="DO24" i="41"/>
  <c r="DO25" i="41"/>
  <c r="DO26" i="41"/>
  <c r="DO27" i="41"/>
  <c r="DO28" i="41"/>
  <c r="DO29" i="41"/>
  <c r="DO30" i="41"/>
  <c r="DO31" i="41"/>
  <c r="DO32" i="41"/>
  <c r="DO33" i="41"/>
  <c r="DO34" i="41"/>
  <c r="DO35" i="41"/>
  <c r="DO36" i="41"/>
  <c r="DO37" i="41"/>
  <c r="DO38" i="41"/>
  <c r="DO39" i="41"/>
  <c r="DO40" i="41"/>
  <c r="DO10" i="41"/>
  <c r="DO9" i="64"/>
  <c r="DR33" i="41"/>
  <c r="I47" i="72"/>
  <c r="FU37" i="68"/>
  <c r="FU36" i="68"/>
  <c r="FU35" i="68"/>
  <c r="FU34" i="68"/>
  <c r="FU33" i="68"/>
  <c r="FU32" i="68"/>
  <c r="FU31" i="68"/>
  <c r="FU30" i="68"/>
  <c r="FU29" i="68"/>
  <c r="FU28" i="68"/>
  <c r="FU27" i="68"/>
  <c r="FU26" i="68"/>
  <c r="FU25" i="68"/>
  <c r="FU24" i="68"/>
  <c r="FU23" i="68"/>
  <c r="FU22" i="68"/>
  <c r="FU21" i="68"/>
  <c r="FU20" i="68"/>
  <c r="FU19" i="68"/>
  <c r="FU18" i="68"/>
  <c r="FU17" i="68"/>
  <c r="FU16" i="68"/>
  <c r="FU15" i="68"/>
  <c r="FU14" i="68"/>
  <c r="FU13" i="68"/>
  <c r="FU12" i="68"/>
  <c r="FU11" i="68"/>
  <c r="FU10" i="68"/>
  <c r="FU9" i="68"/>
  <c r="FU36" i="72"/>
  <c r="FU35" i="72"/>
  <c r="FU34" i="72"/>
  <c r="FU33" i="72"/>
  <c r="FU32" i="72"/>
  <c r="FU31" i="72"/>
  <c r="FU30" i="72"/>
  <c r="FU29" i="72"/>
  <c r="FU28" i="72"/>
  <c r="FU27" i="72"/>
  <c r="FU26" i="72"/>
  <c r="FU25" i="72"/>
  <c r="FU24" i="72"/>
  <c r="FU23" i="72"/>
  <c r="FU22" i="72"/>
  <c r="FU21" i="72"/>
  <c r="FU20" i="72"/>
  <c r="FU19" i="72"/>
  <c r="FU18" i="72"/>
  <c r="FU17" i="72"/>
  <c r="FU16" i="72"/>
  <c r="FU15" i="72"/>
  <c r="FU14" i="72"/>
  <c r="FU13" i="72"/>
  <c r="FU12" i="72"/>
  <c r="FU11" i="72"/>
  <c r="FU10" i="72"/>
  <c r="FU9" i="72"/>
  <c r="FU36" i="70"/>
  <c r="FU35" i="70"/>
  <c r="FU34" i="70"/>
  <c r="FU33" i="70"/>
  <c r="FU32" i="70"/>
  <c r="FU31" i="70"/>
  <c r="FU30" i="70"/>
  <c r="FU29" i="70"/>
  <c r="FU28" i="70"/>
  <c r="FU27" i="70"/>
  <c r="FU26" i="70"/>
  <c r="FU25" i="70"/>
  <c r="FU24" i="70"/>
  <c r="FU23" i="70"/>
  <c r="FU22" i="70"/>
  <c r="FU21" i="70"/>
  <c r="FU20" i="70"/>
  <c r="FU19" i="70"/>
  <c r="FU18" i="70"/>
  <c r="FU17" i="70"/>
  <c r="FU16" i="70"/>
  <c r="FU15" i="70"/>
  <c r="FU14" i="70"/>
  <c r="FU13" i="70"/>
  <c r="FU12" i="70"/>
  <c r="FU11" i="70"/>
  <c r="FU10" i="70"/>
  <c r="FU9" i="70"/>
  <c r="FU36" i="63"/>
  <c r="FU35" i="63"/>
  <c r="FU34" i="63"/>
  <c r="FU33" i="63"/>
  <c r="FU32" i="63"/>
  <c r="FU31" i="63"/>
  <c r="FU30" i="63"/>
  <c r="FU29" i="63"/>
  <c r="FU28" i="63"/>
  <c r="FU27" i="63"/>
  <c r="FU26" i="63"/>
  <c r="FU25" i="63"/>
  <c r="FU24" i="63"/>
  <c r="FU23" i="63"/>
  <c r="FU22" i="63"/>
  <c r="FU21" i="63"/>
  <c r="FU20" i="63"/>
  <c r="FU19" i="63"/>
  <c r="FU18" i="63"/>
  <c r="FU17" i="63"/>
  <c r="FU16" i="63"/>
  <c r="FU15" i="63"/>
  <c r="FU14" i="63"/>
  <c r="FU13" i="63"/>
  <c r="FU12" i="63"/>
  <c r="FU11" i="63"/>
  <c r="FU10" i="63"/>
  <c r="FU9" i="63"/>
  <c r="FU36" i="73"/>
  <c r="FU35" i="73"/>
  <c r="FU34" i="73"/>
  <c r="FU33" i="73"/>
  <c r="FU32" i="73"/>
  <c r="FU31" i="73"/>
  <c r="FU30" i="73"/>
  <c r="FU29" i="73"/>
  <c r="FU28" i="73"/>
  <c r="FU27" i="73"/>
  <c r="FU26" i="73"/>
  <c r="FU25" i="73"/>
  <c r="FU24" i="73"/>
  <c r="FU23" i="73"/>
  <c r="FU22" i="73"/>
  <c r="FU21" i="73"/>
  <c r="FU20" i="73"/>
  <c r="FU19" i="73"/>
  <c r="FU18" i="73"/>
  <c r="FU17" i="73"/>
  <c r="FU16" i="73"/>
  <c r="FU15" i="73"/>
  <c r="FU14" i="73"/>
  <c r="FU13" i="73"/>
  <c r="FU12" i="73"/>
  <c r="FU11" i="73"/>
  <c r="FU10" i="73"/>
  <c r="FU9" i="73"/>
  <c r="FU36" i="71"/>
  <c r="FU35" i="71"/>
  <c r="FU34" i="71"/>
  <c r="FU33" i="71"/>
  <c r="FU32" i="71"/>
  <c r="FU31" i="71"/>
  <c r="FU30" i="71"/>
  <c r="FU29" i="71"/>
  <c r="FU28" i="71"/>
  <c r="FU27" i="71"/>
  <c r="FU26" i="71"/>
  <c r="FU25" i="71"/>
  <c r="FU24" i="71"/>
  <c r="FU23" i="71"/>
  <c r="FU22" i="71"/>
  <c r="FU21" i="71"/>
  <c r="FU20" i="71"/>
  <c r="FU19" i="71"/>
  <c r="FU18" i="71"/>
  <c r="FU17" i="71"/>
  <c r="FU16" i="71"/>
  <c r="FU15" i="71"/>
  <c r="FU14" i="71"/>
  <c r="FU13" i="71"/>
  <c r="FU12" i="71"/>
  <c r="FU11" i="71"/>
  <c r="FU10" i="71"/>
  <c r="FU9" i="71"/>
  <c r="FU36" i="69"/>
  <c r="FU35" i="69"/>
  <c r="FU34" i="69"/>
  <c r="FU33" i="69"/>
  <c r="FU32" i="69"/>
  <c r="FU31" i="69"/>
  <c r="FU30" i="69"/>
  <c r="FU29" i="69"/>
  <c r="FU28" i="69"/>
  <c r="FU27" i="69"/>
  <c r="FU26" i="69"/>
  <c r="FU25" i="69"/>
  <c r="FU24" i="69"/>
  <c r="FU23" i="69"/>
  <c r="FU22" i="69"/>
  <c r="FU21" i="69"/>
  <c r="FU20" i="69"/>
  <c r="FU19" i="69"/>
  <c r="FU18" i="69"/>
  <c r="FU17" i="69"/>
  <c r="FU16" i="69"/>
  <c r="FU15" i="69"/>
  <c r="FU14" i="69"/>
  <c r="FU13" i="69"/>
  <c r="FU12" i="69"/>
  <c r="FU11" i="69"/>
  <c r="FU10" i="69"/>
  <c r="FU9" i="69"/>
  <c r="FU36" i="67"/>
  <c r="FU35" i="67"/>
  <c r="FU34" i="67"/>
  <c r="FU33" i="67"/>
  <c r="FU32" i="67"/>
  <c r="FU31" i="67"/>
  <c r="FU30" i="67"/>
  <c r="FU29" i="67"/>
  <c r="FU28" i="67"/>
  <c r="FU27" i="67"/>
  <c r="FU26" i="67"/>
  <c r="FU25" i="67"/>
  <c r="FU24" i="67"/>
  <c r="FU23" i="67"/>
  <c r="FU22" i="67"/>
  <c r="FU21" i="67"/>
  <c r="FU20" i="67"/>
  <c r="FU19" i="67"/>
  <c r="FU18" i="67"/>
  <c r="FU17" i="67"/>
  <c r="FU16" i="67"/>
  <c r="FU15" i="67"/>
  <c r="FU14" i="67"/>
  <c r="FU13" i="67"/>
  <c r="FU12" i="67"/>
  <c r="FU11" i="67"/>
  <c r="FU10" i="67"/>
  <c r="FU9" i="67"/>
  <c r="FU36" i="41"/>
  <c r="FU35" i="41"/>
  <c r="FU34" i="41"/>
  <c r="FU33" i="41"/>
  <c r="FU32" i="41"/>
  <c r="FU31" i="41"/>
  <c r="FU30" i="41"/>
  <c r="FU29" i="41"/>
  <c r="FU28" i="41"/>
  <c r="FU27" i="41"/>
  <c r="FU26" i="41"/>
  <c r="FU25" i="41"/>
  <c r="FU24" i="41"/>
  <c r="FU23" i="41"/>
  <c r="FU22" i="41"/>
  <c r="FU21" i="41"/>
  <c r="FU20" i="41"/>
  <c r="FU19" i="41"/>
  <c r="FU18" i="41"/>
  <c r="FU17" i="41"/>
  <c r="FU16" i="41"/>
  <c r="FU15" i="41"/>
  <c r="FU14" i="41"/>
  <c r="FU13" i="41"/>
  <c r="FU12" i="41"/>
  <c r="FU11" i="41"/>
  <c r="FU10" i="41"/>
  <c r="FU36" i="64"/>
  <c r="FU35" i="64"/>
  <c r="FU34" i="64"/>
  <c r="FU33" i="64"/>
  <c r="FU32" i="64"/>
  <c r="FU31" i="64"/>
  <c r="FU30" i="64"/>
  <c r="FU29" i="64"/>
  <c r="FU28" i="64"/>
  <c r="FU27" i="64"/>
  <c r="FU26" i="64"/>
  <c r="FU25" i="64"/>
  <c r="FU24" i="64"/>
  <c r="FU23" i="64"/>
  <c r="FU22" i="64"/>
  <c r="FU21" i="64"/>
  <c r="FU20" i="64"/>
  <c r="FU19" i="64"/>
  <c r="FU18" i="64"/>
  <c r="FU17" i="64"/>
  <c r="FU16" i="64"/>
  <c r="FU15" i="64"/>
  <c r="FU14" i="64"/>
  <c r="FU13" i="64"/>
  <c r="FU12" i="64"/>
  <c r="FU11" i="64"/>
  <c r="FU10" i="64"/>
  <c r="FU9" i="64"/>
  <c r="FU34" i="65"/>
  <c r="FU36" i="65"/>
  <c r="FU35" i="65"/>
  <c r="FU33" i="65"/>
  <c r="FU32" i="65"/>
  <c r="FU31" i="65"/>
  <c r="FU30" i="65"/>
  <c r="FU29" i="65"/>
  <c r="FU28" i="65"/>
  <c r="FU27" i="65"/>
  <c r="FU26" i="65"/>
  <c r="FU25" i="65"/>
  <c r="FU24" i="65"/>
  <c r="FU23" i="65"/>
  <c r="FU22" i="65"/>
  <c r="FU21" i="65"/>
  <c r="FU20" i="65"/>
  <c r="FU19" i="65"/>
  <c r="FU18" i="65"/>
  <c r="FU17" i="65"/>
  <c r="FU16" i="65"/>
  <c r="FU15" i="65"/>
  <c r="FU14" i="65"/>
  <c r="FU13" i="65"/>
  <c r="FU12" i="65"/>
  <c r="FU11" i="65"/>
  <c r="FU10" i="65"/>
  <c r="FU9" i="65"/>
  <c r="FU9" i="66"/>
  <c r="FU10" i="66"/>
  <c r="FU11" i="66"/>
  <c r="FU12" i="66"/>
  <c r="FU13" i="66"/>
  <c r="FU14" i="66"/>
  <c r="FU15" i="66"/>
  <c r="FU16" i="66"/>
  <c r="FU17" i="66"/>
  <c r="FU18" i="66"/>
  <c r="FU19" i="66"/>
  <c r="FU20" i="66"/>
  <c r="FU21" i="66"/>
  <c r="FU22" i="66"/>
  <c r="FU23" i="66"/>
  <c r="FU24" i="66"/>
  <c r="FU25" i="66"/>
  <c r="FU26" i="66"/>
  <c r="FU27" i="66"/>
  <c r="FU28" i="66"/>
  <c r="FU30" i="66"/>
  <c r="FU31" i="66"/>
  <c r="FU32" i="66"/>
  <c r="FU33" i="66"/>
  <c r="FU34" i="66"/>
  <c r="FU35" i="66"/>
  <c r="FU36" i="66"/>
  <c r="FU29" i="66"/>
  <c r="EB41" i="41" l="1"/>
  <c r="EA41" i="41"/>
  <c r="DZ41" i="41"/>
  <c r="DY41" i="41"/>
  <c r="DX41" i="41"/>
  <c r="DW41" i="41"/>
  <c r="DV40" i="41"/>
  <c r="DU40" i="41"/>
  <c r="DT40" i="41"/>
  <c r="DS40" i="41"/>
  <c r="DR40" i="41"/>
  <c r="DQ40" i="41"/>
  <c r="DP40" i="41"/>
  <c r="DV39" i="41"/>
  <c r="DU39" i="41"/>
  <c r="DT39" i="41"/>
  <c r="DS39" i="41"/>
  <c r="DR39" i="41"/>
  <c r="DQ39" i="41"/>
  <c r="DP39" i="41"/>
  <c r="DV38" i="41"/>
  <c r="DU38" i="41"/>
  <c r="DT38" i="41"/>
  <c r="DS38" i="41"/>
  <c r="DR38" i="41"/>
  <c r="DQ38" i="41"/>
  <c r="DP38" i="41"/>
  <c r="DV37" i="41"/>
  <c r="DU37" i="41"/>
  <c r="DT37" i="41"/>
  <c r="DS37" i="41"/>
  <c r="DR37" i="41"/>
  <c r="DQ37" i="41"/>
  <c r="DP37" i="41"/>
  <c r="GC36" i="41"/>
  <c r="GB36" i="41"/>
  <c r="GA36" i="41"/>
  <c r="FZ36" i="41"/>
  <c r="FY36" i="41"/>
  <c r="FX36" i="41"/>
  <c r="FW36" i="41"/>
  <c r="FV36" i="41"/>
  <c r="FT36" i="41"/>
  <c r="FS36" i="41"/>
  <c r="FR36" i="41"/>
  <c r="FQ36" i="41"/>
  <c r="FP36" i="41"/>
  <c r="FO36" i="41"/>
  <c r="FN36" i="41"/>
  <c r="FM36" i="41"/>
  <c r="FK36" i="41"/>
  <c r="FI36" i="41"/>
  <c r="FH36" i="41"/>
  <c r="FG36" i="41"/>
  <c r="FF36" i="41"/>
  <c r="FE36" i="41"/>
  <c r="FD36" i="41"/>
  <c r="FC36" i="41"/>
  <c r="FB36" i="41"/>
  <c r="FA36" i="41"/>
  <c r="EZ36" i="41"/>
  <c r="EY36" i="41"/>
  <c r="EX36" i="41"/>
  <c r="EW36" i="41"/>
  <c r="EV36" i="41"/>
  <c r="EU36" i="41"/>
  <c r="ET36" i="41"/>
  <c r="ES36" i="41"/>
  <c r="ER36" i="41"/>
  <c r="EQ36" i="41"/>
  <c r="EP36" i="41"/>
  <c r="EO36" i="41"/>
  <c r="EN36" i="41"/>
  <c r="EM36" i="41"/>
  <c r="EL36" i="41"/>
  <c r="EK36" i="41"/>
  <c r="EJ36" i="41"/>
  <c r="EI36" i="41"/>
  <c r="EH36" i="41"/>
  <c r="EG36" i="41"/>
  <c r="EF36" i="41"/>
  <c r="EE36" i="41"/>
  <c r="ED36" i="41"/>
  <c r="EC36" i="41"/>
  <c r="DV36" i="41"/>
  <c r="DU36" i="41"/>
  <c r="DT36" i="41"/>
  <c r="DS36" i="41"/>
  <c r="DR36" i="41"/>
  <c r="DQ36" i="41"/>
  <c r="DP36" i="41"/>
  <c r="GC35" i="41"/>
  <c r="GB35" i="41"/>
  <c r="GA35" i="41"/>
  <c r="FZ35" i="41"/>
  <c r="FY35" i="41"/>
  <c r="FX35" i="41"/>
  <c r="FW35" i="41"/>
  <c r="FV35" i="41"/>
  <c r="FT35" i="41"/>
  <c r="FS35" i="41"/>
  <c r="FR35" i="41"/>
  <c r="FQ35" i="41"/>
  <c r="FP35" i="41"/>
  <c r="FO35" i="41"/>
  <c r="FN35" i="41"/>
  <c r="FM35" i="41"/>
  <c r="FK35" i="41"/>
  <c r="FI35" i="41"/>
  <c r="FH35" i="41"/>
  <c r="FG35" i="41"/>
  <c r="FF35" i="41"/>
  <c r="FE35" i="41"/>
  <c r="FD35" i="41"/>
  <c r="FC35" i="41"/>
  <c r="FB35" i="41"/>
  <c r="FA35" i="41"/>
  <c r="EZ35" i="41"/>
  <c r="EY35" i="41"/>
  <c r="EX35" i="41"/>
  <c r="EW35" i="41"/>
  <c r="EV35" i="41"/>
  <c r="EU35" i="41"/>
  <c r="ET35" i="41"/>
  <c r="ES35" i="41"/>
  <c r="ER35" i="41"/>
  <c r="EQ35" i="41"/>
  <c r="EP35" i="41"/>
  <c r="EO35" i="41"/>
  <c r="EN35" i="41"/>
  <c r="EM35" i="41"/>
  <c r="EL35" i="41"/>
  <c r="EK35" i="41"/>
  <c r="EJ35" i="41"/>
  <c r="EI35" i="41"/>
  <c r="EH35" i="41"/>
  <c r="EG35" i="41"/>
  <c r="EF35" i="41"/>
  <c r="EE35" i="41"/>
  <c r="ED35" i="41"/>
  <c r="EC35" i="41"/>
  <c r="DV35" i="41"/>
  <c r="DU35" i="41"/>
  <c r="DT35" i="41"/>
  <c r="DS35" i="41"/>
  <c r="DR35" i="41"/>
  <c r="DQ35" i="41"/>
  <c r="DP35" i="41"/>
  <c r="GC34" i="41"/>
  <c r="GB34" i="41"/>
  <c r="GA34" i="41"/>
  <c r="FZ34" i="41"/>
  <c r="FY34" i="41"/>
  <c r="FX34" i="41"/>
  <c r="FW34" i="41"/>
  <c r="FV34" i="41"/>
  <c r="FT34" i="41"/>
  <c r="FS34" i="41"/>
  <c r="FR34" i="41"/>
  <c r="FQ34" i="41"/>
  <c r="FP34" i="41"/>
  <c r="FO34" i="41"/>
  <c r="FN34" i="41"/>
  <c r="FM34" i="41"/>
  <c r="FK34" i="41"/>
  <c r="FI34" i="41"/>
  <c r="FH34" i="41"/>
  <c r="FG34" i="41"/>
  <c r="FF34" i="41"/>
  <c r="FE34" i="41"/>
  <c r="FD34" i="41"/>
  <c r="FC34" i="41"/>
  <c r="FB34" i="41"/>
  <c r="FA34" i="41"/>
  <c r="EZ34" i="41"/>
  <c r="EY34" i="41"/>
  <c r="EX34" i="41"/>
  <c r="EW34" i="41"/>
  <c r="EV34" i="41"/>
  <c r="EU34" i="41"/>
  <c r="ET34" i="41"/>
  <c r="ES34" i="41"/>
  <c r="ER34" i="41"/>
  <c r="EQ34" i="41"/>
  <c r="EP34" i="41"/>
  <c r="EO34" i="41"/>
  <c r="EN34" i="41"/>
  <c r="EM34" i="41"/>
  <c r="EL34" i="41"/>
  <c r="EK34" i="41"/>
  <c r="EJ34" i="41"/>
  <c r="EI34" i="41"/>
  <c r="EH34" i="41"/>
  <c r="EG34" i="41"/>
  <c r="EF34" i="41"/>
  <c r="EE34" i="41"/>
  <c r="ED34" i="41"/>
  <c r="EC34" i="41"/>
  <c r="DV34" i="41"/>
  <c r="DU34" i="41"/>
  <c r="DT34" i="41"/>
  <c r="DS34" i="41"/>
  <c r="DR34" i="41"/>
  <c r="DQ34" i="41"/>
  <c r="DP34" i="41"/>
  <c r="GC33" i="41"/>
  <c r="GB33" i="41"/>
  <c r="GA33" i="41"/>
  <c r="FZ33" i="41"/>
  <c r="FY33" i="41"/>
  <c r="FX33" i="41"/>
  <c r="FW33" i="41"/>
  <c r="FV33" i="41"/>
  <c r="FT33" i="41"/>
  <c r="FS33" i="41"/>
  <c r="FQ33" i="41"/>
  <c r="FO33" i="41"/>
  <c r="FN33" i="41"/>
  <c r="FM33" i="41"/>
  <c r="FK33" i="41"/>
  <c r="FI33" i="41"/>
  <c r="FH33" i="41"/>
  <c r="FG33" i="41"/>
  <c r="FF33" i="41"/>
  <c r="FE33" i="41"/>
  <c r="FD33" i="41"/>
  <c r="FC33" i="41"/>
  <c r="FB33" i="41"/>
  <c r="FA33" i="41"/>
  <c r="EZ33" i="41"/>
  <c r="EY33" i="41"/>
  <c r="EX33" i="41"/>
  <c r="EW33" i="41"/>
  <c r="EV33" i="41"/>
  <c r="EU33" i="41"/>
  <c r="ET33" i="41"/>
  <c r="ES33" i="41"/>
  <c r="ER33" i="41"/>
  <c r="EQ33" i="41"/>
  <c r="EP33" i="41"/>
  <c r="EO33" i="41"/>
  <c r="EN33" i="41"/>
  <c r="EM33" i="41"/>
  <c r="EL33" i="41"/>
  <c r="EK33" i="41"/>
  <c r="EJ33" i="41"/>
  <c r="EI33" i="41"/>
  <c r="EH33" i="41"/>
  <c r="EG33" i="41"/>
  <c r="EF33" i="41"/>
  <c r="EE33" i="41"/>
  <c r="ED33" i="41"/>
  <c r="EC33" i="41"/>
  <c r="DV33" i="41"/>
  <c r="DU33" i="41"/>
  <c r="DT33" i="41"/>
  <c r="DS33" i="41"/>
  <c r="DQ33" i="41"/>
  <c r="DP33" i="41"/>
  <c r="GC32" i="41"/>
  <c r="GB32" i="41"/>
  <c r="GA32" i="41"/>
  <c r="FZ32" i="41"/>
  <c r="FY32" i="41"/>
  <c r="FX32" i="41"/>
  <c r="FW32" i="41"/>
  <c r="FV32" i="41"/>
  <c r="FT32" i="41"/>
  <c r="FS32" i="41"/>
  <c r="FR32" i="41"/>
  <c r="FQ32" i="41"/>
  <c r="FP32" i="41"/>
  <c r="FO32" i="41"/>
  <c r="FN32" i="41"/>
  <c r="FM32" i="41"/>
  <c r="FK32" i="41"/>
  <c r="FI32" i="41"/>
  <c r="FH32" i="41"/>
  <c r="FG32" i="41"/>
  <c r="FF32" i="41"/>
  <c r="FE32" i="41"/>
  <c r="FD32" i="41"/>
  <c r="FC32" i="41"/>
  <c r="FB32" i="41"/>
  <c r="FA32" i="41"/>
  <c r="EZ32" i="41"/>
  <c r="EY32" i="41"/>
  <c r="EX32" i="41"/>
  <c r="EW32" i="41"/>
  <c r="EV32" i="41"/>
  <c r="EU32" i="41"/>
  <c r="ET32" i="41"/>
  <c r="ES32" i="41"/>
  <c r="ER32" i="41"/>
  <c r="EQ32" i="41"/>
  <c r="EP32" i="41"/>
  <c r="EO32" i="41"/>
  <c r="EN32" i="41"/>
  <c r="EM32" i="41"/>
  <c r="EL32" i="41"/>
  <c r="EK32" i="41"/>
  <c r="EJ32" i="41"/>
  <c r="EI32" i="41"/>
  <c r="EH32" i="41"/>
  <c r="EG32" i="41"/>
  <c r="EF32" i="41"/>
  <c r="EE32" i="41"/>
  <c r="ED32" i="41"/>
  <c r="EC32" i="41"/>
  <c r="DV32" i="41"/>
  <c r="DU32" i="41"/>
  <c r="DT32" i="41"/>
  <c r="DS32" i="41"/>
  <c r="DR32" i="41"/>
  <c r="DQ32" i="41"/>
  <c r="DP32" i="41"/>
  <c r="GC31" i="41"/>
  <c r="GB31" i="41"/>
  <c r="GA31" i="41"/>
  <c r="FZ31" i="41"/>
  <c r="FY31" i="41"/>
  <c r="FX31" i="41"/>
  <c r="FW31" i="41"/>
  <c r="FV31" i="41"/>
  <c r="FT31" i="41"/>
  <c r="FS31" i="41"/>
  <c r="FR31" i="41"/>
  <c r="FQ31" i="41"/>
  <c r="FP31" i="41"/>
  <c r="FO31" i="41"/>
  <c r="FN31" i="41"/>
  <c r="FM31" i="41"/>
  <c r="FK31" i="41"/>
  <c r="FI31" i="41"/>
  <c r="FH31" i="41"/>
  <c r="FG31" i="41"/>
  <c r="FF31" i="41"/>
  <c r="FE31" i="41"/>
  <c r="FD31" i="41"/>
  <c r="FC31" i="41"/>
  <c r="FB31" i="41"/>
  <c r="FA31" i="41"/>
  <c r="EZ31" i="41"/>
  <c r="EY31" i="41"/>
  <c r="EX31" i="41"/>
  <c r="EW31" i="41"/>
  <c r="EV31" i="41"/>
  <c r="EU31" i="41"/>
  <c r="ET31" i="41"/>
  <c r="ES31" i="41"/>
  <c r="ER31" i="41"/>
  <c r="EQ31" i="41"/>
  <c r="EP31" i="41"/>
  <c r="EO31" i="41"/>
  <c r="EN31" i="41"/>
  <c r="EM31" i="41"/>
  <c r="EL31" i="41"/>
  <c r="EK31" i="41"/>
  <c r="EJ31" i="41"/>
  <c r="EI31" i="41"/>
  <c r="EH31" i="41"/>
  <c r="EG31" i="41"/>
  <c r="EF31" i="41"/>
  <c r="EE31" i="41"/>
  <c r="ED31" i="41"/>
  <c r="EC31" i="41"/>
  <c r="DV31" i="41"/>
  <c r="DU31" i="41"/>
  <c r="DT31" i="41"/>
  <c r="DS31" i="41"/>
  <c r="DR31" i="41"/>
  <c r="DQ31" i="41"/>
  <c r="DP31" i="41"/>
  <c r="GC30" i="41"/>
  <c r="GB30" i="41"/>
  <c r="GA30" i="41"/>
  <c r="FZ30" i="41"/>
  <c r="FY30" i="41"/>
  <c r="FX30" i="41"/>
  <c r="FW30" i="41"/>
  <c r="FV30" i="41"/>
  <c r="FT30" i="41"/>
  <c r="FS30" i="41"/>
  <c r="FR30" i="41"/>
  <c r="FQ30" i="41"/>
  <c r="FP30" i="41"/>
  <c r="FO30" i="41"/>
  <c r="FN30" i="41"/>
  <c r="FM30" i="41"/>
  <c r="FK30" i="41"/>
  <c r="FI30" i="41"/>
  <c r="FH30" i="41"/>
  <c r="FG30" i="41"/>
  <c r="FF30" i="41"/>
  <c r="FE30" i="41"/>
  <c r="FD30" i="41"/>
  <c r="FC30" i="41"/>
  <c r="FB30" i="41"/>
  <c r="FA30" i="41"/>
  <c r="EZ30" i="41"/>
  <c r="EY30" i="41"/>
  <c r="EX30" i="41"/>
  <c r="EW30" i="41"/>
  <c r="EV30" i="41"/>
  <c r="EU30" i="41"/>
  <c r="ET30" i="41"/>
  <c r="ES30" i="41"/>
  <c r="ER30" i="41"/>
  <c r="EQ30" i="41"/>
  <c r="EP30" i="41"/>
  <c r="EO30" i="41"/>
  <c r="EN30" i="41"/>
  <c r="EM30" i="41"/>
  <c r="EL30" i="41"/>
  <c r="EK30" i="41"/>
  <c r="EJ30" i="41"/>
  <c r="EI30" i="41"/>
  <c r="EH30" i="41"/>
  <c r="EG30" i="41"/>
  <c r="EF30" i="41"/>
  <c r="EE30" i="41"/>
  <c r="ED30" i="41"/>
  <c r="EC30" i="41"/>
  <c r="DV30" i="41"/>
  <c r="DU30" i="41"/>
  <c r="DT30" i="41"/>
  <c r="DS30" i="41"/>
  <c r="DR30" i="41"/>
  <c r="DQ30" i="41"/>
  <c r="DP30" i="41"/>
  <c r="GC29" i="41"/>
  <c r="GB29" i="41"/>
  <c r="GA29" i="41"/>
  <c r="FZ29" i="41"/>
  <c r="FY29" i="41"/>
  <c r="FX29" i="41"/>
  <c r="FW29" i="41"/>
  <c r="FV29" i="41"/>
  <c r="FT29" i="41"/>
  <c r="FS29" i="41"/>
  <c r="FR29" i="41"/>
  <c r="FQ29" i="41"/>
  <c r="FP29" i="41"/>
  <c r="FO29" i="41"/>
  <c r="FN29" i="41"/>
  <c r="FM29" i="41"/>
  <c r="FK29" i="41"/>
  <c r="FI29" i="41"/>
  <c r="FH29" i="41"/>
  <c r="FG29" i="41"/>
  <c r="FF29" i="41"/>
  <c r="FE29" i="41"/>
  <c r="FD29" i="41"/>
  <c r="FC29" i="41"/>
  <c r="FB29" i="41"/>
  <c r="FA29" i="41"/>
  <c r="EZ29" i="41"/>
  <c r="EY29" i="41"/>
  <c r="EX29" i="41"/>
  <c r="EW29" i="41"/>
  <c r="EV29" i="41"/>
  <c r="EU29" i="41"/>
  <c r="ET29" i="41"/>
  <c r="ES29" i="41"/>
  <c r="ER29" i="41"/>
  <c r="EQ29" i="41"/>
  <c r="EP29" i="41"/>
  <c r="EO29" i="41"/>
  <c r="EN29" i="41"/>
  <c r="EM29" i="41"/>
  <c r="EL29" i="41"/>
  <c r="EK29" i="41"/>
  <c r="EJ29" i="41"/>
  <c r="EI29" i="41"/>
  <c r="EH29" i="41"/>
  <c r="EG29" i="41"/>
  <c r="EF29" i="41"/>
  <c r="EE29" i="41"/>
  <c r="ED29" i="41"/>
  <c r="EC29" i="41"/>
  <c r="DV29" i="41"/>
  <c r="DU29" i="41"/>
  <c r="DT29" i="41"/>
  <c r="DS29" i="41"/>
  <c r="DR29" i="41"/>
  <c r="DQ29" i="41"/>
  <c r="DP29" i="41"/>
  <c r="GC28" i="41"/>
  <c r="GB28" i="41"/>
  <c r="GA28" i="41"/>
  <c r="FZ28" i="41"/>
  <c r="FY28" i="41"/>
  <c r="FX28" i="41"/>
  <c r="FW28" i="41"/>
  <c r="FV28" i="41"/>
  <c r="FT28" i="41"/>
  <c r="FS28" i="41"/>
  <c r="FR28" i="41"/>
  <c r="FQ28" i="41"/>
  <c r="FP28" i="41"/>
  <c r="FO28" i="41"/>
  <c r="FN28" i="41"/>
  <c r="FM28" i="41"/>
  <c r="FK28" i="41"/>
  <c r="FI28" i="41"/>
  <c r="FH28" i="41"/>
  <c r="FG28" i="41"/>
  <c r="FF28" i="41"/>
  <c r="FE28" i="41"/>
  <c r="FD28" i="41"/>
  <c r="FC28" i="41"/>
  <c r="FB28" i="41"/>
  <c r="FA28" i="41"/>
  <c r="EZ28" i="41"/>
  <c r="EY28" i="41"/>
  <c r="EX28" i="41"/>
  <c r="EW28" i="41"/>
  <c r="EV28" i="41"/>
  <c r="EU28" i="41"/>
  <c r="ET28" i="41"/>
  <c r="ES28" i="41"/>
  <c r="ER28" i="41"/>
  <c r="EQ28" i="41"/>
  <c r="EP28" i="41"/>
  <c r="EO28" i="41"/>
  <c r="EN28" i="41"/>
  <c r="EM28" i="41"/>
  <c r="EL28" i="41"/>
  <c r="EK28" i="41"/>
  <c r="EJ28" i="41"/>
  <c r="EI28" i="41"/>
  <c r="EH28" i="41"/>
  <c r="EG28" i="41"/>
  <c r="EF28" i="41"/>
  <c r="EE28" i="41"/>
  <c r="ED28" i="41"/>
  <c r="EC28" i="41"/>
  <c r="DV28" i="41"/>
  <c r="DU28" i="41"/>
  <c r="DT28" i="41"/>
  <c r="DS28" i="41"/>
  <c r="DR28" i="41"/>
  <c r="DQ28" i="41"/>
  <c r="DP28" i="41"/>
  <c r="GC27" i="41"/>
  <c r="GB27" i="41"/>
  <c r="GA27" i="41"/>
  <c r="FZ27" i="41"/>
  <c r="FY27" i="41"/>
  <c r="FX27" i="41"/>
  <c r="FW27" i="41"/>
  <c r="FV27" i="41"/>
  <c r="FT27" i="41"/>
  <c r="FS27" i="41"/>
  <c r="FR27" i="41"/>
  <c r="FQ27" i="41"/>
  <c r="FP27" i="41"/>
  <c r="FO27" i="41"/>
  <c r="FN27" i="41"/>
  <c r="FM27" i="41"/>
  <c r="FK27" i="41"/>
  <c r="FI27" i="41"/>
  <c r="FH27" i="41"/>
  <c r="FG27" i="41"/>
  <c r="FF27" i="41"/>
  <c r="FE27" i="41"/>
  <c r="FD27" i="41"/>
  <c r="FC27" i="41"/>
  <c r="FB27" i="41"/>
  <c r="FA27" i="41"/>
  <c r="EZ27" i="41"/>
  <c r="EY27" i="41"/>
  <c r="EX27" i="41"/>
  <c r="EW27" i="41"/>
  <c r="EV27" i="41"/>
  <c r="EU27" i="41"/>
  <c r="ET27" i="41"/>
  <c r="ES27" i="41"/>
  <c r="ER27" i="41"/>
  <c r="EQ27" i="41"/>
  <c r="EP27" i="41"/>
  <c r="EO27" i="41"/>
  <c r="EN27" i="41"/>
  <c r="EM27" i="41"/>
  <c r="EL27" i="41"/>
  <c r="EK27" i="41"/>
  <c r="EJ27" i="41"/>
  <c r="EI27" i="41"/>
  <c r="EH27" i="41"/>
  <c r="EG27" i="41"/>
  <c r="EF27" i="41"/>
  <c r="EE27" i="41"/>
  <c r="ED27" i="41"/>
  <c r="EC27" i="41"/>
  <c r="DV27" i="41"/>
  <c r="DU27" i="41"/>
  <c r="DT27" i="41"/>
  <c r="DS27" i="41"/>
  <c r="DR27" i="41"/>
  <c r="DQ27" i="41"/>
  <c r="DP27" i="41"/>
  <c r="GC26" i="41"/>
  <c r="GB26" i="41"/>
  <c r="GA26" i="41"/>
  <c r="FZ26" i="41"/>
  <c r="FY26" i="41"/>
  <c r="FX26" i="41"/>
  <c r="FW26" i="41"/>
  <c r="FV26" i="41"/>
  <c r="FT26" i="41"/>
  <c r="FS26" i="41"/>
  <c r="FQ26" i="41"/>
  <c r="FO26" i="41"/>
  <c r="FN26" i="41"/>
  <c r="FM26" i="41"/>
  <c r="FK26" i="41"/>
  <c r="FI26" i="41"/>
  <c r="FH26" i="41"/>
  <c r="FG26" i="41"/>
  <c r="FF26" i="41"/>
  <c r="FE26" i="41"/>
  <c r="FD26" i="41"/>
  <c r="FC26" i="41"/>
  <c r="FB26" i="41"/>
  <c r="FA26" i="41"/>
  <c r="EZ26" i="41"/>
  <c r="EY26" i="41"/>
  <c r="EX26" i="41"/>
  <c r="EW26" i="41"/>
  <c r="EV26" i="41"/>
  <c r="EU26" i="41"/>
  <c r="ET26" i="41"/>
  <c r="ES26" i="41"/>
  <c r="ER26" i="41"/>
  <c r="EQ26" i="41"/>
  <c r="EP26" i="41"/>
  <c r="EO26" i="41"/>
  <c r="EN26" i="41"/>
  <c r="EM26" i="41"/>
  <c r="EL26" i="41"/>
  <c r="EK26" i="41"/>
  <c r="EJ26" i="41"/>
  <c r="EI26" i="41"/>
  <c r="EH26" i="41"/>
  <c r="EG26" i="41"/>
  <c r="EF26" i="41"/>
  <c r="EE26" i="41"/>
  <c r="ED26" i="41"/>
  <c r="EC26" i="41"/>
  <c r="DV26" i="41"/>
  <c r="DU26" i="41"/>
  <c r="DT26" i="41"/>
  <c r="DS26" i="41"/>
  <c r="DR26" i="41"/>
  <c r="DQ26" i="41"/>
  <c r="DP26" i="41"/>
  <c r="GC25" i="41"/>
  <c r="GB25" i="41"/>
  <c r="GA25" i="41"/>
  <c r="FZ25" i="41"/>
  <c r="FY25" i="41"/>
  <c r="FX25" i="41"/>
  <c r="FW25" i="41"/>
  <c r="FV25" i="41"/>
  <c r="FT25" i="41"/>
  <c r="FS25" i="41"/>
  <c r="FQ25" i="41"/>
  <c r="FO25" i="41"/>
  <c r="FN25" i="41"/>
  <c r="FM25" i="41"/>
  <c r="FK25" i="41"/>
  <c r="FI25" i="41"/>
  <c r="FH25" i="41"/>
  <c r="FG25" i="41"/>
  <c r="FF25" i="41"/>
  <c r="FE25" i="41"/>
  <c r="FD25" i="41"/>
  <c r="FC25" i="41"/>
  <c r="FB25" i="41"/>
  <c r="FA25" i="41"/>
  <c r="EZ25" i="41"/>
  <c r="EY25" i="41"/>
  <c r="EX25" i="41"/>
  <c r="EW25" i="41"/>
  <c r="EV25" i="41"/>
  <c r="EU25" i="41"/>
  <c r="ET25" i="41"/>
  <c r="ES25" i="41"/>
  <c r="ER25" i="41"/>
  <c r="EQ25" i="41"/>
  <c r="EP25" i="41"/>
  <c r="EO25" i="41"/>
  <c r="EN25" i="41"/>
  <c r="EM25" i="41"/>
  <c r="EL25" i="41"/>
  <c r="EK25" i="41"/>
  <c r="EJ25" i="41"/>
  <c r="EI25" i="41"/>
  <c r="EH25" i="41"/>
  <c r="EG25" i="41"/>
  <c r="EF25" i="41"/>
  <c r="EE25" i="41"/>
  <c r="ED25" i="41"/>
  <c r="EC25" i="41"/>
  <c r="DV25" i="41"/>
  <c r="DU25" i="41"/>
  <c r="DT25" i="41"/>
  <c r="DS25" i="41"/>
  <c r="DR25" i="41"/>
  <c r="DQ25" i="41"/>
  <c r="DP25" i="41"/>
  <c r="GC24" i="41"/>
  <c r="GB24" i="41"/>
  <c r="GA24" i="41"/>
  <c r="FZ24" i="41"/>
  <c r="FY24" i="41"/>
  <c r="FX24" i="41"/>
  <c r="FW24" i="41"/>
  <c r="FV24" i="41"/>
  <c r="FT24" i="41"/>
  <c r="FS24" i="41"/>
  <c r="FR24" i="41"/>
  <c r="FQ24" i="41"/>
  <c r="FP24" i="41"/>
  <c r="FO24" i="41"/>
  <c r="FN24" i="41"/>
  <c r="FM24" i="41"/>
  <c r="FK24" i="41"/>
  <c r="FI24" i="41"/>
  <c r="FH24" i="41"/>
  <c r="FG24" i="41"/>
  <c r="FF24" i="41"/>
  <c r="FE24" i="41"/>
  <c r="FD24" i="41"/>
  <c r="FC24" i="41"/>
  <c r="FB24" i="41"/>
  <c r="FA24" i="41"/>
  <c r="EZ24" i="41"/>
  <c r="EY24" i="41"/>
  <c r="EX24" i="41"/>
  <c r="EW24" i="41"/>
  <c r="EV24" i="41"/>
  <c r="EU24" i="41"/>
  <c r="ET24" i="41"/>
  <c r="ES24" i="41"/>
  <c r="ER24" i="41"/>
  <c r="EQ24" i="41"/>
  <c r="EP24" i="41"/>
  <c r="EO24" i="41"/>
  <c r="EN24" i="41"/>
  <c r="EM24" i="41"/>
  <c r="EL24" i="41"/>
  <c r="EK24" i="41"/>
  <c r="EJ24" i="41"/>
  <c r="EI24" i="41"/>
  <c r="EH24" i="41"/>
  <c r="EG24" i="41"/>
  <c r="EF24" i="41"/>
  <c r="EE24" i="41"/>
  <c r="ED24" i="41"/>
  <c r="EC24" i="41"/>
  <c r="DV24" i="41"/>
  <c r="DU24" i="41"/>
  <c r="DT24" i="41"/>
  <c r="DS24" i="41"/>
  <c r="DR24" i="41"/>
  <c r="DQ24" i="41"/>
  <c r="DP24" i="41"/>
  <c r="GC23" i="41"/>
  <c r="GB23" i="41"/>
  <c r="GA23" i="41"/>
  <c r="FZ23" i="41"/>
  <c r="FY23" i="41"/>
  <c r="FX23" i="41"/>
  <c r="FW23" i="41"/>
  <c r="FV23" i="41"/>
  <c r="FT23" i="41"/>
  <c r="FS23" i="41"/>
  <c r="FQ23" i="41"/>
  <c r="FO23" i="41"/>
  <c r="FN23" i="41"/>
  <c r="FM23" i="41"/>
  <c r="FK23" i="41"/>
  <c r="FI23" i="41"/>
  <c r="FH23" i="41"/>
  <c r="FG23" i="41"/>
  <c r="FF23" i="41"/>
  <c r="FE23" i="41"/>
  <c r="FD23" i="41"/>
  <c r="FC23" i="41"/>
  <c r="FB23" i="41"/>
  <c r="FA23" i="41"/>
  <c r="EZ23" i="41"/>
  <c r="EY23" i="41"/>
  <c r="EX23" i="41"/>
  <c r="EW23" i="41"/>
  <c r="EV23" i="41"/>
  <c r="EU23" i="41"/>
  <c r="ET23" i="41"/>
  <c r="ES23" i="41"/>
  <c r="ER23" i="41"/>
  <c r="EQ23" i="41"/>
  <c r="EP23" i="41"/>
  <c r="EO23" i="41"/>
  <c r="EN23" i="41"/>
  <c r="EM23" i="41"/>
  <c r="EL23" i="41"/>
  <c r="EK23" i="41"/>
  <c r="EJ23" i="41"/>
  <c r="EI23" i="41"/>
  <c r="EH23" i="41"/>
  <c r="EG23" i="41"/>
  <c r="EF23" i="41"/>
  <c r="EE23" i="41"/>
  <c r="ED23" i="41"/>
  <c r="EC23" i="41"/>
  <c r="DV23" i="41"/>
  <c r="DU23" i="41"/>
  <c r="DT23" i="41"/>
  <c r="DS23" i="41"/>
  <c r="DR23" i="41"/>
  <c r="DQ23" i="41"/>
  <c r="DP23" i="41"/>
  <c r="GC22" i="41"/>
  <c r="GB22" i="41"/>
  <c r="GA22" i="41"/>
  <c r="FZ22" i="41"/>
  <c r="FY22" i="41"/>
  <c r="FX22" i="41"/>
  <c r="FW22" i="41"/>
  <c r="FV22" i="41"/>
  <c r="FT22" i="41"/>
  <c r="FS22" i="41"/>
  <c r="FQ22" i="41"/>
  <c r="FO22" i="41"/>
  <c r="FN22" i="41"/>
  <c r="FM22" i="41"/>
  <c r="FK22" i="41"/>
  <c r="FI22" i="41"/>
  <c r="FH22" i="41"/>
  <c r="FG22" i="41"/>
  <c r="FF22" i="41"/>
  <c r="FE22" i="41"/>
  <c r="FD22" i="41"/>
  <c r="FC22" i="41"/>
  <c r="FB22" i="41"/>
  <c r="FA22" i="41"/>
  <c r="EZ22" i="41"/>
  <c r="EY22" i="41"/>
  <c r="EX22" i="41"/>
  <c r="EW22" i="41"/>
  <c r="EV22" i="41"/>
  <c r="EU22" i="41"/>
  <c r="ET22" i="41"/>
  <c r="ES22" i="41"/>
  <c r="ER22" i="41"/>
  <c r="EQ22" i="41"/>
  <c r="EP22" i="41"/>
  <c r="EO22" i="41"/>
  <c r="EN22" i="41"/>
  <c r="EM22" i="41"/>
  <c r="EL22" i="41"/>
  <c r="EK22" i="41"/>
  <c r="EJ22" i="41"/>
  <c r="EI22" i="41"/>
  <c r="EH22" i="41"/>
  <c r="EG22" i="41"/>
  <c r="EF22" i="41"/>
  <c r="EE22" i="41"/>
  <c r="ED22" i="41"/>
  <c r="EC22" i="41"/>
  <c r="DV22" i="41"/>
  <c r="DU22" i="41"/>
  <c r="DT22" i="41"/>
  <c r="DS22" i="41"/>
  <c r="DR22" i="41"/>
  <c r="DQ22" i="41"/>
  <c r="DP22" i="41"/>
  <c r="GC21" i="41"/>
  <c r="GB21" i="41"/>
  <c r="GA21" i="41"/>
  <c r="FZ21" i="41"/>
  <c r="FY21" i="41"/>
  <c r="FX21" i="41"/>
  <c r="FW21" i="41"/>
  <c r="FV21" i="41"/>
  <c r="FT21" i="41"/>
  <c r="FS21" i="41"/>
  <c r="FQ21" i="41"/>
  <c r="FO21" i="41"/>
  <c r="FN21" i="41"/>
  <c r="FM21" i="41"/>
  <c r="FK21" i="41"/>
  <c r="FI21" i="41"/>
  <c r="FH21" i="41"/>
  <c r="FG21" i="41"/>
  <c r="FF21" i="41"/>
  <c r="FE21" i="41"/>
  <c r="FD21" i="41"/>
  <c r="FC21" i="41"/>
  <c r="FB21" i="41"/>
  <c r="FA21" i="41"/>
  <c r="EZ21" i="41"/>
  <c r="EY21" i="41"/>
  <c r="EX21" i="41"/>
  <c r="EW21" i="41"/>
  <c r="EV21" i="41"/>
  <c r="EU21" i="41"/>
  <c r="ET21" i="41"/>
  <c r="ES21" i="41"/>
  <c r="ER21" i="41"/>
  <c r="EQ21" i="41"/>
  <c r="EP21" i="41"/>
  <c r="EO21" i="41"/>
  <c r="EN21" i="41"/>
  <c r="EM21" i="41"/>
  <c r="EL21" i="41"/>
  <c r="EK21" i="41"/>
  <c r="EJ21" i="41"/>
  <c r="EI21" i="41"/>
  <c r="EH21" i="41"/>
  <c r="EG21" i="41"/>
  <c r="EF21" i="41"/>
  <c r="EE21" i="41"/>
  <c r="ED21" i="41"/>
  <c r="EC21" i="41"/>
  <c r="DV21" i="41"/>
  <c r="DU21" i="41"/>
  <c r="DT21" i="41"/>
  <c r="DS21" i="41"/>
  <c r="DR21" i="41"/>
  <c r="DQ21" i="41"/>
  <c r="DP21" i="41"/>
  <c r="GC20" i="41"/>
  <c r="GB20" i="41"/>
  <c r="GA20" i="41"/>
  <c r="FZ20" i="41"/>
  <c r="FY20" i="41"/>
  <c r="FX20" i="41"/>
  <c r="FW20" i="41"/>
  <c r="FV20" i="41"/>
  <c r="FT20" i="41"/>
  <c r="FS20" i="41"/>
  <c r="FQ20" i="41"/>
  <c r="FO20" i="41"/>
  <c r="FN20" i="41"/>
  <c r="FM20" i="41"/>
  <c r="FK20" i="41"/>
  <c r="FI20" i="41"/>
  <c r="FH20" i="41"/>
  <c r="FG20" i="41"/>
  <c r="FF20" i="41"/>
  <c r="FE20" i="41"/>
  <c r="FD20" i="41"/>
  <c r="FC20" i="41"/>
  <c r="FB20" i="41"/>
  <c r="FA20" i="41"/>
  <c r="EZ20" i="41"/>
  <c r="EY20" i="41"/>
  <c r="EX20" i="41"/>
  <c r="EW20" i="41"/>
  <c r="EV20" i="41"/>
  <c r="EU20" i="41"/>
  <c r="ET20" i="41"/>
  <c r="ES20" i="41"/>
  <c r="ER20" i="41"/>
  <c r="EQ20" i="41"/>
  <c r="EP20" i="41"/>
  <c r="EO20" i="41"/>
  <c r="EN20" i="41"/>
  <c r="EM20" i="41"/>
  <c r="EL20" i="41"/>
  <c r="EK20" i="41"/>
  <c r="EJ20" i="41"/>
  <c r="EI20" i="41"/>
  <c r="EH20" i="41"/>
  <c r="EG20" i="41"/>
  <c r="EF20" i="41"/>
  <c r="EE20" i="41"/>
  <c r="ED20" i="41"/>
  <c r="EC20" i="41"/>
  <c r="DV20" i="41"/>
  <c r="DU20" i="41"/>
  <c r="DT20" i="41"/>
  <c r="DS20" i="41"/>
  <c r="DR20" i="41"/>
  <c r="DQ20" i="41"/>
  <c r="DP20" i="41"/>
  <c r="GC19" i="41"/>
  <c r="GB19" i="41"/>
  <c r="GA19" i="41"/>
  <c r="FZ19" i="41"/>
  <c r="FY19" i="41"/>
  <c r="FX19" i="41"/>
  <c r="FW19" i="41"/>
  <c r="FV19" i="41"/>
  <c r="FT19" i="41"/>
  <c r="FS19" i="41"/>
  <c r="FQ19" i="41"/>
  <c r="FO19" i="41"/>
  <c r="FN19" i="41"/>
  <c r="FM19" i="41"/>
  <c r="FK19" i="41"/>
  <c r="FI19" i="41"/>
  <c r="FH19" i="41"/>
  <c r="FG19" i="41"/>
  <c r="FF19" i="41"/>
  <c r="FE19" i="41"/>
  <c r="FD19" i="41"/>
  <c r="FC19" i="41"/>
  <c r="FB19" i="41"/>
  <c r="FA19" i="41"/>
  <c r="EZ19" i="41"/>
  <c r="EY19" i="41"/>
  <c r="EX19" i="41"/>
  <c r="EW19" i="41"/>
  <c r="EV19" i="41"/>
  <c r="EU19" i="41"/>
  <c r="ET19" i="41"/>
  <c r="ES19" i="41"/>
  <c r="ER19" i="41"/>
  <c r="EQ19" i="41"/>
  <c r="EP19" i="41"/>
  <c r="EO19" i="41"/>
  <c r="EN19" i="41"/>
  <c r="EM19" i="41"/>
  <c r="EL19" i="41"/>
  <c r="EK19" i="41"/>
  <c r="EJ19" i="41"/>
  <c r="EI19" i="41"/>
  <c r="EH19" i="41"/>
  <c r="EG19" i="41"/>
  <c r="EF19" i="41"/>
  <c r="EE19" i="41"/>
  <c r="ED19" i="41"/>
  <c r="EC19" i="41"/>
  <c r="DV19" i="41"/>
  <c r="DU19" i="41"/>
  <c r="DT19" i="41"/>
  <c r="DS19" i="41"/>
  <c r="DR19" i="41"/>
  <c r="DQ19" i="41"/>
  <c r="DP19" i="41"/>
  <c r="GC18" i="41"/>
  <c r="GB18" i="41"/>
  <c r="GA18" i="41"/>
  <c r="FZ18" i="41"/>
  <c r="FY18" i="41"/>
  <c r="FX18" i="41"/>
  <c r="FW18" i="41"/>
  <c r="FV18" i="41"/>
  <c r="FT18" i="41"/>
  <c r="FS18" i="41"/>
  <c r="FQ18" i="41"/>
  <c r="FO18" i="41"/>
  <c r="FN18" i="41"/>
  <c r="FM18" i="41"/>
  <c r="FK18" i="41"/>
  <c r="FI18" i="41"/>
  <c r="FH18" i="41"/>
  <c r="FG18" i="41"/>
  <c r="FF18" i="41"/>
  <c r="FE18" i="41"/>
  <c r="FD18" i="41"/>
  <c r="FC18" i="41"/>
  <c r="FB18" i="41"/>
  <c r="FA18" i="41"/>
  <c r="EZ18" i="41"/>
  <c r="EY18" i="41"/>
  <c r="EX18" i="41"/>
  <c r="EW18" i="41"/>
  <c r="EV18" i="41"/>
  <c r="EU18" i="41"/>
  <c r="ET18" i="41"/>
  <c r="ES18" i="41"/>
  <c r="ER18" i="41"/>
  <c r="EQ18" i="41"/>
  <c r="EP18" i="41"/>
  <c r="EO18" i="41"/>
  <c r="EN18" i="41"/>
  <c r="EM18" i="41"/>
  <c r="EL18" i="41"/>
  <c r="EK18" i="41"/>
  <c r="EJ18" i="41"/>
  <c r="EI18" i="41"/>
  <c r="EH18" i="41"/>
  <c r="EG18" i="41"/>
  <c r="EF18" i="41"/>
  <c r="EE18" i="41"/>
  <c r="ED18" i="41"/>
  <c r="EC18" i="41"/>
  <c r="DV18" i="41"/>
  <c r="DU18" i="41"/>
  <c r="DT18" i="41"/>
  <c r="DS18" i="41"/>
  <c r="DR18" i="41"/>
  <c r="DQ18" i="41"/>
  <c r="DP18" i="41"/>
  <c r="GC17" i="41"/>
  <c r="GB17" i="41"/>
  <c r="GA17" i="41"/>
  <c r="FZ17" i="41"/>
  <c r="FY17" i="41"/>
  <c r="FX17" i="41"/>
  <c r="FW17" i="41"/>
  <c r="FV17" i="41"/>
  <c r="FT17" i="41"/>
  <c r="FS17" i="41"/>
  <c r="FQ17" i="41"/>
  <c r="FO17" i="41"/>
  <c r="FN17" i="41"/>
  <c r="FM17" i="41"/>
  <c r="FK17" i="41"/>
  <c r="FI17" i="41"/>
  <c r="FH17" i="41"/>
  <c r="FG17" i="41"/>
  <c r="FF17" i="41"/>
  <c r="FE17" i="41"/>
  <c r="FD17" i="41"/>
  <c r="FC17" i="41"/>
  <c r="FB17" i="41"/>
  <c r="FA17" i="41"/>
  <c r="EZ17" i="41"/>
  <c r="EY17" i="41"/>
  <c r="EX17" i="41"/>
  <c r="EW17" i="41"/>
  <c r="EV17" i="41"/>
  <c r="EU17" i="41"/>
  <c r="ET17" i="41"/>
  <c r="ES17" i="41"/>
  <c r="ER17" i="41"/>
  <c r="EQ17" i="41"/>
  <c r="EP17" i="41"/>
  <c r="EO17" i="41"/>
  <c r="EN17" i="41"/>
  <c r="EM17" i="41"/>
  <c r="EL17" i="41"/>
  <c r="EK17" i="41"/>
  <c r="EJ17" i="41"/>
  <c r="EI17" i="41"/>
  <c r="EH17" i="41"/>
  <c r="EG17" i="41"/>
  <c r="EF17" i="41"/>
  <c r="EE17" i="41"/>
  <c r="ED17" i="41"/>
  <c r="EC17" i="41"/>
  <c r="DV17" i="41"/>
  <c r="DU17" i="41"/>
  <c r="DT17" i="41"/>
  <c r="DS17" i="41"/>
  <c r="DR17" i="41"/>
  <c r="DQ17" i="41"/>
  <c r="DP17" i="41"/>
  <c r="GC16" i="41"/>
  <c r="GB16" i="41"/>
  <c r="GA16" i="41"/>
  <c r="FZ16" i="41"/>
  <c r="FY16" i="41"/>
  <c r="FX16" i="41"/>
  <c r="FW16" i="41"/>
  <c r="FV16" i="41"/>
  <c r="FT16" i="41"/>
  <c r="FS16" i="41"/>
  <c r="FQ16" i="41"/>
  <c r="FO16" i="41"/>
  <c r="FN16" i="41"/>
  <c r="FM16" i="41"/>
  <c r="FK16" i="41"/>
  <c r="FI16" i="41"/>
  <c r="FH16" i="41"/>
  <c r="FG16" i="41"/>
  <c r="FF16" i="41"/>
  <c r="FE16" i="41"/>
  <c r="FD16" i="41"/>
  <c r="FC16" i="41"/>
  <c r="FB16" i="41"/>
  <c r="FA16" i="41"/>
  <c r="EZ16" i="41"/>
  <c r="EY16" i="41"/>
  <c r="EX16" i="41"/>
  <c r="EW16" i="41"/>
  <c r="EV16" i="41"/>
  <c r="EU16" i="41"/>
  <c r="ET16" i="41"/>
  <c r="ES16" i="41"/>
  <c r="ER16" i="41"/>
  <c r="EQ16" i="41"/>
  <c r="EP16" i="41"/>
  <c r="EO16" i="41"/>
  <c r="EN16" i="41"/>
  <c r="EM16" i="41"/>
  <c r="EL16" i="41"/>
  <c r="EK16" i="41"/>
  <c r="EJ16" i="41"/>
  <c r="EI16" i="41"/>
  <c r="EH16" i="41"/>
  <c r="EG16" i="41"/>
  <c r="EF16" i="41"/>
  <c r="EE16" i="41"/>
  <c r="ED16" i="41"/>
  <c r="EC16" i="41"/>
  <c r="DV16" i="41"/>
  <c r="DU16" i="41"/>
  <c r="DT16" i="41"/>
  <c r="DS16" i="41"/>
  <c r="DR16" i="41"/>
  <c r="DQ16" i="41"/>
  <c r="DP16" i="41"/>
  <c r="GC15" i="41"/>
  <c r="GB15" i="41"/>
  <c r="GA15" i="41"/>
  <c r="FZ15" i="41"/>
  <c r="FY15" i="41"/>
  <c r="FX15" i="41"/>
  <c r="FW15" i="41"/>
  <c r="FV15" i="41"/>
  <c r="FT15" i="41"/>
  <c r="FS15" i="41"/>
  <c r="FQ15" i="41"/>
  <c r="FO15" i="41"/>
  <c r="FN15" i="41"/>
  <c r="FM15" i="41"/>
  <c r="FK15" i="41"/>
  <c r="FI15" i="41"/>
  <c r="FH15" i="41"/>
  <c r="FG15" i="41"/>
  <c r="FF15" i="41"/>
  <c r="FE15" i="41"/>
  <c r="FD15" i="41"/>
  <c r="FC15" i="41"/>
  <c r="FB15" i="41"/>
  <c r="FA15" i="41"/>
  <c r="EZ15" i="41"/>
  <c r="EY15" i="41"/>
  <c r="EX15" i="41"/>
  <c r="EW15" i="41"/>
  <c r="EV15" i="41"/>
  <c r="EU15" i="41"/>
  <c r="ET15" i="41"/>
  <c r="ES15" i="41"/>
  <c r="ER15" i="41"/>
  <c r="EQ15" i="41"/>
  <c r="EP15" i="41"/>
  <c r="EO15" i="41"/>
  <c r="EN15" i="41"/>
  <c r="EM15" i="41"/>
  <c r="EL15" i="41"/>
  <c r="EK15" i="41"/>
  <c r="EJ15" i="41"/>
  <c r="EI15" i="41"/>
  <c r="EH15" i="41"/>
  <c r="EG15" i="41"/>
  <c r="EF15" i="41"/>
  <c r="EE15" i="41"/>
  <c r="ED15" i="41"/>
  <c r="EC15" i="41"/>
  <c r="DV15" i="41"/>
  <c r="DU15" i="41"/>
  <c r="DT15" i="41"/>
  <c r="DS15" i="41"/>
  <c r="DR15" i="41"/>
  <c r="DQ15" i="41"/>
  <c r="DP15" i="41"/>
  <c r="GC14" i="41"/>
  <c r="GB14" i="41"/>
  <c r="GA14" i="41"/>
  <c r="FZ14" i="41"/>
  <c r="FY14" i="41"/>
  <c r="FX14" i="41"/>
  <c r="FW14" i="41"/>
  <c r="FV14" i="41"/>
  <c r="FT14" i="41"/>
  <c r="FS14" i="41"/>
  <c r="FR14" i="41"/>
  <c r="FQ14" i="41"/>
  <c r="FP14" i="41"/>
  <c r="FO14" i="41"/>
  <c r="FN14" i="41"/>
  <c r="FM14" i="41"/>
  <c r="FK14" i="41"/>
  <c r="FI14" i="41"/>
  <c r="FH14" i="41"/>
  <c r="FG14" i="41"/>
  <c r="FF14" i="41"/>
  <c r="FE14" i="41"/>
  <c r="FD14" i="41"/>
  <c r="FC14" i="41"/>
  <c r="FB14" i="41"/>
  <c r="FA14" i="41"/>
  <c r="EZ14" i="41"/>
  <c r="EY14" i="41"/>
  <c r="EX14" i="41"/>
  <c r="EW14" i="41"/>
  <c r="EV14" i="41"/>
  <c r="EU14" i="41"/>
  <c r="ET14" i="41"/>
  <c r="ES14" i="41"/>
  <c r="ER14" i="41"/>
  <c r="EQ14" i="41"/>
  <c r="EP14" i="41"/>
  <c r="EO14" i="41"/>
  <c r="EN14" i="41"/>
  <c r="EM14" i="41"/>
  <c r="EL14" i="41"/>
  <c r="EK14" i="41"/>
  <c r="EJ14" i="41"/>
  <c r="EI14" i="41"/>
  <c r="EH14" i="41"/>
  <c r="EG14" i="41"/>
  <c r="EF14" i="41"/>
  <c r="EE14" i="41"/>
  <c r="ED14" i="41"/>
  <c r="EC14" i="41"/>
  <c r="DV14" i="41"/>
  <c r="DU14" i="41"/>
  <c r="DT14" i="41"/>
  <c r="DS14" i="41"/>
  <c r="DR14" i="41"/>
  <c r="DQ14" i="41"/>
  <c r="DP14" i="41"/>
  <c r="GC13" i="41"/>
  <c r="GB13" i="41"/>
  <c r="GA13" i="41"/>
  <c r="FZ13" i="41"/>
  <c r="FY13" i="41"/>
  <c r="FX13" i="41"/>
  <c r="FW13" i="41"/>
  <c r="FV13" i="41"/>
  <c r="FT13" i="41"/>
  <c r="FS13" i="41"/>
  <c r="FR13" i="41"/>
  <c r="FQ13" i="41"/>
  <c r="FP13" i="41"/>
  <c r="FO13" i="41"/>
  <c r="FN13" i="41"/>
  <c r="FM13" i="41"/>
  <c r="FK13" i="41"/>
  <c r="FI13" i="41"/>
  <c r="FH13" i="41"/>
  <c r="FG13" i="41"/>
  <c r="FF13" i="41"/>
  <c r="FE13" i="41"/>
  <c r="FD13" i="41"/>
  <c r="FC13" i="41"/>
  <c r="FB13" i="41"/>
  <c r="FA13" i="41"/>
  <c r="EZ13" i="41"/>
  <c r="EY13" i="41"/>
  <c r="EX13" i="41"/>
  <c r="EW13" i="41"/>
  <c r="EV13" i="41"/>
  <c r="EU13" i="41"/>
  <c r="ET13" i="41"/>
  <c r="ES13" i="41"/>
  <c r="ER13" i="41"/>
  <c r="EQ13" i="41"/>
  <c r="EP13" i="41"/>
  <c r="EO13" i="41"/>
  <c r="EN13" i="41"/>
  <c r="EM13" i="41"/>
  <c r="EL13" i="41"/>
  <c r="EK13" i="41"/>
  <c r="EJ13" i="41"/>
  <c r="EI13" i="41"/>
  <c r="EH13" i="41"/>
  <c r="EG13" i="41"/>
  <c r="EF13" i="41"/>
  <c r="EE13" i="41"/>
  <c r="ED13" i="41"/>
  <c r="EC13" i="41"/>
  <c r="DV13" i="41"/>
  <c r="DU13" i="41"/>
  <c r="DT13" i="41"/>
  <c r="DS13" i="41"/>
  <c r="DR13" i="41"/>
  <c r="DQ13" i="41"/>
  <c r="DP13" i="41"/>
  <c r="GC12" i="41"/>
  <c r="GB12" i="41"/>
  <c r="GA12" i="41"/>
  <c r="FZ12" i="41"/>
  <c r="FY12" i="41"/>
  <c r="FX12" i="41"/>
  <c r="FW12" i="41"/>
  <c r="FV12" i="41"/>
  <c r="FT12" i="41"/>
  <c r="FS12" i="41"/>
  <c r="FR12" i="41"/>
  <c r="FQ12" i="41"/>
  <c r="FP12" i="41"/>
  <c r="FO12" i="41"/>
  <c r="FN12" i="41"/>
  <c r="FM12" i="41"/>
  <c r="FK12" i="41"/>
  <c r="FI12" i="41"/>
  <c r="FH12" i="41"/>
  <c r="FG12" i="41"/>
  <c r="FF12" i="41"/>
  <c r="FE12" i="41"/>
  <c r="FD12" i="41"/>
  <c r="FC12" i="41"/>
  <c r="FB12" i="41"/>
  <c r="FA12" i="41"/>
  <c r="EZ12" i="41"/>
  <c r="EY12" i="41"/>
  <c r="EX12" i="41"/>
  <c r="EW12" i="41"/>
  <c r="EV12" i="41"/>
  <c r="EU12" i="41"/>
  <c r="ET12" i="41"/>
  <c r="ES12" i="41"/>
  <c r="ER12" i="41"/>
  <c r="EQ12" i="41"/>
  <c r="EP12" i="41"/>
  <c r="EO12" i="41"/>
  <c r="EN12" i="41"/>
  <c r="EM12" i="41"/>
  <c r="EL12" i="41"/>
  <c r="EK12" i="41"/>
  <c r="EJ12" i="41"/>
  <c r="EI12" i="41"/>
  <c r="EH12" i="41"/>
  <c r="EG12" i="41"/>
  <c r="EF12" i="41"/>
  <c r="EE12" i="41"/>
  <c r="ED12" i="41"/>
  <c r="EC12" i="41"/>
  <c r="DV12" i="41"/>
  <c r="DU12" i="41"/>
  <c r="DT12" i="41"/>
  <c r="DS12" i="41"/>
  <c r="DR12" i="41"/>
  <c r="DQ12" i="41"/>
  <c r="DP12" i="41"/>
  <c r="GC11" i="41"/>
  <c r="GB11" i="41"/>
  <c r="GA11" i="41"/>
  <c r="FZ11" i="41"/>
  <c r="FY11" i="41"/>
  <c r="FX11" i="41"/>
  <c r="FW11" i="41"/>
  <c r="FV11" i="41"/>
  <c r="FT11" i="41"/>
  <c r="FS11" i="41"/>
  <c r="FR11" i="41"/>
  <c r="FQ11" i="41"/>
  <c r="FP11" i="41"/>
  <c r="FO11" i="41"/>
  <c r="FN11" i="41"/>
  <c r="FM11" i="41"/>
  <c r="FK11" i="41"/>
  <c r="FI11" i="41"/>
  <c r="FH11" i="41"/>
  <c r="FG11" i="41"/>
  <c r="FF11" i="41"/>
  <c r="FE11" i="41"/>
  <c r="FD11" i="41"/>
  <c r="FC11" i="41"/>
  <c r="FB11" i="41"/>
  <c r="FA11" i="41"/>
  <c r="EZ11" i="41"/>
  <c r="EY11" i="41"/>
  <c r="EX11" i="41"/>
  <c r="EW11" i="41"/>
  <c r="EV11" i="41"/>
  <c r="EU11" i="41"/>
  <c r="ET11" i="41"/>
  <c r="ES11" i="41"/>
  <c r="ER11" i="41"/>
  <c r="EQ11" i="41"/>
  <c r="EP11" i="41"/>
  <c r="EO11" i="41"/>
  <c r="EN11" i="41"/>
  <c r="EM11" i="41"/>
  <c r="EL11" i="41"/>
  <c r="EK11" i="41"/>
  <c r="EJ11" i="41"/>
  <c r="EI11" i="41"/>
  <c r="EH11" i="41"/>
  <c r="EG11" i="41"/>
  <c r="EF11" i="41"/>
  <c r="EE11" i="41"/>
  <c r="ED11" i="41"/>
  <c r="EC11" i="41"/>
  <c r="DV11" i="41"/>
  <c r="DU11" i="41"/>
  <c r="DT11" i="41"/>
  <c r="DS11" i="41"/>
  <c r="DR11" i="41"/>
  <c r="DQ11" i="41"/>
  <c r="DP11" i="41"/>
  <c r="GC10" i="41"/>
  <c r="GB10" i="41"/>
  <c r="GA10" i="41"/>
  <c r="FZ10" i="41"/>
  <c r="FY10" i="41"/>
  <c r="FX10" i="41"/>
  <c r="FW10" i="41"/>
  <c r="FV10" i="41"/>
  <c r="FT10" i="41"/>
  <c r="FS10" i="41"/>
  <c r="FR10" i="41"/>
  <c r="FQ10" i="41"/>
  <c r="FP10" i="41"/>
  <c r="FO10" i="41"/>
  <c r="FN10" i="41"/>
  <c r="FM10" i="41"/>
  <c r="FL10" i="41"/>
  <c r="FK10" i="41"/>
  <c r="FJ10" i="41"/>
  <c r="FI10" i="41"/>
  <c r="FH10" i="41"/>
  <c r="FG10" i="41"/>
  <c r="FF10" i="41"/>
  <c r="FE10" i="41"/>
  <c r="FD10" i="41"/>
  <c r="FC10" i="41"/>
  <c r="FB10" i="41"/>
  <c r="FA10" i="41"/>
  <c r="EZ10" i="41"/>
  <c r="EY10" i="41"/>
  <c r="EX10" i="41"/>
  <c r="EW10" i="41"/>
  <c r="EV10" i="41"/>
  <c r="EU10" i="41"/>
  <c r="ET10" i="41"/>
  <c r="ES10" i="41"/>
  <c r="ER10" i="41"/>
  <c r="EQ10" i="41"/>
  <c r="EP10" i="41"/>
  <c r="EO10" i="41"/>
  <c r="EN10" i="41"/>
  <c r="EM10" i="41"/>
  <c r="EL10" i="41"/>
  <c r="EK10" i="41"/>
  <c r="EJ10" i="41"/>
  <c r="EI10" i="41"/>
  <c r="EH10" i="41"/>
  <c r="EG10" i="41"/>
  <c r="EF10" i="41"/>
  <c r="EE10" i="41"/>
  <c r="ED10" i="41"/>
  <c r="EC10" i="41"/>
  <c r="DV10" i="41"/>
  <c r="DU10" i="41"/>
  <c r="DT10" i="41"/>
  <c r="DS10" i="41"/>
  <c r="DR10" i="41"/>
  <c r="DQ10" i="41"/>
  <c r="DP10" i="41"/>
  <c r="FE8" i="41"/>
  <c r="EJ8" i="41"/>
  <c r="EH8" i="41"/>
  <c r="EB8" i="41"/>
  <c r="EA8" i="41"/>
  <c r="DZ8" i="41"/>
  <c r="DV8" i="41"/>
  <c r="DT8" i="41"/>
  <c r="EB40" i="73"/>
  <c r="EA40" i="73"/>
  <c r="DZ40" i="73"/>
  <c r="DY40" i="73"/>
  <c r="DX40" i="73"/>
  <c r="DW40" i="73"/>
  <c r="DV39" i="73"/>
  <c r="DU39" i="73"/>
  <c r="DT39" i="73"/>
  <c r="DS39" i="73"/>
  <c r="DR39" i="73"/>
  <c r="DQ39" i="73"/>
  <c r="DP39" i="73"/>
  <c r="DV38" i="73"/>
  <c r="DU38" i="73"/>
  <c r="DT38" i="73"/>
  <c r="DS38" i="73"/>
  <c r="DR38" i="73"/>
  <c r="DQ38" i="73"/>
  <c r="DP38" i="73"/>
  <c r="DV37" i="73"/>
  <c r="DU37" i="73"/>
  <c r="DT37" i="73"/>
  <c r="DS37" i="73"/>
  <c r="DR37" i="73"/>
  <c r="DQ37" i="73"/>
  <c r="DP37" i="73"/>
  <c r="GC36" i="73"/>
  <c r="GB36" i="73"/>
  <c r="GA36" i="73"/>
  <c r="FZ36" i="73"/>
  <c r="FY36" i="73"/>
  <c r="FX36" i="73"/>
  <c r="FW36" i="73"/>
  <c r="FV36" i="73"/>
  <c r="FT36" i="73"/>
  <c r="FS36" i="73"/>
  <c r="FQ36" i="73"/>
  <c r="FO36" i="73"/>
  <c r="FN36" i="73"/>
  <c r="FM36" i="73"/>
  <c r="FK36" i="73"/>
  <c r="FI36" i="73"/>
  <c r="FH36" i="73"/>
  <c r="FG36" i="73"/>
  <c r="FF36" i="73"/>
  <c r="FE36" i="73"/>
  <c r="FD36" i="73"/>
  <c r="FC36" i="73"/>
  <c r="FB36" i="73"/>
  <c r="FA36" i="73"/>
  <c r="EZ36" i="73"/>
  <c r="EY36" i="73"/>
  <c r="EX36" i="73"/>
  <c r="EW36" i="73"/>
  <c r="EV36" i="73"/>
  <c r="EU36" i="73"/>
  <c r="ET36" i="73"/>
  <c r="ES36" i="73"/>
  <c r="ER36" i="73"/>
  <c r="EQ36" i="73"/>
  <c r="EP36" i="73"/>
  <c r="EO36" i="73"/>
  <c r="EN36" i="73"/>
  <c r="EM36" i="73"/>
  <c r="EL36" i="73"/>
  <c r="EK36" i="73"/>
  <c r="EJ36" i="73"/>
  <c r="EI36" i="73"/>
  <c r="EH36" i="73"/>
  <c r="EG36" i="73"/>
  <c r="EF36" i="73"/>
  <c r="EE36" i="73"/>
  <c r="ED36" i="73"/>
  <c r="EC36" i="73"/>
  <c r="DV36" i="73"/>
  <c r="DU36" i="73"/>
  <c r="DT36" i="73"/>
  <c r="DS36" i="73"/>
  <c r="DR36" i="73"/>
  <c r="DQ36" i="73"/>
  <c r="DP36" i="73"/>
  <c r="GC35" i="73"/>
  <c r="GB35" i="73"/>
  <c r="GA35" i="73"/>
  <c r="FZ35" i="73"/>
  <c r="FY35" i="73"/>
  <c r="FX35" i="73"/>
  <c r="FW35" i="73"/>
  <c r="FV35" i="73"/>
  <c r="FT35" i="73"/>
  <c r="FS35" i="73"/>
  <c r="FQ35" i="73"/>
  <c r="FO35" i="73"/>
  <c r="FN35" i="73"/>
  <c r="FM35" i="73"/>
  <c r="FK35" i="73"/>
  <c r="FI35" i="73"/>
  <c r="FH35" i="73"/>
  <c r="FG35" i="73"/>
  <c r="FF35" i="73"/>
  <c r="FE35" i="73"/>
  <c r="FD35" i="73"/>
  <c r="FC35" i="73"/>
  <c r="FB35" i="73"/>
  <c r="FA35" i="73"/>
  <c r="EZ35" i="73"/>
  <c r="EY35" i="73"/>
  <c r="EX35" i="73"/>
  <c r="EW35" i="73"/>
  <c r="EV35" i="73"/>
  <c r="EU35" i="73"/>
  <c r="ET35" i="73"/>
  <c r="ES35" i="73"/>
  <c r="ER35" i="73"/>
  <c r="EQ35" i="73"/>
  <c r="EP35" i="73"/>
  <c r="EO35" i="73"/>
  <c r="EN35" i="73"/>
  <c r="EM35" i="73"/>
  <c r="EL35" i="73"/>
  <c r="EK35" i="73"/>
  <c r="EJ35" i="73"/>
  <c r="EI35" i="73"/>
  <c r="EH35" i="73"/>
  <c r="EG35" i="73"/>
  <c r="EF35" i="73"/>
  <c r="EE35" i="73"/>
  <c r="ED35" i="73"/>
  <c r="EC35" i="73"/>
  <c r="DV35" i="73"/>
  <c r="DU35" i="73"/>
  <c r="DT35" i="73"/>
  <c r="DS35" i="73"/>
  <c r="DR35" i="73"/>
  <c r="DQ35" i="73"/>
  <c r="DP35" i="73"/>
  <c r="GC34" i="73"/>
  <c r="GB34" i="73"/>
  <c r="GA34" i="73"/>
  <c r="FZ34" i="73"/>
  <c r="FY34" i="73"/>
  <c r="FX34" i="73"/>
  <c r="FW34" i="73"/>
  <c r="FV34" i="73"/>
  <c r="FT34" i="73"/>
  <c r="FS34" i="73"/>
  <c r="FQ34" i="73"/>
  <c r="FO34" i="73"/>
  <c r="FN34" i="73"/>
  <c r="FM34" i="73"/>
  <c r="FK34" i="73"/>
  <c r="FI34" i="73"/>
  <c r="FH34" i="73"/>
  <c r="FG34" i="73"/>
  <c r="FF34" i="73"/>
  <c r="FE34" i="73"/>
  <c r="FD34" i="73"/>
  <c r="FC34" i="73"/>
  <c r="FB34" i="73"/>
  <c r="FA34" i="73"/>
  <c r="EZ34" i="73"/>
  <c r="EY34" i="73"/>
  <c r="EX34" i="73"/>
  <c r="EW34" i="73"/>
  <c r="EV34" i="73"/>
  <c r="EU34" i="73"/>
  <c r="ET34" i="73"/>
  <c r="ES34" i="73"/>
  <c r="ER34" i="73"/>
  <c r="EQ34" i="73"/>
  <c r="EP34" i="73"/>
  <c r="EO34" i="73"/>
  <c r="EN34" i="73"/>
  <c r="EM34" i="73"/>
  <c r="EL34" i="73"/>
  <c r="EK34" i="73"/>
  <c r="EJ34" i="73"/>
  <c r="EI34" i="73"/>
  <c r="EH34" i="73"/>
  <c r="EG34" i="73"/>
  <c r="EF34" i="73"/>
  <c r="EE34" i="73"/>
  <c r="ED34" i="73"/>
  <c r="EC34" i="73"/>
  <c r="DV34" i="73"/>
  <c r="DU34" i="73"/>
  <c r="DT34" i="73"/>
  <c r="DS34" i="73"/>
  <c r="DR34" i="73"/>
  <c r="DQ34" i="73"/>
  <c r="DP34" i="73"/>
  <c r="GC33" i="73"/>
  <c r="GB33" i="73"/>
  <c r="GA33" i="73"/>
  <c r="FZ33" i="73"/>
  <c r="FY33" i="73"/>
  <c r="FX33" i="73"/>
  <c r="FW33" i="73"/>
  <c r="FV33" i="73"/>
  <c r="FT33" i="73"/>
  <c r="FS33" i="73"/>
  <c r="FQ33" i="73"/>
  <c r="FO33" i="73"/>
  <c r="FN33" i="73"/>
  <c r="FM33" i="73"/>
  <c r="FK33" i="73"/>
  <c r="FI33" i="73"/>
  <c r="FH33" i="73"/>
  <c r="FG33" i="73"/>
  <c r="FF33" i="73"/>
  <c r="FE33" i="73"/>
  <c r="FD33" i="73"/>
  <c r="FC33" i="73"/>
  <c r="FB33" i="73"/>
  <c r="FA33" i="73"/>
  <c r="EZ33" i="73"/>
  <c r="EY33" i="73"/>
  <c r="EX33" i="73"/>
  <c r="EW33" i="73"/>
  <c r="EV33" i="73"/>
  <c r="EU33" i="73"/>
  <c r="ET33" i="73"/>
  <c r="ES33" i="73"/>
  <c r="ER33" i="73"/>
  <c r="EQ33" i="73"/>
  <c r="EP33" i="73"/>
  <c r="EO33" i="73"/>
  <c r="EN33" i="73"/>
  <c r="EM33" i="73"/>
  <c r="EL33" i="73"/>
  <c r="EK33" i="73"/>
  <c r="EJ33" i="73"/>
  <c r="EI33" i="73"/>
  <c r="EH33" i="73"/>
  <c r="EG33" i="73"/>
  <c r="EF33" i="73"/>
  <c r="EE33" i="73"/>
  <c r="ED33" i="73"/>
  <c r="EC33" i="73"/>
  <c r="DV33" i="73"/>
  <c r="DU33" i="73"/>
  <c r="DT33" i="73"/>
  <c r="DS33" i="73"/>
  <c r="DR33" i="73"/>
  <c r="DQ33" i="73"/>
  <c r="DP33" i="73"/>
  <c r="GC32" i="73"/>
  <c r="GB32" i="73"/>
  <c r="GA32" i="73"/>
  <c r="FZ32" i="73"/>
  <c r="FY32" i="73"/>
  <c r="FX32" i="73"/>
  <c r="FW32" i="73"/>
  <c r="FV32" i="73"/>
  <c r="FT32" i="73"/>
  <c r="FS32" i="73"/>
  <c r="FQ32" i="73"/>
  <c r="FO32" i="73"/>
  <c r="FN32" i="73"/>
  <c r="FM32" i="73"/>
  <c r="FK32" i="73"/>
  <c r="FI32" i="73"/>
  <c r="FH32" i="73"/>
  <c r="FG32" i="73"/>
  <c r="FF32" i="73"/>
  <c r="FE32" i="73"/>
  <c r="FD32" i="73"/>
  <c r="FC32" i="73"/>
  <c r="FB32" i="73"/>
  <c r="FA32" i="73"/>
  <c r="EZ32" i="73"/>
  <c r="EY32" i="73"/>
  <c r="EX32" i="73"/>
  <c r="EW32" i="73"/>
  <c r="EV32" i="73"/>
  <c r="EU32" i="73"/>
  <c r="ET32" i="73"/>
  <c r="ES32" i="73"/>
  <c r="ER32" i="73"/>
  <c r="EQ32" i="73"/>
  <c r="EP32" i="73"/>
  <c r="EO32" i="73"/>
  <c r="EN32" i="73"/>
  <c r="EM32" i="73"/>
  <c r="EL32" i="73"/>
  <c r="EK32" i="73"/>
  <c r="EJ32" i="73"/>
  <c r="EI32" i="73"/>
  <c r="EH32" i="73"/>
  <c r="EG32" i="73"/>
  <c r="EF32" i="73"/>
  <c r="EE32" i="73"/>
  <c r="ED32" i="73"/>
  <c r="EC32" i="73"/>
  <c r="DV32" i="73"/>
  <c r="DU32" i="73"/>
  <c r="DT32" i="73"/>
  <c r="DS32" i="73"/>
  <c r="DR32" i="73"/>
  <c r="DQ32" i="73"/>
  <c r="DP32" i="73"/>
  <c r="GC31" i="73"/>
  <c r="GB31" i="73"/>
  <c r="GA31" i="73"/>
  <c r="FZ31" i="73"/>
  <c r="FY31" i="73"/>
  <c r="FX31" i="73"/>
  <c r="FW31" i="73"/>
  <c r="FV31" i="73"/>
  <c r="FT31" i="73"/>
  <c r="FS31" i="73"/>
  <c r="FQ31" i="73"/>
  <c r="FO31" i="73"/>
  <c r="FN31" i="73"/>
  <c r="FM31" i="73"/>
  <c r="FK31" i="73"/>
  <c r="FI31" i="73"/>
  <c r="FH31" i="73"/>
  <c r="FG31" i="73"/>
  <c r="FF31" i="73"/>
  <c r="FE31" i="73"/>
  <c r="FD31" i="73"/>
  <c r="FC31" i="73"/>
  <c r="FB31" i="73"/>
  <c r="FA31" i="73"/>
  <c r="EZ31" i="73"/>
  <c r="EY31" i="73"/>
  <c r="EX31" i="73"/>
  <c r="EW31" i="73"/>
  <c r="EV31" i="73"/>
  <c r="EU31" i="73"/>
  <c r="ET31" i="73"/>
  <c r="ES31" i="73"/>
  <c r="ER31" i="73"/>
  <c r="EQ31" i="73"/>
  <c r="EP31" i="73"/>
  <c r="EO31" i="73"/>
  <c r="EN31" i="73"/>
  <c r="EM31" i="73"/>
  <c r="EL31" i="73"/>
  <c r="EK31" i="73"/>
  <c r="EJ31" i="73"/>
  <c r="EI31" i="73"/>
  <c r="EH31" i="73"/>
  <c r="EG31" i="73"/>
  <c r="EF31" i="73"/>
  <c r="EE31" i="73"/>
  <c r="ED31" i="73"/>
  <c r="EC31" i="73"/>
  <c r="DV31" i="73"/>
  <c r="DU31" i="73"/>
  <c r="DT31" i="73"/>
  <c r="DS31" i="73"/>
  <c r="DR31" i="73"/>
  <c r="DQ31" i="73"/>
  <c r="DP31" i="73"/>
  <c r="GC30" i="73"/>
  <c r="GB30" i="73"/>
  <c r="GA30" i="73"/>
  <c r="FZ30" i="73"/>
  <c r="FY30" i="73"/>
  <c r="FX30" i="73"/>
  <c r="FW30" i="73"/>
  <c r="FV30" i="73"/>
  <c r="FT30" i="73"/>
  <c r="FS30" i="73"/>
  <c r="FQ30" i="73"/>
  <c r="FO30" i="73"/>
  <c r="FN30" i="73"/>
  <c r="FM30" i="73"/>
  <c r="FK30" i="73"/>
  <c r="FI30" i="73"/>
  <c r="FH30" i="73"/>
  <c r="FG30" i="73"/>
  <c r="FF30" i="73"/>
  <c r="FE30" i="73"/>
  <c r="FD30" i="73"/>
  <c r="FC30" i="73"/>
  <c r="FB30" i="73"/>
  <c r="FA30" i="73"/>
  <c r="EZ30" i="73"/>
  <c r="EY30" i="73"/>
  <c r="EX30" i="73"/>
  <c r="EW30" i="73"/>
  <c r="EV30" i="73"/>
  <c r="EU30" i="73"/>
  <c r="ET30" i="73"/>
  <c r="ES30" i="73"/>
  <c r="ER30" i="73"/>
  <c r="EQ30" i="73"/>
  <c r="EP30" i="73"/>
  <c r="EO30" i="73"/>
  <c r="EN30" i="73"/>
  <c r="EM30" i="73"/>
  <c r="EL30" i="73"/>
  <c r="EK30" i="73"/>
  <c r="EJ30" i="73"/>
  <c r="EI30" i="73"/>
  <c r="EH30" i="73"/>
  <c r="EG30" i="73"/>
  <c r="EF30" i="73"/>
  <c r="EE30" i="73"/>
  <c r="ED30" i="73"/>
  <c r="EC30" i="73"/>
  <c r="DV30" i="73"/>
  <c r="DU30" i="73"/>
  <c r="DT30" i="73"/>
  <c r="DS30" i="73"/>
  <c r="DR30" i="73"/>
  <c r="DQ30" i="73"/>
  <c r="DP30" i="73"/>
  <c r="GC29" i="73"/>
  <c r="GB29" i="73"/>
  <c r="GA29" i="73"/>
  <c r="FZ29" i="73"/>
  <c r="FY29" i="73"/>
  <c r="FX29" i="73"/>
  <c r="FW29" i="73"/>
  <c r="FV29" i="73"/>
  <c r="FT29" i="73"/>
  <c r="FS29" i="73"/>
  <c r="FQ29" i="73"/>
  <c r="FO29" i="73"/>
  <c r="FN29" i="73"/>
  <c r="FM29" i="73"/>
  <c r="FK29" i="73"/>
  <c r="FI29" i="73"/>
  <c r="FH29" i="73"/>
  <c r="FG29" i="73"/>
  <c r="FF29" i="73"/>
  <c r="FE29" i="73"/>
  <c r="FD29" i="73"/>
  <c r="FC29" i="73"/>
  <c r="FB29" i="73"/>
  <c r="FA29" i="73"/>
  <c r="EZ29" i="73"/>
  <c r="EY29" i="73"/>
  <c r="EX29" i="73"/>
  <c r="EW29" i="73"/>
  <c r="EV29" i="73"/>
  <c r="EU29" i="73"/>
  <c r="ET29" i="73"/>
  <c r="ES29" i="73"/>
  <c r="ER29" i="73"/>
  <c r="EQ29" i="73"/>
  <c r="EP29" i="73"/>
  <c r="EO29" i="73"/>
  <c r="EN29" i="73"/>
  <c r="EM29" i="73"/>
  <c r="EL29" i="73"/>
  <c r="EK29" i="73"/>
  <c r="EJ29" i="73"/>
  <c r="EI29" i="73"/>
  <c r="EH29" i="73"/>
  <c r="EG29" i="73"/>
  <c r="EF29" i="73"/>
  <c r="EE29" i="73"/>
  <c r="ED29" i="73"/>
  <c r="EC29" i="73"/>
  <c r="DV29" i="73"/>
  <c r="DU29" i="73"/>
  <c r="DT29" i="73"/>
  <c r="DS29" i="73"/>
  <c r="DR29" i="73"/>
  <c r="DQ29" i="73"/>
  <c r="DP29" i="73"/>
  <c r="GC28" i="73"/>
  <c r="GB28" i="73"/>
  <c r="GA28" i="73"/>
  <c r="FZ28" i="73"/>
  <c r="FY28" i="73"/>
  <c r="FX28" i="73"/>
  <c r="FW28" i="73"/>
  <c r="FV28" i="73"/>
  <c r="FT28" i="73"/>
  <c r="FS28" i="73"/>
  <c r="FQ28" i="73"/>
  <c r="FO28" i="73"/>
  <c r="FN28" i="73"/>
  <c r="FM28" i="73"/>
  <c r="FK28" i="73"/>
  <c r="FI28" i="73"/>
  <c r="FH28" i="73"/>
  <c r="FG28" i="73"/>
  <c r="FF28" i="73"/>
  <c r="FE28" i="73"/>
  <c r="FD28" i="73"/>
  <c r="FC28" i="73"/>
  <c r="FB28" i="73"/>
  <c r="FA28" i="73"/>
  <c r="EZ28" i="73"/>
  <c r="EY28" i="73"/>
  <c r="EX28" i="73"/>
  <c r="EW28" i="73"/>
  <c r="EV28" i="73"/>
  <c r="EU28" i="73"/>
  <c r="ET28" i="73"/>
  <c r="ES28" i="73"/>
  <c r="ER28" i="73"/>
  <c r="EQ28" i="73"/>
  <c r="EP28" i="73"/>
  <c r="EO28" i="73"/>
  <c r="EN28" i="73"/>
  <c r="EM28" i="73"/>
  <c r="EL28" i="73"/>
  <c r="EK28" i="73"/>
  <c r="EJ28" i="73"/>
  <c r="EI28" i="73"/>
  <c r="EH28" i="73"/>
  <c r="EG28" i="73"/>
  <c r="EF28" i="73"/>
  <c r="EE28" i="73"/>
  <c r="ED28" i="73"/>
  <c r="EC28" i="73"/>
  <c r="DV28" i="73"/>
  <c r="DU28" i="73"/>
  <c r="DT28" i="73"/>
  <c r="DS28" i="73"/>
  <c r="DR28" i="73"/>
  <c r="DQ28" i="73"/>
  <c r="DP28" i="73"/>
  <c r="GC27" i="73"/>
  <c r="GB27" i="73"/>
  <c r="GA27" i="73"/>
  <c r="FZ27" i="73"/>
  <c r="FY27" i="73"/>
  <c r="FX27" i="73"/>
  <c r="FW27" i="73"/>
  <c r="FV27" i="73"/>
  <c r="FT27" i="73"/>
  <c r="FS27" i="73"/>
  <c r="FQ27" i="73"/>
  <c r="FO27" i="73"/>
  <c r="FN27" i="73"/>
  <c r="FM27" i="73"/>
  <c r="FK27" i="73"/>
  <c r="FI27" i="73"/>
  <c r="FH27" i="73"/>
  <c r="FG27" i="73"/>
  <c r="FF27" i="73"/>
  <c r="FE27" i="73"/>
  <c r="FD27" i="73"/>
  <c r="FC27" i="73"/>
  <c r="FB27" i="73"/>
  <c r="FA27" i="73"/>
  <c r="EZ27" i="73"/>
  <c r="EY27" i="73"/>
  <c r="EX27" i="73"/>
  <c r="EW27" i="73"/>
  <c r="EV27" i="73"/>
  <c r="EU27" i="73"/>
  <c r="ET27" i="73"/>
  <c r="ES27" i="73"/>
  <c r="ER27" i="73"/>
  <c r="EQ27" i="73"/>
  <c r="EP27" i="73"/>
  <c r="EO27" i="73"/>
  <c r="EN27" i="73"/>
  <c r="EM27" i="73"/>
  <c r="EL27" i="73"/>
  <c r="EK27" i="73"/>
  <c r="EJ27" i="73"/>
  <c r="EI27" i="73"/>
  <c r="EH27" i="73"/>
  <c r="EG27" i="73"/>
  <c r="EF27" i="73"/>
  <c r="EE27" i="73"/>
  <c r="ED27" i="73"/>
  <c r="EC27" i="73"/>
  <c r="DV27" i="73"/>
  <c r="DU27" i="73"/>
  <c r="DT27" i="73"/>
  <c r="DS27" i="73"/>
  <c r="DR27" i="73"/>
  <c r="DQ27" i="73"/>
  <c r="DP27" i="73"/>
  <c r="GC26" i="73"/>
  <c r="GB26" i="73"/>
  <c r="GA26" i="73"/>
  <c r="FZ26" i="73"/>
  <c r="FY26" i="73"/>
  <c r="FX26" i="73"/>
  <c r="FW26" i="73"/>
  <c r="FV26" i="73"/>
  <c r="FT26" i="73"/>
  <c r="FS26" i="73"/>
  <c r="FQ26" i="73"/>
  <c r="FO26" i="73"/>
  <c r="FN26" i="73"/>
  <c r="FM26" i="73"/>
  <c r="FK26" i="73"/>
  <c r="FI26" i="73"/>
  <c r="FH26" i="73"/>
  <c r="FG26" i="73"/>
  <c r="FF26" i="73"/>
  <c r="FE26" i="73"/>
  <c r="FD26" i="73"/>
  <c r="FC26" i="73"/>
  <c r="FB26" i="73"/>
  <c r="FA26" i="73"/>
  <c r="EZ26" i="73"/>
  <c r="EY26" i="73"/>
  <c r="EX26" i="73"/>
  <c r="EW26" i="73"/>
  <c r="EV26" i="73"/>
  <c r="EU26" i="73"/>
  <c r="ET26" i="73"/>
  <c r="ES26" i="73"/>
  <c r="ER26" i="73"/>
  <c r="EQ26" i="73"/>
  <c r="EP26" i="73"/>
  <c r="EO26" i="73"/>
  <c r="EN26" i="73"/>
  <c r="EM26" i="73"/>
  <c r="EL26" i="73"/>
  <c r="EK26" i="73"/>
  <c r="EJ26" i="73"/>
  <c r="EI26" i="73"/>
  <c r="EH26" i="73"/>
  <c r="EG26" i="73"/>
  <c r="EF26" i="73"/>
  <c r="EE26" i="73"/>
  <c r="ED26" i="73"/>
  <c r="EC26" i="73"/>
  <c r="DV26" i="73"/>
  <c r="DU26" i="73"/>
  <c r="DT26" i="73"/>
  <c r="DS26" i="73"/>
  <c r="DR26" i="73"/>
  <c r="DQ26" i="73"/>
  <c r="DP26" i="73"/>
  <c r="GC25" i="73"/>
  <c r="GB25" i="73"/>
  <c r="GA25" i="73"/>
  <c r="FZ25" i="73"/>
  <c r="FY25" i="73"/>
  <c r="FX25" i="73"/>
  <c r="FW25" i="73"/>
  <c r="FV25" i="73"/>
  <c r="FT25" i="73"/>
  <c r="FS25" i="73"/>
  <c r="FQ25" i="73"/>
  <c r="FO25" i="73"/>
  <c r="FN25" i="73"/>
  <c r="FM25" i="73"/>
  <c r="FK25" i="73"/>
  <c r="FI25" i="73"/>
  <c r="FH25" i="73"/>
  <c r="FG25" i="73"/>
  <c r="FF25" i="73"/>
  <c r="FE25" i="73"/>
  <c r="FD25" i="73"/>
  <c r="FC25" i="73"/>
  <c r="FB25" i="73"/>
  <c r="FA25" i="73"/>
  <c r="EZ25" i="73"/>
  <c r="EY25" i="73"/>
  <c r="EX25" i="73"/>
  <c r="EW25" i="73"/>
  <c r="EV25" i="73"/>
  <c r="EU25" i="73"/>
  <c r="ET25" i="73"/>
  <c r="ES25" i="73"/>
  <c r="ER25" i="73"/>
  <c r="EQ25" i="73"/>
  <c r="EP25" i="73"/>
  <c r="EO25" i="73"/>
  <c r="EN25" i="73"/>
  <c r="EM25" i="73"/>
  <c r="EL25" i="73"/>
  <c r="EK25" i="73"/>
  <c r="EJ25" i="73"/>
  <c r="EI25" i="73"/>
  <c r="EH25" i="73"/>
  <c r="EG25" i="73"/>
  <c r="EF25" i="73"/>
  <c r="EE25" i="73"/>
  <c r="ED25" i="73"/>
  <c r="EC25" i="73"/>
  <c r="DV25" i="73"/>
  <c r="DU25" i="73"/>
  <c r="DT25" i="73"/>
  <c r="DS25" i="73"/>
  <c r="DR25" i="73"/>
  <c r="DQ25" i="73"/>
  <c r="DP25" i="73"/>
  <c r="GC24" i="73"/>
  <c r="GB24" i="73"/>
  <c r="GA24" i="73"/>
  <c r="FZ24" i="73"/>
  <c r="FY24" i="73"/>
  <c r="FX24" i="73"/>
  <c r="FW24" i="73"/>
  <c r="FV24" i="73"/>
  <c r="FT24" i="73"/>
  <c r="FS24" i="73"/>
  <c r="FQ24" i="73"/>
  <c r="FO24" i="73"/>
  <c r="FN24" i="73"/>
  <c r="FM24" i="73"/>
  <c r="FK24" i="73"/>
  <c r="FI24" i="73"/>
  <c r="FH24" i="73"/>
  <c r="FG24" i="73"/>
  <c r="FF24" i="73"/>
  <c r="FE24" i="73"/>
  <c r="FD24" i="73"/>
  <c r="FC24" i="73"/>
  <c r="FB24" i="73"/>
  <c r="FA24" i="73"/>
  <c r="EZ24" i="73"/>
  <c r="EY24" i="73"/>
  <c r="EX24" i="73"/>
  <c r="EW24" i="73"/>
  <c r="EV24" i="73"/>
  <c r="EU24" i="73"/>
  <c r="ET24" i="73"/>
  <c r="ES24" i="73"/>
  <c r="ER24" i="73"/>
  <c r="EQ24" i="73"/>
  <c r="EP24" i="73"/>
  <c r="EO24" i="73"/>
  <c r="EN24" i="73"/>
  <c r="EM24" i="73"/>
  <c r="EL24" i="73"/>
  <c r="EK24" i="73"/>
  <c r="EJ24" i="73"/>
  <c r="EI24" i="73"/>
  <c r="EH24" i="73"/>
  <c r="EG24" i="73"/>
  <c r="EF24" i="73"/>
  <c r="EE24" i="73"/>
  <c r="ED24" i="73"/>
  <c r="EC24" i="73"/>
  <c r="DV24" i="73"/>
  <c r="DU24" i="73"/>
  <c r="DT24" i="73"/>
  <c r="DS24" i="73"/>
  <c r="DR24" i="73"/>
  <c r="DQ24" i="73"/>
  <c r="DP24" i="73"/>
  <c r="GC23" i="73"/>
  <c r="GB23" i="73"/>
  <c r="GA23" i="73"/>
  <c r="FZ23" i="73"/>
  <c r="FY23" i="73"/>
  <c r="FX23" i="73"/>
  <c r="FW23" i="73"/>
  <c r="FV23" i="73"/>
  <c r="FT23" i="73"/>
  <c r="FS23" i="73"/>
  <c r="FQ23" i="73"/>
  <c r="FO23" i="73"/>
  <c r="FN23" i="73"/>
  <c r="FM23" i="73"/>
  <c r="FK23" i="73"/>
  <c r="FI23" i="73"/>
  <c r="FH23" i="73"/>
  <c r="FG23" i="73"/>
  <c r="FF23" i="73"/>
  <c r="FE23" i="73"/>
  <c r="FD23" i="73"/>
  <c r="FC23" i="73"/>
  <c r="FB23" i="73"/>
  <c r="FA23" i="73"/>
  <c r="EZ23" i="73"/>
  <c r="EY23" i="73"/>
  <c r="EX23" i="73"/>
  <c r="EW23" i="73"/>
  <c r="EV23" i="73"/>
  <c r="EU23" i="73"/>
  <c r="ET23" i="73"/>
  <c r="ES23" i="73"/>
  <c r="ER23" i="73"/>
  <c r="EQ23" i="73"/>
  <c r="EP23" i="73"/>
  <c r="EO23" i="73"/>
  <c r="EN23" i="73"/>
  <c r="EM23" i="73"/>
  <c r="EL23" i="73"/>
  <c r="EK23" i="73"/>
  <c r="EJ23" i="73"/>
  <c r="EI23" i="73"/>
  <c r="EH23" i="73"/>
  <c r="EG23" i="73"/>
  <c r="EF23" i="73"/>
  <c r="EE23" i="73"/>
  <c r="ED23" i="73"/>
  <c r="EC23" i="73"/>
  <c r="DV23" i="73"/>
  <c r="DU23" i="73"/>
  <c r="DT23" i="73"/>
  <c r="DS23" i="73"/>
  <c r="DR23" i="73"/>
  <c r="DQ23" i="73"/>
  <c r="DP23" i="73"/>
  <c r="GC22" i="73"/>
  <c r="GB22" i="73"/>
  <c r="GA22" i="73"/>
  <c r="FZ22" i="73"/>
  <c r="FY22" i="73"/>
  <c r="FX22" i="73"/>
  <c r="FW22" i="73"/>
  <c r="FV22" i="73"/>
  <c r="FT22" i="73"/>
  <c r="FS22" i="73"/>
  <c r="FQ22" i="73"/>
  <c r="FO22" i="73"/>
  <c r="FN22" i="73"/>
  <c r="FM22" i="73"/>
  <c r="FK22" i="73"/>
  <c r="FI22" i="73"/>
  <c r="FH22" i="73"/>
  <c r="FG22" i="73"/>
  <c r="FF22" i="73"/>
  <c r="FE22" i="73"/>
  <c r="FD22" i="73"/>
  <c r="FC22" i="73"/>
  <c r="FB22" i="73"/>
  <c r="FA22" i="73"/>
  <c r="EZ22" i="73"/>
  <c r="EY22" i="73"/>
  <c r="EX22" i="73"/>
  <c r="EW22" i="73"/>
  <c r="EV22" i="73"/>
  <c r="EU22" i="73"/>
  <c r="ET22" i="73"/>
  <c r="ES22" i="73"/>
  <c r="ER22" i="73"/>
  <c r="EQ22" i="73"/>
  <c r="EP22" i="73"/>
  <c r="EO22" i="73"/>
  <c r="EN22" i="73"/>
  <c r="EM22" i="73"/>
  <c r="EL22" i="73"/>
  <c r="EK22" i="73"/>
  <c r="EJ22" i="73"/>
  <c r="EI22" i="73"/>
  <c r="EH22" i="73"/>
  <c r="EG22" i="73"/>
  <c r="EF22" i="73"/>
  <c r="EE22" i="73"/>
  <c r="ED22" i="73"/>
  <c r="EC22" i="73"/>
  <c r="DV22" i="73"/>
  <c r="DU22" i="73"/>
  <c r="DT22" i="73"/>
  <c r="DS22" i="73"/>
  <c r="DR22" i="73"/>
  <c r="DQ22" i="73"/>
  <c r="DP22" i="73"/>
  <c r="GC21" i="73"/>
  <c r="GB21" i="73"/>
  <c r="GA21" i="73"/>
  <c r="FZ21" i="73"/>
  <c r="FY21" i="73"/>
  <c r="FX21" i="73"/>
  <c r="FW21" i="73"/>
  <c r="FV21" i="73"/>
  <c r="FT21" i="73"/>
  <c r="FS21" i="73"/>
  <c r="FQ21" i="73"/>
  <c r="FO21" i="73"/>
  <c r="FN21" i="73"/>
  <c r="FM21" i="73"/>
  <c r="FK21" i="73"/>
  <c r="FI21" i="73"/>
  <c r="FH21" i="73"/>
  <c r="FG21" i="73"/>
  <c r="FF21" i="73"/>
  <c r="FE21" i="73"/>
  <c r="FD21" i="73"/>
  <c r="FC21" i="73"/>
  <c r="FB21" i="73"/>
  <c r="FA21" i="73"/>
  <c r="EZ21" i="73"/>
  <c r="EY21" i="73"/>
  <c r="EX21" i="73"/>
  <c r="EW21" i="73"/>
  <c r="EV21" i="73"/>
  <c r="EU21" i="73"/>
  <c r="ET21" i="73"/>
  <c r="ES21" i="73"/>
  <c r="ER21" i="73"/>
  <c r="EQ21" i="73"/>
  <c r="EP21" i="73"/>
  <c r="EO21" i="73"/>
  <c r="EN21" i="73"/>
  <c r="EM21" i="73"/>
  <c r="EL21" i="73"/>
  <c r="EK21" i="73"/>
  <c r="EJ21" i="73"/>
  <c r="EI21" i="73"/>
  <c r="EH21" i="73"/>
  <c r="EG21" i="73"/>
  <c r="EF21" i="73"/>
  <c r="EE21" i="73"/>
  <c r="ED21" i="73"/>
  <c r="EC21" i="73"/>
  <c r="DV21" i="73"/>
  <c r="DU21" i="73"/>
  <c r="DT21" i="73"/>
  <c r="DS21" i="73"/>
  <c r="DR21" i="73"/>
  <c r="DQ21" i="73"/>
  <c r="DP21" i="73"/>
  <c r="GC20" i="73"/>
  <c r="GB20" i="73"/>
  <c r="GA20" i="73"/>
  <c r="FZ20" i="73"/>
  <c r="FY20" i="73"/>
  <c r="FX20" i="73"/>
  <c r="FW20" i="73"/>
  <c r="FV20" i="73"/>
  <c r="FT20" i="73"/>
  <c r="FS20" i="73"/>
  <c r="FQ20" i="73"/>
  <c r="FO20" i="73"/>
  <c r="FN20" i="73"/>
  <c r="FM20" i="73"/>
  <c r="FK20" i="73"/>
  <c r="FI20" i="73"/>
  <c r="FH20" i="73"/>
  <c r="FG20" i="73"/>
  <c r="FF20" i="73"/>
  <c r="FE20" i="73"/>
  <c r="FD20" i="73"/>
  <c r="FC20" i="73"/>
  <c r="FB20" i="73"/>
  <c r="FA20" i="73"/>
  <c r="EZ20" i="73"/>
  <c r="EY20" i="73"/>
  <c r="EX20" i="73"/>
  <c r="EW20" i="73"/>
  <c r="EV20" i="73"/>
  <c r="EU20" i="73"/>
  <c r="ET20" i="73"/>
  <c r="ES20" i="73"/>
  <c r="ER20" i="73"/>
  <c r="EQ20" i="73"/>
  <c r="EP20" i="73"/>
  <c r="EO20" i="73"/>
  <c r="EN20" i="73"/>
  <c r="EM20" i="73"/>
  <c r="EL20" i="73"/>
  <c r="EK20" i="73"/>
  <c r="EJ20" i="73"/>
  <c r="EI20" i="73"/>
  <c r="EH20" i="73"/>
  <c r="EG20" i="73"/>
  <c r="EF20" i="73"/>
  <c r="EE20" i="73"/>
  <c r="ED20" i="73"/>
  <c r="EC20" i="73"/>
  <c r="DV20" i="73"/>
  <c r="DU20" i="73"/>
  <c r="DT20" i="73"/>
  <c r="DS20" i="73"/>
  <c r="DR20" i="73"/>
  <c r="DQ20" i="73"/>
  <c r="DP20" i="73"/>
  <c r="GC19" i="73"/>
  <c r="GB19" i="73"/>
  <c r="GA19" i="73"/>
  <c r="FZ19" i="73"/>
  <c r="FY19" i="73"/>
  <c r="FX19" i="73"/>
  <c r="FW19" i="73"/>
  <c r="FV19" i="73"/>
  <c r="FT19" i="73"/>
  <c r="FS19" i="73"/>
  <c r="FQ19" i="73"/>
  <c r="FO19" i="73"/>
  <c r="FN19" i="73"/>
  <c r="FM19" i="73"/>
  <c r="FK19" i="73"/>
  <c r="FI19" i="73"/>
  <c r="FH19" i="73"/>
  <c r="FG19" i="73"/>
  <c r="FF19" i="73"/>
  <c r="FE19" i="73"/>
  <c r="FD19" i="73"/>
  <c r="FC19" i="73"/>
  <c r="FB19" i="73"/>
  <c r="FA19" i="73"/>
  <c r="EZ19" i="73"/>
  <c r="EY19" i="73"/>
  <c r="EX19" i="73"/>
  <c r="EW19" i="73"/>
  <c r="EV19" i="73"/>
  <c r="EU19" i="73"/>
  <c r="ET19" i="73"/>
  <c r="ES19" i="73"/>
  <c r="ER19" i="73"/>
  <c r="EQ19" i="73"/>
  <c r="EP19" i="73"/>
  <c r="EO19" i="73"/>
  <c r="EN19" i="73"/>
  <c r="EM19" i="73"/>
  <c r="EL19" i="73"/>
  <c r="EK19" i="73"/>
  <c r="EJ19" i="73"/>
  <c r="EI19" i="73"/>
  <c r="EH19" i="73"/>
  <c r="EG19" i="73"/>
  <c r="EF19" i="73"/>
  <c r="EE19" i="73"/>
  <c r="ED19" i="73"/>
  <c r="EC19" i="73"/>
  <c r="DV19" i="73"/>
  <c r="DU19" i="73"/>
  <c r="DT19" i="73"/>
  <c r="DS19" i="73"/>
  <c r="DR19" i="73"/>
  <c r="DQ19" i="73"/>
  <c r="DP19" i="73"/>
  <c r="GC18" i="73"/>
  <c r="GB18" i="73"/>
  <c r="GA18" i="73"/>
  <c r="FZ18" i="73"/>
  <c r="FY18" i="73"/>
  <c r="FX18" i="73"/>
  <c r="FW18" i="73"/>
  <c r="FV18" i="73"/>
  <c r="FT18" i="73"/>
  <c r="FS18" i="73"/>
  <c r="FQ18" i="73"/>
  <c r="FO18" i="73"/>
  <c r="FN18" i="73"/>
  <c r="FM18" i="73"/>
  <c r="FK18" i="73"/>
  <c r="FI18" i="73"/>
  <c r="FH18" i="73"/>
  <c r="FG18" i="73"/>
  <c r="FF18" i="73"/>
  <c r="FE18" i="73"/>
  <c r="FD18" i="73"/>
  <c r="FC18" i="73"/>
  <c r="FB18" i="73"/>
  <c r="FA18" i="73"/>
  <c r="EZ18" i="73"/>
  <c r="EY18" i="73"/>
  <c r="EX18" i="73"/>
  <c r="EW18" i="73"/>
  <c r="EV18" i="73"/>
  <c r="EU18" i="73"/>
  <c r="ET18" i="73"/>
  <c r="ES18" i="73"/>
  <c r="ER18" i="73"/>
  <c r="EQ18" i="73"/>
  <c r="EP18" i="73"/>
  <c r="EO18" i="73"/>
  <c r="EN18" i="73"/>
  <c r="EM18" i="73"/>
  <c r="EL18" i="73"/>
  <c r="EK18" i="73"/>
  <c r="EJ18" i="73"/>
  <c r="EI18" i="73"/>
  <c r="EH18" i="73"/>
  <c r="EG18" i="73"/>
  <c r="EF18" i="73"/>
  <c r="EE18" i="73"/>
  <c r="ED18" i="73"/>
  <c r="EC18" i="73"/>
  <c r="DV18" i="73"/>
  <c r="DU18" i="73"/>
  <c r="DT18" i="73"/>
  <c r="DS18" i="73"/>
  <c r="DR18" i="73"/>
  <c r="DQ18" i="73"/>
  <c r="DP18" i="73"/>
  <c r="GC17" i="73"/>
  <c r="GB17" i="73"/>
  <c r="GA17" i="73"/>
  <c r="FZ17" i="73"/>
  <c r="FY17" i="73"/>
  <c r="FX17" i="73"/>
  <c r="FW17" i="73"/>
  <c r="FV17" i="73"/>
  <c r="FT17" i="73"/>
  <c r="FS17" i="73"/>
  <c r="FQ17" i="73"/>
  <c r="FO17" i="73"/>
  <c r="FN17" i="73"/>
  <c r="FM17" i="73"/>
  <c r="FK17" i="73"/>
  <c r="FI17" i="73"/>
  <c r="FH17" i="73"/>
  <c r="FG17" i="73"/>
  <c r="FF17" i="73"/>
  <c r="FE17" i="73"/>
  <c r="FD17" i="73"/>
  <c r="FC17" i="73"/>
  <c r="FB17" i="73"/>
  <c r="FA17" i="73"/>
  <c r="EZ17" i="73"/>
  <c r="EY17" i="73"/>
  <c r="EX17" i="73"/>
  <c r="EW17" i="73"/>
  <c r="EV17" i="73"/>
  <c r="EU17" i="73"/>
  <c r="ET17" i="73"/>
  <c r="ES17" i="73"/>
  <c r="ER17" i="73"/>
  <c r="EQ17" i="73"/>
  <c r="EP17" i="73"/>
  <c r="EO17" i="73"/>
  <c r="EN17" i="73"/>
  <c r="EM17" i="73"/>
  <c r="EL17" i="73"/>
  <c r="EK17" i="73"/>
  <c r="EJ17" i="73"/>
  <c r="EI17" i="73"/>
  <c r="EH17" i="73"/>
  <c r="EG17" i="73"/>
  <c r="EF17" i="73"/>
  <c r="EE17" i="73"/>
  <c r="ED17" i="73"/>
  <c r="EC17" i="73"/>
  <c r="DV17" i="73"/>
  <c r="DU17" i="73"/>
  <c r="DT17" i="73"/>
  <c r="DS17" i="73"/>
  <c r="DR17" i="73"/>
  <c r="DQ17" i="73"/>
  <c r="DP17" i="73"/>
  <c r="GC16" i="73"/>
  <c r="GB16" i="73"/>
  <c r="GA16" i="73"/>
  <c r="FZ16" i="73"/>
  <c r="FY16" i="73"/>
  <c r="FX16" i="73"/>
  <c r="FW16" i="73"/>
  <c r="FV16" i="73"/>
  <c r="FT16" i="73"/>
  <c r="FS16" i="73"/>
  <c r="FQ16" i="73"/>
  <c r="FO16" i="73"/>
  <c r="FN16" i="73"/>
  <c r="FM16" i="73"/>
  <c r="FK16" i="73"/>
  <c r="FI16" i="73"/>
  <c r="FH16" i="73"/>
  <c r="FG16" i="73"/>
  <c r="FF16" i="73"/>
  <c r="FE16" i="73"/>
  <c r="FD16" i="73"/>
  <c r="FC16" i="73"/>
  <c r="FB16" i="73"/>
  <c r="FA16" i="73"/>
  <c r="EZ16" i="73"/>
  <c r="EY16" i="73"/>
  <c r="EX16" i="73"/>
  <c r="EW16" i="73"/>
  <c r="EV16" i="73"/>
  <c r="EU16" i="73"/>
  <c r="ET16" i="73"/>
  <c r="ES16" i="73"/>
  <c r="ER16" i="73"/>
  <c r="EQ16" i="73"/>
  <c r="EP16" i="73"/>
  <c r="EO16" i="73"/>
  <c r="EN16" i="73"/>
  <c r="EM16" i="73"/>
  <c r="EL16" i="73"/>
  <c r="EK16" i="73"/>
  <c r="EJ16" i="73"/>
  <c r="EI16" i="73"/>
  <c r="EH16" i="73"/>
  <c r="EG16" i="73"/>
  <c r="EF16" i="73"/>
  <c r="EE16" i="73"/>
  <c r="ED16" i="73"/>
  <c r="EC16" i="73"/>
  <c r="DV16" i="73"/>
  <c r="DU16" i="73"/>
  <c r="DT16" i="73"/>
  <c r="DS16" i="73"/>
  <c r="DR16" i="73"/>
  <c r="DQ16" i="73"/>
  <c r="DP16" i="73"/>
  <c r="GC15" i="73"/>
  <c r="GB15" i="73"/>
  <c r="GA15" i="73"/>
  <c r="FZ15" i="73"/>
  <c r="FY15" i="73"/>
  <c r="FX15" i="73"/>
  <c r="FW15" i="73"/>
  <c r="FV15" i="73"/>
  <c r="FT15" i="73"/>
  <c r="FS15" i="73"/>
  <c r="FQ15" i="73"/>
  <c r="FO15" i="73"/>
  <c r="FN15" i="73"/>
  <c r="FM15" i="73"/>
  <c r="FK15" i="73"/>
  <c r="FI15" i="73"/>
  <c r="FH15" i="73"/>
  <c r="FG15" i="73"/>
  <c r="FF15" i="73"/>
  <c r="FE15" i="73"/>
  <c r="FD15" i="73"/>
  <c r="FC15" i="73"/>
  <c r="FB15" i="73"/>
  <c r="FA15" i="73"/>
  <c r="EZ15" i="73"/>
  <c r="EY15" i="73"/>
  <c r="EX15" i="73"/>
  <c r="EW15" i="73"/>
  <c r="EV15" i="73"/>
  <c r="EU15" i="73"/>
  <c r="ET15" i="73"/>
  <c r="ES15" i="73"/>
  <c r="ER15" i="73"/>
  <c r="EQ15" i="73"/>
  <c r="EP15" i="73"/>
  <c r="EO15" i="73"/>
  <c r="EN15" i="73"/>
  <c r="EM15" i="73"/>
  <c r="EL15" i="73"/>
  <c r="EK15" i="73"/>
  <c r="EJ15" i="73"/>
  <c r="EI15" i="73"/>
  <c r="EH15" i="73"/>
  <c r="EG15" i="73"/>
  <c r="EF15" i="73"/>
  <c r="EE15" i="73"/>
  <c r="ED15" i="73"/>
  <c r="EC15" i="73"/>
  <c r="DV15" i="73"/>
  <c r="DU15" i="73"/>
  <c r="DT15" i="73"/>
  <c r="DS15" i="73"/>
  <c r="DR15" i="73"/>
  <c r="DQ15" i="73"/>
  <c r="DP15" i="73"/>
  <c r="GC14" i="73"/>
  <c r="GB14" i="73"/>
  <c r="GA14" i="73"/>
  <c r="FZ14" i="73"/>
  <c r="FY14" i="73"/>
  <c r="FX14" i="73"/>
  <c r="FW14" i="73"/>
  <c r="FV14" i="73"/>
  <c r="FT14" i="73"/>
  <c r="FS14" i="73"/>
  <c r="FQ14" i="73"/>
  <c r="FO14" i="73"/>
  <c r="FN14" i="73"/>
  <c r="FM14" i="73"/>
  <c r="FK14" i="73"/>
  <c r="FI14" i="73"/>
  <c r="FH14" i="73"/>
  <c r="FG14" i="73"/>
  <c r="FF14" i="73"/>
  <c r="FE14" i="73"/>
  <c r="FD14" i="73"/>
  <c r="FC14" i="73"/>
  <c r="FB14" i="73"/>
  <c r="FA14" i="73"/>
  <c r="EZ14" i="73"/>
  <c r="EY14" i="73"/>
  <c r="EX14" i="73"/>
  <c r="EW14" i="73"/>
  <c r="EV14" i="73"/>
  <c r="EU14" i="73"/>
  <c r="ET14" i="73"/>
  <c r="ES14" i="73"/>
  <c r="ER14" i="73"/>
  <c r="EQ14" i="73"/>
  <c r="EP14" i="73"/>
  <c r="EO14" i="73"/>
  <c r="EN14" i="73"/>
  <c r="EM14" i="73"/>
  <c r="EL14" i="73"/>
  <c r="EK14" i="73"/>
  <c r="EJ14" i="73"/>
  <c r="EI14" i="73"/>
  <c r="EH14" i="73"/>
  <c r="EG14" i="73"/>
  <c r="EF14" i="73"/>
  <c r="EE14" i="73"/>
  <c r="ED14" i="73"/>
  <c r="EC14" i="73"/>
  <c r="DV14" i="73"/>
  <c r="DU14" i="73"/>
  <c r="DT14" i="73"/>
  <c r="DS14" i="73"/>
  <c r="DR14" i="73"/>
  <c r="DQ14" i="73"/>
  <c r="DP14" i="73"/>
  <c r="GC13" i="73"/>
  <c r="GB13" i="73"/>
  <c r="GA13" i="73"/>
  <c r="FZ13" i="73"/>
  <c r="FY13" i="73"/>
  <c r="FX13" i="73"/>
  <c r="FW13" i="73"/>
  <c r="FV13" i="73"/>
  <c r="FT13" i="73"/>
  <c r="FS13" i="73"/>
  <c r="FQ13" i="73"/>
  <c r="FO13" i="73"/>
  <c r="FN13" i="73"/>
  <c r="FM13" i="73"/>
  <c r="FK13" i="73"/>
  <c r="FI13" i="73"/>
  <c r="FH13" i="73"/>
  <c r="FG13" i="73"/>
  <c r="FF13" i="73"/>
  <c r="FE13" i="73"/>
  <c r="FD13" i="73"/>
  <c r="FC13" i="73"/>
  <c r="FB13" i="73"/>
  <c r="FA13" i="73"/>
  <c r="EZ13" i="73"/>
  <c r="EY13" i="73"/>
  <c r="EX13" i="73"/>
  <c r="EW13" i="73"/>
  <c r="EV13" i="73"/>
  <c r="EU13" i="73"/>
  <c r="ET13" i="73"/>
  <c r="ES13" i="73"/>
  <c r="ER13" i="73"/>
  <c r="EQ13" i="73"/>
  <c r="EP13" i="73"/>
  <c r="EO13" i="73"/>
  <c r="EN13" i="73"/>
  <c r="EM13" i="73"/>
  <c r="EL13" i="73"/>
  <c r="EK13" i="73"/>
  <c r="EJ13" i="73"/>
  <c r="EI13" i="73"/>
  <c r="EH13" i="73"/>
  <c r="EG13" i="73"/>
  <c r="EF13" i="73"/>
  <c r="EE13" i="73"/>
  <c r="ED13" i="73"/>
  <c r="EC13" i="73"/>
  <c r="DV13" i="73"/>
  <c r="DU13" i="73"/>
  <c r="DT13" i="73"/>
  <c r="DS13" i="73"/>
  <c r="DR13" i="73"/>
  <c r="DQ13" i="73"/>
  <c r="DP13" i="73"/>
  <c r="GC12" i="73"/>
  <c r="GB12" i="73"/>
  <c r="GA12" i="73"/>
  <c r="FZ12" i="73"/>
  <c r="FY12" i="73"/>
  <c r="FX12" i="73"/>
  <c r="FW12" i="73"/>
  <c r="FV12" i="73"/>
  <c r="FT12" i="73"/>
  <c r="FS12" i="73"/>
  <c r="FQ12" i="73"/>
  <c r="FO12" i="73"/>
  <c r="FN12" i="73"/>
  <c r="FM12" i="73"/>
  <c r="FK12" i="73"/>
  <c r="FI12" i="73"/>
  <c r="FH12" i="73"/>
  <c r="FG12" i="73"/>
  <c r="FF12" i="73"/>
  <c r="FE12" i="73"/>
  <c r="FD12" i="73"/>
  <c r="FC12" i="73"/>
  <c r="FB12" i="73"/>
  <c r="FA12" i="73"/>
  <c r="EZ12" i="73"/>
  <c r="EY12" i="73"/>
  <c r="EX12" i="73"/>
  <c r="EW12" i="73"/>
  <c r="EV12" i="73"/>
  <c r="EU12" i="73"/>
  <c r="ET12" i="73"/>
  <c r="ES12" i="73"/>
  <c r="ER12" i="73"/>
  <c r="EQ12" i="73"/>
  <c r="EP12" i="73"/>
  <c r="EO12" i="73"/>
  <c r="EN12" i="73"/>
  <c r="EM12" i="73"/>
  <c r="EL12" i="73"/>
  <c r="EK12" i="73"/>
  <c r="EJ12" i="73"/>
  <c r="EI12" i="73"/>
  <c r="EH12" i="73"/>
  <c r="EG12" i="73"/>
  <c r="EF12" i="73"/>
  <c r="EE12" i="73"/>
  <c r="ED12" i="73"/>
  <c r="EC12" i="73"/>
  <c r="DV12" i="73"/>
  <c r="DU12" i="73"/>
  <c r="DT12" i="73"/>
  <c r="DS12" i="73"/>
  <c r="DR12" i="73"/>
  <c r="DQ12" i="73"/>
  <c r="DP12" i="73"/>
  <c r="GC11" i="73"/>
  <c r="GB11" i="73"/>
  <c r="GA11" i="73"/>
  <c r="FZ11" i="73"/>
  <c r="FY11" i="73"/>
  <c r="FX11" i="73"/>
  <c r="FW11" i="73"/>
  <c r="FV11" i="73"/>
  <c r="FT11" i="73"/>
  <c r="FS11" i="73"/>
  <c r="FQ11" i="73"/>
  <c r="FO11" i="73"/>
  <c r="FN11" i="73"/>
  <c r="FM11" i="73"/>
  <c r="FK11" i="73"/>
  <c r="FI11" i="73"/>
  <c r="FH11" i="73"/>
  <c r="FG11" i="73"/>
  <c r="FF11" i="73"/>
  <c r="FE11" i="73"/>
  <c r="FD11" i="73"/>
  <c r="FC11" i="73"/>
  <c r="FB11" i="73"/>
  <c r="FA11" i="73"/>
  <c r="EZ11" i="73"/>
  <c r="EY11" i="73"/>
  <c r="EX11" i="73"/>
  <c r="EW11" i="73"/>
  <c r="EV11" i="73"/>
  <c r="EU11" i="73"/>
  <c r="ET11" i="73"/>
  <c r="ES11" i="73"/>
  <c r="ER11" i="73"/>
  <c r="EQ11" i="73"/>
  <c r="EP11" i="73"/>
  <c r="EO11" i="73"/>
  <c r="EN11" i="73"/>
  <c r="EM11" i="73"/>
  <c r="EL11" i="73"/>
  <c r="EK11" i="73"/>
  <c r="EJ11" i="73"/>
  <c r="EI11" i="73"/>
  <c r="EH11" i="73"/>
  <c r="EG11" i="73"/>
  <c r="EF11" i="73"/>
  <c r="EE11" i="73"/>
  <c r="ED11" i="73"/>
  <c r="EC11" i="73"/>
  <c r="DV11" i="73"/>
  <c r="DU11" i="73"/>
  <c r="DT11" i="73"/>
  <c r="DS11" i="73"/>
  <c r="DR11" i="73"/>
  <c r="DQ11" i="73"/>
  <c r="DP11" i="73"/>
  <c r="GC10" i="73"/>
  <c r="GB10" i="73"/>
  <c r="GA10" i="73"/>
  <c r="FZ10" i="73"/>
  <c r="FY10" i="73"/>
  <c r="FX10" i="73"/>
  <c r="FW10" i="73"/>
  <c r="FV10" i="73"/>
  <c r="FT10" i="73"/>
  <c r="FS10" i="73"/>
  <c r="FQ10" i="73"/>
  <c r="FO10" i="73"/>
  <c r="FN10" i="73"/>
  <c r="FM10" i="73"/>
  <c r="FK10" i="73"/>
  <c r="FI10" i="73"/>
  <c r="FH10" i="73"/>
  <c r="FG10" i="73"/>
  <c r="FF10" i="73"/>
  <c r="FE10" i="73"/>
  <c r="FD10" i="73"/>
  <c r="FC10" i="73"/>
  <c r="FB10" i="73"/>
  <c r="FA10" i="73"/>
  <c r="EZ10" i="73"/>
  <c r="EY10" i="73"/>
  <c r="EX10" i="73"/>
  <c r="EW10" i="73"/>
  <c r="EV10" i="73"/>
  <c r="EU10" i="73"/>
  <c r="ET10" i="73"/>
  <c r="ES10" i="73"/>
  <c r="ER10" i="73"/>
  <c r="EQ10" i="73"/>
  <c r="EP10" i="73"/>
  <c r="EO10" i="73"/>
  <c r="EN10" i="73"/>
  <c r="EM10" i="73"/>
  <c r="EL10" i="73"/>
  <c r="EK10" i="73"/>
  <c r="EJ10" i="73"/>
  <c r="EI10" i="73"/>
  <c r="EH10" i="73"/>
  <c r="EG10" i="73"/>
  <c r="EF10" i="73"/>
  <c r="EE10" i="73"/>
  <c r="ED10" i="73"/>
  <c r="EC10" i="73"/>
  <c r="DV10" i="73"/>
  <c r="DU10" i="73"/>
  <c r="DT10" i="73"/>
  <c r="DS10" i="73"/>
  <c r="DR10" i="73"/>
  <c r="DQ10" i="73"/>
  <c r="DP10" i="73"/>
  <c r="GC9" i="73"/>
  <c r="GB9" i="73"/>
  <c r="GA9" i="73"/>
  <c r="FZ9" i="73"/>
  <c r="FY9" i="73"/>
  <c r="FX9" i="73"/>
  <c r="FW9" i="73"/>
  <c r="FV9" i="73"/>
  <c r="FU40" i="73"/>
  <c r="FT9" i="73"/>
  <c r="FS9" i="73"/>
  <c r="FS40" i="73" s="1"/>
  <c r="FQ9" i="73"/>
  <c r="FO9" i="73"/>
  <c r="FN9" i="73"/>
  <c r="FM9" i="73"/>
  <c r="FL9" i="73"/>
  <c r="FK9" i="73"/>
  <c r="FJ9" i="73"/>
  <c r="FI9" i="73"/>
  <c r="FH9" i="73"/>
  <c r="FG9" i="73"/>
  <c r="FF9" i="73"/>
  <c r="FE9" i="73"/>
  <c r="FD9" i="73"/>
  <c r="FC9" i="73"/>
  <c r="FB9" i="73"/>
  <c r="FA9" i="73"/>
  <c r="EZ9" i="73"/>
  <c r="EY9" i="73"/>
  <c r="EX9" i="73"/>
  <c r="EW9" i="73"/>
  <c r="EV9" i="73"/>
  <c r="EU9" i="73"/>
  <c r="ET9" i="73"/>
  <c r="ES9" i="73"/>
  <c r="ER9" i="73"/>
  <c r="EQ9" i="73"/>
  <c r="EP9" i="73"/>
  <c r="EO9" i="73"/>
  <c r="EN9" i="73"/>
  <c r="EM9" i="73"/>
  <c r="EL9" i="73"/>
  <c r="EK9" i="73"/>
  <c r="EJ9" i="73"/>
  <c r="EI9" i="73"/>
  <c r="EH9" i="73"/>
  <c r="EG9" i="73"/>
  <c r="EF9" i="73"/>
  <c r="EE9" i="73"/>
  <c r="ED9" i="73"/>
  <c r="EC9" i="73"/>
  <c r="DV9" i="73"/>
  <c r="DU9" i="73"/>
  <c r="DT9" i="73"/>
  <c r="DS9" i="73"/>
  <c r="DR9" i="73"/>
  <c r="DQ9" i="73"/>
  <c r="DP9" i="73"/>
  <c r="FE7" i="73"/>
  <c r="EJ7" i="73"/>
  <c r="EH7" i="73"/>
  <c r="EB7" i="73"/>
  <c r="EA7" i="73"/>
  <c r="DZ7" i="73"/>
  <c r="DV7" i="73"/>
  <c r="DT7" i="73"/>
  <c r="EB40" i="72"/>
  <c r="EA40" i="72"/>
  <c r="DZ40" i="72"/>
  <c r="DY40" i="72"/>
  <c r="DX40" i="72"/>
  <c r="DW40" i="72"/>
  <c r="DV38" i="72"/>
  <c r="DU38" i="72"/>
  <c r="DT38" i="72"/>
  <c r="DS38" i="72"/>
  <c r="DR38" i="72"/>
  <c r="DQ38" i="72"/>
  <c r="DP38" i="72"/>
  <c r="DV37" i="72"/>
  <c r="DU37" i="72"/>
  <c r="DT37" i="72"/>
  <c r="DS37" i="72"/>
  <c r="DR37" i="72"/>
  <c r="DQ37" i="72"/>
  <c r="DP37" i="72"/>
  <c r="GC36" i="72"/>
  <c r="GB36" i="72"/>
  <c r="GA36" i="72"/>
  <c r="FZ36" i="72"/>
  <c r="FY36" i="72"/>
  <c r="FX36" i="72"/>
  <c r="FW36" i="72"/>
  <c r="FV36" i="72"/>
  <c r="FT36" i="72"/>
  <c r="FS36" i="72"/>
  <c r="FQ36" i="72"/>
  <c r="FO36" i="72"/>
  <c r="FN36" i="72"/>
  <c r="FM36" i="72"/>
  <c r="FK36" i="72"/>
  <c r="FI36" i="72"/>
  <c r="FH36" i="72"/>
  <c r="FG36" i="72"/>
  <c r="FF36" i="72"/>
  <c r="FE36" i="72"/>
  <c r="FD36" i="72"/>
  <c r="FC36" i="72"/>
  <c r="FB36" i="72"/>
  <c r="FA36" i="72"/>
  <c r="EZ36" i="72"/>
  <c r="EY36" i="72"/>
  <c r="EX36" i="72"/>
  <c r="EW36" i="72"/>
  <c r="EV36" i="72"/>
  <c r="EU36" i="72"/>
  <c r="ET36" i="72"/>
  <c r="ES36" i="72"/>
  <c r="ER36" i="72"/>
  <c r="EQ36" i="72"/>
  <c r="EP36" i="72"/>
  <c r="EO36" i="72"/>
  <c r="EN36" i="72"/>
  <c r="EM36" i="72"/>
  <c r="EL36" i="72"/>
  <c r="EK36" i="72"/>
  <c r="EJ36" i="72"/>
  <c r="EI36" i="72"/>
  <c r="EH36" i="72"/>
  <c r="EG36" i="72"/>
  <c r="EF36" i="72"/>
  <c r="EE36" i="72"/>
  <c r="ED36" i="72"/>
  <c r="EC36" i="72"/>
  <c r="DV36" i="72"/>
  <c r="DU36" i="72"/>
  <c r="DT36" i="72"/>
  <c r="DS36" i="72"/>
  <c r="DR36" i="72"/>
  <c r="DQ36" i="72"/>
  <c r="DP36" i="72"/>
  <c r="GC35" i="72"/>
  <c r="GB35" i="72"/>
  <c r="GA35" i="72"/>
  <c r="FZ35" i="72"/>
  <c r="FY35" i="72"/>
  <c r="FX35" i="72"/>
  <c r="FW35" i="72"/>
  <c r="FV35" i="72"/>
  <c r="FT35" i="72"/>
  <c r="FS35" i="72"/>
  <c r="FQ35" i="72"/>
  <c r="FO35" i="72"/>
  <c r="FN35" i="72"/>
  <c r="FM35" i="72"/>
  <c r="FK35" i="72"/>
  <c r="FI35" i="72"/>
  <c r="FH35" i="72"/>
  <c r="FG35" i="72"/>
  <c r="FF35" i="72"/>
  <c r="FE35" i="72"/>
  <c r="FD35" i="72"/>
  <c r="FC35" i="72"/>
  <c r="FB35" i="72"/>
  <c r="FA35" i="72"/>
  <c r="EZ35" i="72"/>
  <c r="EY35" i="72"/>
  <c r="EX35" i="72"/>
  <c r="EW35" i="72"/>
  <c r="EV35" i="72"/>
  <c r="EU35" i="72"/>
  <c r="ET35" i="72"/>
  <c r="ES35" i="72"/>
  <c r="ER35" i="72"/>
  <c r="EQ35" i="72"/>
  <c r="EP35" i="72"/>
  <c r="EO35" i="72"/>
  <c r="EN35" i="72"/>
  <c r="EM35" i="72"/>
  <c r="EL35" i="72"/>
  <c r="EK35" i="72"/>
  <c r="EJ35" i="72"/>
  <c r="EI35" i="72"/>
  <c r="EH35" i="72"/>
  <c r="EG35" i="72"/>
  <c r="EF35" i="72"/>
  <c r="EE35" i="72"/>
  <c r="ED35" i="72"/>
  <c r="EC35" i="72"/>
  <c r="DV35" i="72"/>
  <c r="DU35" i="72"/>
  <c r="DT35" i="72"/>
  <c r="DS35" i="72"/>
  <c r="DR35" i="72"/>
  <c r="DQ35" i="72"/>
  <c r="DP35" i="72"/>
  <c r="GC34" i="72"/>
  <c r="GB34" i="72"/>
  <c r="GA34" i="72"/>
  <c r="FZ34" i="72"/>
  <c r="FY34" i="72"/>
  <c r="FX34" i="72"/>
  <c r="FW34" i="72"/>
  <c r="FV34" i="72"/>
  <c r="FT34" i="72"/>
  <c r="FS34" i="72"/>
  <c r="FQ34" i="72"/>
  <c r="FO34" i="72"/>
  <c r="FN34" i="72"/>
  <c r="FM34" i="72"/>
  <c r="FK34" i="72"/>
  <c r="FI34" i="72"/>
  <c r="FH34" i="72"/>
  <c r="FG34" i="72"/>
  <c r="FF34" i="72"/>
  <c r="FE34" i="72"/>
  <c r="FD34" i="72"/>
  <c r="FC34" i="72"/>
  <c r="FB34" i="72"/>
  <c r="FA34" i="72"/>
  <c r="EZ34" i="72"/>
  <c r="EY34" i="72"/>
  <c r="EX34" i="72"/>
  <c r="EW34" i="72"/>
  <c r="EV34" i="72"/>
  <c r="EU34" i="72"/>
  <c r="ET34" i="72"/>
  <c r="ES34" i="72"/>
  <c r="ER34" i="72"/>
  <c r="EQ34" i="72"/>
  <c r="EP34" i="72"/>
  <c r="EO34" i="72"/>
  <c r="EN34" i="72"/>
  <c r="EM34" i="72"/>
  <c r="EL34" i="72"/>
  <c r="EK34" i="72"/>
  <c r="EJ34" i="72"/>
  <c r="EI34" i="72"/>
  <c r="EH34" i="72"/>
  <c r="EG34" i="72"/>
  <c r="EF34" i="72"/>
  <c r="EE34" i="72"/>
  <c r="ED34" i="72"/>
  <c r="EC34" i="72"/>
  <c r="DV34" i="72"/>
  <c r="DU34" i="72"/>
  <c r="DT34" i="72"/>
  <c r="DS34" i="72"/>
  <c r="DR34" i="72"/>
  <c r="DQ34" i="72"/>
  <c r="DP34" i="72"/>
  <c r="GC33" i="72"/>
  <c r="GB33" i="72"/>
  <c r="GA33" i="72"/>
  <c r="FZ33" i="72"/>
  <c r="FY33" i="72"/>
  <c r="FX33" i="72"/>
  <c r="FW33" i="72"/>
  <c r="FV33" i="72"/>
  <c r="FT33" i="72"/>
  <c r="FS33" i="72"/>
  <c r="FQ33" i="72"/>
  <c r="FO33" i="72"/>
  <c r="FN33" i="72"/>
  <c r="FM33" i="72"/>
  <c r="FK33" i="72"/>
  <c r="FI33" i="72"/>
  <c r="FH33" i="72"/>
  <c r="FG33" i="72"/>
  <c r="FF33" i="72"/>
  <c r="FE33" i="72"/>
  <c r="FD33" i="72"/>
  <c r="FC33" i="72"/>
  <c r="FB33" i="72"/>
  <c r="FA33" i="72"/>
  <c r="EZ33" i="72"/>
  <c r="EY33" i="72"/>
  <c r="EX33" i="72"/>
  <c r="EW33" i="72"/>
  <c r="EV33" i="72"/>
  <c r="EU33" i="72"/>
  <c r="ET33" i="72"/>
  <c r="ES33" i="72"/>
  <c r="ER33" i="72"/>
  <c r="EQ33" i="72"/>
  <c r="EP33" i="72"/>
  <c r="EO33" i="72"/>
  <c r="EN33" i="72"/>
  <c r="EM33" i="72"/>
  <c r="EL33" i="72"/>
  <c r="EK33" i="72"/>
  <c r="EJ33" i="72"/>
  <c r="EI33" i="72"/>
  <c r="EH33" i="72"/>
  <c r="EG33" i="72"/>
  <c r="EF33" i="72"/>
  <c r="EE33" i="72"/>
  <c r="ED33" i="72"/>
  <c r="EC33" i="72"/>
  <c r="DV33" i="72"/>
  <c r="DU33" i="72"/>
  <c r="DT33" i="72"/>
  <c r="DS33" i="72"/>
  <c r="DR33" i="72"/>
  <c r="DQ33" i="72"/>
  <c r="DP33" i="72"/>
  <c r="GC32" i="72"/>
  <c r="GB32" i="72"/>
  <c r="GA32" i="72"/>
  <c r="FZ32" i="72"/>
  <c r="FY32" i="72"/>
  <c r="FX32" i="72"/>
  <c r="FW32" i="72"/>
  <c r="FV32" i="72"/>
  <c r="FT32" i="72"/>
  <c r="FS32" i="72"/>
  <c r="FQ32" i="72"/>
  <c r="FO32" i="72"/>
  <c r="FN32" i="72"/>
  <c r="FM32" i="72"/>
  <c r="FK32" i="72"/>
  <c r="FI32" i="72"/>
  <c r="FH32" i="72"/>
  <c r="FG32" i="72"/>
  <c r="FF32" i="72"/>
  <c r="FE32" i="72"/>
  <c r="FD32" i="72"/>
  <c r="FC32" i="72"/>
  <c r="FB32" i="72"/>
  <c r="FA32" i="72"/>
  <c r="EZ32" i="72"/>
  <c r="EY32" i="72"/>
  <c r="EX32" i="72"/>
  <c r="EW32" i="72"/>
  <c r="EV32" i="72"/>
  <c r="EU32" i="72"/>
  <c r="ET32" i="72"/>
  <c r="ES32" i="72"/>
  <c r="ER32" i="72"/>
  <c r="EQ32" i="72"/>
  <c r="EP32" i="72"/>
  <c r="EO32" i="72"/>
  <c r="EN32" i="72"/>
  <c r="EM32" i="72"/>
  <c r="EL32" i="72"/>
  <c r="EK32" i="72"/>
  <c r="EJ32" i="72"/>
  <c r="EI32" i="72"/>
  <c r="EH32" i="72"/>
  <c r="EG32" i="72"/>
  <c r="EF32" i="72"/>
  <c r="EE32" i="72"/>
  <c r="ED32" i="72"/>
  <c r="EC32" i="72"/>
  <c r="DV32" i="72"/>
  <c r="DU32" i="72"/>
  <c r="DT32" i="72"/>
  <c r="DS32" i="72"/>
  <c r="DR32" i="72"/>
  <c r="DQ32" i="72"/>
  <c r="DP32" i="72"/>
  <c r="GC31" i="72"/>
  <c r="GB31" i="72"/>
  <c r="GA31" i="72"/>
  <c r="FZ31" i="72"/>
  <c r="FY31" i="72"/>
  <c r="FX31" i="72"/>
  <c r="FW31" i="72"/>
  <c r="FV31" i="72"/>
  <c r="FT31" i="72"/>
  <c r="FS31" i="72"/>
  <c r="FQ31" i="72"/>
  <c r="FO31" i="72"/>
  <c r="FN31" i="72"/>
  <c r="FM31" i="72"/>
  <c r="FK31" i="72"/>
  <c r="FI31" i="72"/>
  <c r="FH31" i="72"/>
  <c r="FG31" i="72"/>
  <c r="FF31" i="72"/>
  <c r="FE31" i="72"/>
  <c r="FD31" i="72"/>
  <c r="FC31" i="72"/>
  <c r="FB31" i="72"/>
  <c r="FA31" i="72"/>
  <c r="EZ31" i="72"/>
  <c r="EY31" i="72"/>
  <c r="EX31" i="72"/>
  <c r="EW31" i="72"/>
  <c r="EV31" i="72"/>
  <c r="EU31" i="72"/>
  <c r="ET31" i="72"/>
  <c r="ES31" i="72"/>
  <c r="ER31" i="72"/>
  <c r="EQ31" i="72"/>
  <c r="EP31" i="72"/>
  <c r="EO31" i="72"/>
  <c r="EN31" i="72"/>
  <c r="EM31" i="72"/>
  <c r="EL31" i="72"/>
  <c r="EK31" i="72"/>
  <c r="EJ31" i="72"/>
  <c r="EI31" i="72"/>
  <c r="EH31" i="72"/>
  <c r="EG31" i="72"/>
  <c r="EF31" i="72"/>
  <c r="EE31" i="72"/>
  <c r="ED31" i="72"/>
  <c r="EC31" i="72"/>
  <c r="DV31" i="72"/>
  <c r="DU31" i="72"/>
  <c r="DT31" i="72"/>
  <c r="DS31" i="72"/>
  <c r="DR31" i="72"/>
  <c r="DQ31" i="72"/>
  <c r="DP31" i="72"/>
  <c r="GC30" i="72"/>
  <c r="GB30" i="72"/>
  <c r="GA30" i="72"/>
  <c r="FZ30" i="72"/>
  <c r="FY30" i="72"/>
  <c r="FX30" i="72"/>
  <c r="FW30" i="72"/>
  <c r="FV30" i="72"/>
  <c r="FT30" i="72"/>
  <c r="FS30" i="72"/>
  <c r="FQ30" i="72"/>
  <c r="FO30" i="72"/>
  <c r="FN30" i="72"/>
  <c r="FM30" i="72"/>
  <c r="FK30" i="72"/>
  <c r="FI30" i="72"/>
  <c r="FH30" i="72"/>
  <c r="FG30" i="72"/>
  <c r="FF30" i="72"/>
  <c r="FE30" i="72"/>
  <c r="FD30" i="72"/>
  <c r="FC30" i="72"/>
  <c r="FB30" i="72"/>
  <c r="FA30" i="72"/>
  <c r="EZ30" i="72"/>
  <c r="EY30" i="72"/>
  <c r="EX30" i="72"/>
  <c r="EW30" i="72"/>
  <c r="EV30" i="72"/>
  <c r="EU30" i="72"/>
  <c r="ET30" i="72"/>
  <c r="ES30" i="72"/>
  <c r="ER30" i="72"/>
  <c r="EQ30" i="72"/>
  <c r="EP30" i="72"/>
  <c r="EO30" i="72"/>
  <c r="EN30" i="72"/>
  <c r="EM30" i="72"/>
  <c r="EL30" i="72"/>
  <c r="EK30" i="72"/>
  <c r="EJ30" i="72"/>
  <c r="EI30" i="72"/>
  <c r="EH30" i="72"/>
  <c r="EG30" i="72"/>
  <c r="EF30" i="72"/>
  <c r="EE30" i="72"/>
  <c r="ED30" i="72"/>
  <c r="EC30" i="72"/>
  <c r="DV30" i="72"/>
  <c r="DU30" i="72"/>
  <c r="DT30" i="72"/>
  <c r="DS30" i="72"/>
  <c r="DR30" i="72"/>
  <c r="DQ30" i="72"/>
  <c r="DP30" i="72"/>
  <c r="GC29" i="72"/>
  <c r="GB29" i="72"/>
  <c r="GA29" i="72"/>
  <c r="FZ29" i="72"/>
  <c r="FY29" i="72"/>
  <c r="FX29" i="72"/>
  <c r="FW29" i="72"/>
  <c r="FV29" i="72"/>
  <c r="FT29" i="72"/>
  <c r="FS29" i="72"/>
  <c r="FQ29" i="72"/>
  <c r="FO29" i="72"/>
  <c r="FN29" i="72"/>
  <c r="FM29" i="72"/>
  <c r="FK29" i="72"/>
  <c r="FI29" i="72"/>
  <c r="FH29" i="72"/>
  <c r="FG29" i="72"/>
  <c r="FF29" i="72"/>
  <c r="FE29" i="72"/>
  <c r="FD29" i="72"/>
  <c r="FC29" i="72"/>
  <c r="FB29" i="72"/>
  <c r="FA29" i="72"/>
  <c r="EZ29" i="72"/>
  <c r="EY29" i="72"/>
  <c r="EX29" i="72"/>
  <c r="EW29" i="72"/>
  <c r="EV29" i="72"/>
  <c r="EU29" i="72"/>
  <c r="ET29" i="72"/>
  <c r="ES29" i="72"/>
  <c r="ER29" i="72"/>
  <c r="EQ29" i="72"/>
  <c r="EP29" i="72"/>
  <c r="EO29" i="72"/>
  <c r="EN29" i="72"/>
  <c r="EM29" i="72"/>
  <c r="EL29" i="72"/>
  <c r="EK29" i="72"/>
  <c r="EJ29" i="72"/>
  <c r="EI29" i="72"/>
  <c r="EH29" i="72"/>
  <c r="EG29" i="72"/>
  <c r="EF29" i="72"/>
  <c r="EE29" i="72"/>
  <c r="ED29" i="72"/>
  <c r="EC29" i="72"/>
  <c r="DV29" i="72"/>
  <c r="DU29" i="72"/>
  <c r="DT29" i="72"/>
  <c r="DS29" i="72"/>
  <c r="DR29" i="72"/>
  <c r="DQ29" i="72"/>
  <c r="DP29" i="72"/>
  <c r="GC28" i="72"/>
  <c r="GB28" i="72"/>
  <c r="GA28" i="72"/>
  <c r="FZ28" i="72"/>
  <c r="FY28" i="72"/>
  <c r="FX28" i="72"/>
  <c r="FW28" i="72"/>
  <c r="FV28" i="72"/>
  <c r="FT28" i="72"/>
  <c r="FS28" i="72"/>
  <c r="FQ28" i="72"/>
  <c r="FO28" i="72"/>
  <c r="FN28" i="72"/>
  <c r="FM28" i="72"/>
  <c r="FK28" i="72"/>
  <c r="FI28" i="72"/>
  <c r="FH28" i="72"/>
  <c r="FG28" i="72"/>
  <c r="FF28" i="72"/>
  <c r="FE28" i="72"/>
  <c r="FD28" i="72"/>
  <c r="FC28" i="72"/>
  <c r="FB28" i="72"/>
  <c r="FA28" i="72"/>
  <c r="EZ28" i="72"/>
  <c r="EY28" i="72"/>
  <c r="EX28" i="72"/>
  <c r="EW28" i="72"/>
  <c r="EV28" i="72"/>
  <c r="EU28" i="72"/>
  <c r="ET28" i="72"/>
  <c r="ES28" i="72"/>
  <c r="ER28" i="72"/>
  <c r="EQ28" i="72"/>
  <c r="EP28" i="72"/>
  <c r="EO28" i="72"/>
  <c r="EN28" i="72"/>
  <c r="EM28" i="72"/>
  <c r="EL28" i="72"/>
  <c r="EK28" i="72"/>
  <c r="EJ28" i="72"/>
  <c r="EI28" i="72"/>
  <c r="EH28" i="72"/>
  <c r="EG28" i="72"/>
  <c r="EF28" i="72"/>
  <c r="EE28" i="72"/>
  <c r="ED28" i="72"/>
  <c r="EC28" i="72"/>
  <c r="DV28" i="72"/>
  <c r="DU28" i="72"/>
  <c r="DT28" i="72"/>
  <c r="DS28" i="72"/>
  <c r="DR28" i="72"/>
  <c r="DQ28" i="72"/>
  <c r="DP28" i="72"/>
  <c r="GC27" i="72"/>
  <c r="GB27" i="72"/>
  <c r="GA27" i="72"/>
  <c r="FZ27" i="72"/>
  <c r="FY27" i="72"/>
  <c r="FX27" i="72"/>
  <c r="FW27" i="72"/>
  <c r="FV27" i="72"/>
  <c r="FT27" i="72"/>
  <c r="FS27" i="72"/>
  <c r="FQ27" i="72"/>
  <c r="FO27" i="72"/>
  <c r="FN27" i="72"/>
  <c r="FM27" i="72"/>
  <c r="FK27" i="72"/>
  <c r="FI27" i="72"/>
  <c r="FH27" i="72"/>
  <c r="FG27" i="72"/>
  <c r="FF27" i="72"/>
  <c r="FE27" i="72"/>
  <c r="FD27" i="72"/>
  <c r="FC27" i="72"/>
  <c r="FB27" i="72"/>
  <c r="FA27" i="72"/>
  <c r="EZ27" i="72"/>
  <c r="EY27" i="72"/>
  <c r="EX27" i="72"/>
  <c r="EW27" i="72"/>
  <c r="EV27" i="72"/>
  <c r="EU27" i="72"/>
  <c r="ET27" i="72"/>
  <c r="ES27" i="72"/>
  <c r="ER27" i="72"/>
  <c r="EQ27" i="72"/>
  <c r="EP27" i="72"/>
  <c r="EO27" i="72"/>
  <c r="EN27" i="72"/>
  <c r="EM27" i="72"/>
  <c r="EL27" i="72"/>
  <c r="EK27" i="72"/>
  <c r="EJ27" i="72"/>
  <c r="EI27" i="72"/>
  <c r="EH27" i="72"/>
  <c r="EG27" i="72"/>
  <c r="EF27" i="72"/>
  <c r="EE27" i="72"/>
  <c r="ED27" i="72"/>
  <c r="EC27" i="72"/>
  <c r="DV27" i="72"/>
  <c r="DU27" i="72"/>
  <c r="DT27" i="72"/>
  <c r="DS27" i="72"/>
  <c r="DR27" i="72"/>
  <c r="DQ27" i="72"/>
  <c r="DP27" i="72"/>
  <c r="GC26" i="72"/>
  <c r="GB26" i="72"/>
  <c r="GA26" i="72"/>
  <c r="FZ26" i="72"/>
  <c r="FY26" i="72"/>
  <c r="FX26" i="72"/>
  <c r="FW26" i="72"/>
  <c r="FV26" i="72"/>
  <c r="FT26" i="72"/>
  <c r="FS26" i="72"/>
  <c r="FQ26" i="72"/>
  <c r="FO26" i="72"/>
  <c r="FN26" i="72"/>
  <c r="FM26" i="72"/>
  <c r="FK26" i="72"/>
  <c r="FI26" i="72"/>
  <c r="FH26" i="72"/>
  <c r="FG26" i="72"/>
  <c r="FF26" i="72"/>
  <c r="FE26" i="72"/>
  <c r="FD26" i="72"/>
  <c r="FC26" i="72"/>
  <c r="FB26" i="72"/>
  <c r="FA26" i="72"/>
  <c r="EZ26" i="72"/>
  <c r="EY26" i="72"/>
  <c r="EX26" i="72"/>
  <c r="EW26" i="72"/>
  <c r="EV26" i="72"/>
  <c r="EU26" i="72"/>
  <c r="ET26" i="72"/>
  <c r="ES26" i="72"/>
  <c r="ER26" i="72"/>
  <c r="EQ26" i="72"/>
  <c r="EP26" i="72"/>
  <c r="EO26" i="72"/>
  <c r="EN26" i="72"/>
  <c r="EM26" i="72"/>
  <c r="EL26" i="72"/>
  <c r="EK26" i="72"/>
  <c r="EJ26" i="72"/>
  <c r="EI26" i="72"/>
  <c r="EH26" i="72"/>
  <c r="EG26" i="72"/>
  <c r="EF26" i="72"/>
  <c r="EE26" i="72"/>
  <c r="ED26" i="72"/>
  <c r="EC26" i="72"/>
  <c r="DV26" i="72"/>
  <c r="DU26" i="72"/>
  <c r="DT26" i="72"/>
  <c r="DS26" i="72"/>
  <c r="DR26" i="72"/>
  <c r="DQ26" i="72"/>
  <c r="DP26" i="72"/>
  <c r="GC25" i="72"/>
  <c r="GB25" i="72"/>
  <c r="GA25" i="72"/>
  <c r="FZ25" i="72"/>
  <c r="FY25" i="72"/>
  <c r="FX25" i="72"/>
  <c r="FW25" i="72"/>
  <c r="FV25" i="72"/>
  <c r="FT25" i="72"/>
  <c r="FS25" i="72"/>
  <c r="FQ25" i="72"/>
  <c r="FO25" i="72"/>
  <c r="FN25" i="72"/>
  <c r="FM25" i="72"/>
  <c r="FK25" i="72"/>
  <c r="FI25" i="72"/>
  <c r="FH25" i="72"/>
  <c r="FG25" i="72"/>
  <c r="FF25" i="72"/>
  <c r="FE25" i="72"/>
  <c r="FD25" i="72"/>
  <c r="FC25" i="72"/>
  <c r="FB25" i="72"/>
  <c r="FA25" i="72"/>
  <c r="EZ25" i="72"/>
  <c r="EY25" i="72"/>
  <c r="EX25" i="72"/>
  <c r="EW25" i="72"/>
  <c r="EV25" i="72"/>
  <c r="EU25" i="72"/>
  <c r="ET25" i="72"/>
  <c r="ES25" i="72"/>
  <c r="ER25" i="72"/>
  <c r="EQ25" i="72"/>
  <c r="EP25" i="72"/>
  <c r="EO25" i="72"/>
  <c r="EN25" i="72"/>
  <c r="EM25" i="72"/>
  <c r="EL25" i="72"/>
  <c r="EK25" i="72"/>
  <c r="EJ25" i="72"/>
  <c r="EI25" i="72"/>
  <c r="EH25" i="72"/>
  <c r="EG25" i="72"/>
  <c r="EF25" i="72"/>
  <c r="EE25" i="72"/>
  <c r="ED25" i="72"/>
  <c r="EC25" i="72"/>
  <c r="DV25" i="72"/>
  <c r="DU25" i="72"/>
  <c r="DT25" i="72"/>
  <c r="DS25" i="72"/>
  <c r="DR25" i="72"/>
  <c r="DQ25" i="72"/>
  <c r="DP25" i="72"/>
  <c r="GC24" i="72"/>
  <c r="GB24" i="72"/>
  <c r="GA24" i="72"/>
  <c r="FZ24" i="72"/>
  <c r="FY24" i="72"/>
  <c r="FX24" i="72"/>
  <c r="FW24" i="72"/>
  <c r="FV24" i="72"/>
  <c r="FT24" i="72"/>
  <c r="FS24" i="72"/>
  <c r="FQ24" i="72"/>
  <c r="FO24" i="72"/>
  <c r="FN24" i="72"/>
  <c r="FM24" i="72"/>
  <c r="FK24" i="72"/>
  <c r="FI24" i="72"/>
  <c r="FH24" i="72"/>
  <c r="FG24" i="72"/>
  <c r="FF24" i="72"/>
  <c r="FE24" i="72"/>
  <c r="FD24" i="72"/>
  <c r="FC24" i="72"/>
  <c r="FB24" i="72"/>
  <c r="FA24" i="72"/>
  <c r="EZ24" i="72"/>
  <c r="EY24" i="72"/>
  <c r="EX24" i="72"/>
  <c r="EW24" i="72"/>
  <c r="EV24" i="72"/>
  <c r="EU24" i="72"/>
  <c r="ET24" i="72"/>
  <c r="ES24" i="72"/>
  <c r="ER24" i="72"/>
  <c r="EQ24" i="72"/>
  <c r="EP24" i="72"/>
  <c r="EO24" i="72"/>
  <c r="EN24" i="72"/>
  <c r="EM24" i="72"/>
  <c r="EL24" i="72"/>
  <c r="EK24" i="72"/>
  <c r="EJ24" i="72"/>
  <c r="EI24" i="72"/>
  <c r="EH24" i="72"/>
  <c r="EG24" i="72"/>
  <c r="EF24" i="72"/>
  <c r="EE24" i="72"/>
  <c r="ED24" i="72"/>
  <c r="EC24" i="72"/>
  <c r="DV24" i="72"/>
  <c r="DU24" i="72"/>
  <c r="DT24" i="72"/>
  <c r="DS24" i="72"/>
  <c r="DR24" i="72"/>
  <c r="DQ24" i="72"/>
  <c r="DP24" i="72"/>
  <c r="GC23" i="72"/>
  <c r="GB23" i="72"/>
  <c r="GA23" i="72"/>
  <c r="FZ23" i="72"/>
  <c r="FY23" i="72"/>
  <c r="FX23" i="72"/>
  <c r="FW23" i="72"/>
  <c r="FV23" i="72"/>
  <c r="FT23" i="72"/>
  <c r="FS23" i="72"/>
  <c r="FQ23" i="72"/>
  <c r="FO23" i="72"/>
  <c r="FN23" i="72"/>
  <c r="FM23" i="72"/>
  <c r="FK23" i="72"/>
  <c r="FI23" i="72"/>
  <c r="FH23" i="72"/>
  <c r="FG23" i="72"/>
  <c r="FF23" i="72"/>
  <c r="FE23" i="72"/>
  <c r="FD23" i="72"/>
  <c r="FC23" i="72"/>
  <c r="FB23" i="72"/>
  <c r="FA23" i="72"/>
  <c r="EZ23" i="72"/>
  <c r="EY23" i="72"/>
  <c r="EX23" i="72"/>
  <c r="EW23" i="72"/>
  <c r="EV23" i="72"/>
  <c r="EU23" i="72"/>
  <c r="ET23" i="72"/>
  <c r="ES23" i="72"/>
  <c r="ER23" i="72"/>
  <c r="EQ23" i="72"/>
  <c r="EP23" i="72"/>
  <c r="EO23" i="72"/>
  <c r="EN23" i="72"/>
  <c r="EM23" i="72"/>
  <c r="EL23" i="72"/>
  <c r="EK23" i="72"/>
  <c r="EJ23" i="72"/>
  <c r="EI23" i="72"/>
  <c r="EH23" i="72"/>
  <c r="EG23" i="72"/>
  <c r="EF23" i="72"/>
  <c r="EE23" i="72"/>
  <c r="ED23" i="72"/>
  <c r="EC23" i="72"/>
  <c r="DV23" i="72"/>
  <c r="DU23" i="72"/>
  <c r="DT23" i="72"/>
  <c r="DS23" i="72"/>
  <c r="DR23" i="72"/>
  <c r="DQ23" i="72"/>
  <c r="DP23" i="72"/>
  <c r="GC22" i="72"/>
  <c r="GB22" i="72"/>
  <c r="GA22" i="72"/>
  <c r="FZ22" i="72"/>
  <c r="FY22" i="72"/>
  <c r="FX22" i="72"/>
  <c r="FW22" i="72"/>
  <c r="FV22" i="72"/>
  <c r="FT22" i="72"/>
  <c r="FS22" i="72"/>
  <c r="FQ22" i="72"/>
  <c r="FO22" i="72"/>
  <c r="FN22" i="72"/>
  <c r="FM22" i="72"/>
  <c r="FK22" i="72"/>
  <c r="FI22" i="72"/>
  <c r="FH22" i="72"/>
  <c r="FG22" i="72"/>
  <c r="FF22" i="72"/>
  <c r="FE22" i="72"/>
  <c r="FD22" i="72"/>
  <c r="FC22" i="72"/>
  <c r="FB22" i="72"/>
  <c r="FA22" i="72"/>
  <c r="EZ22" i="72"/>
  <c r="EY22" i="72"/>
  <c r="EX22" i="72"/>
  <c r="EW22" i="72"/>
  <c r="EV22" i="72"/>
  <c r="EU22" i="72"/>
  <c r="ET22" i="72"/>
  <c r="ES22" i="72"/>
  <c r="ER22" i="72"/>
  <c r="EQ22" i="72"/>
  <c r="EP22" i="72"/>
  <c r="EO22" i="72"/>
  <c r="EN22" i="72"/>
  <c r="EM22" i="72"/>
  <c r="EL22" i="72"/>
  <c r="EK22" i="72"/>
  <c r="EJ22" i="72"/>
  <c r="EI22" i="72"/>
  <c r="EH22" i="72"/>
  <c r="EG22" i="72"/>
  <c r="EF22" i="72"/>
  <c r="EE22" i="72"/>
  <c r="ED22" i="72"/>
  <c r="EC22" i="72"/>
  <c r="DV22" i="72"/>
  <c r="DU22" i="72"/>
  <c r="DT22" i="72"/>
  <c r="DS22" i="72"/>
  <c r="DR22" i="72"/>
  <c r="DQ22" i="72"/>
  <c r="DP22" i="72"/>
  <c r="GC21" i="72"/>
  <c r="GB21" i="72"/>
  <c r="GA21" i="72"/>
  <c r="FZ21" i="72"/>
  <c r="FY21" i="72"/>
  <c r="FX21" i="72"/>
  <c r="FW21" i="72"/>
  <c r="FV21" i="72"/>
  <c r="FT21" i="72"/>
  <c r="FS21" i="72"/>
  <c r="FQ21" i="72"/>
  <c r="FO21" i="72"/>
  <c r="FN21" i="72"/>
  <c r="FM21" i="72"/>
  <c r="FK21" i="72"/>
  <c r="FI21" i="72"/>
  <c r="FH21" i="72"/>
  <c r="FG21" i="72"/>
  <c r="FF21" i="72"/>
  <c r="FE21" i="72"/>
  <c r="FD21" i="72"/>
  <c r="FC21" i="72"/>
  <c r="FB21" i="72"/>
  <c r="FA21" i="72"/>
  <c r="EZ21" i="72"/>
  <c r="EY21" i="72"/>
  <c r="EX21" i="72"/>
  <c r="EW21" i="72"/>
  <c r="EV21" i="72"/>
  <c r="EU21" i="72"/>
  <c r="ET21" i="72"/>
  <c r="ES21" i="72"/>
  <c r="ER21" i="72"/>
  <c r="EQ21" i="72"/>
  <c r="EP21" i="72"/>
  <c r="EO21" i="72"/>
  <c r="EN21" i="72"/>
  <c r="EM21" i="72"/>
  <c r="EL21" i="72"/>
  <c r="EK21" i="72"/>
  <c r="EJ21" i="72"/>
  <c r="EI21" i="72"/>
  <c r="EH21" i="72"/>
  <c r="EG21" i="72"/>
  <c r="EF21" i="72"/>
  <c r="EE21" i="72"/>
  <c r="ED21" i="72"/>
  <c r="EC21" i="72"/>
  <c r="DV21" i="72"/>
  <c r="DU21" i="72"/>
  <c r="DT21" i="72"/>
  <c r="DS21" i="72"/>
  <c r="DR21" i="72"/>
  <c r="DQ21" i="72"/>
  <c r="DP21" i="72"/>
  <c r="GC20" i="72"/>
  <c r="GB20" i="72"/>
  <c r="GA20" i="72"/>
  <c r="FZ20" i="72"/>
  <c r="FY20" i="72"/>
  <c r="FX20" i="72"/>
  <c r="FW20" i="72"/>
  <c r="FV20" i="72"/>
  <c r="FT20" i="72"/>
  <c r="FS20" i="72"/>
  <c r="FQ20" i="72"/>
  <c r="FO20" i="72"/>
  <c r="FN20" i="72"/>
  <c r="FM20" i="72"/>
  <c r="FK20" i="72"/>
  <c r="FI20" i="72"/>
  <c r="FH20" i="72"/>
  <c r="FG20" i="72"/>
  <c r="FF20" i="72"/>
  <c r="FE20" i="72"/>
  <c r="FD20" i="72"/>
  <c r="FC20" i="72"/>
  <c r="FB20" i="72"/>
  <c r="FA20" i="72"/>
  <c r="EZ20" i="72"/>
  <c r="EY20" i="72"/>
  <c r="EX20" i="72"/>
  <c r="EW20" i="72"/>
  <c r="EV20" i="72"/>
  <c r="EU20" i="72"/>
  <c r="ET20" i="72"/>
  <c r="ES20" i="72"/>
  <c r="ER20" i="72"/>
  <c r="EQ20" i="72"/>
  <c r="EP20" i="72"/>
  <c r="EO20" i="72"/>
  <c r="EN20" i="72"/>
  <c r="EM20" i="72"/>
  <c r="EL20" i="72"/>
  <c r="EK20" i="72"/>
  <c r="EJ20" i="72"/>
  <c r="EI20" i="72"/>
  <c r="EH20" i="72"/>
  <c r="EG20" i="72"/>
  <c r="EF20" i="72"/>
  <c r="EE20" i="72"/>
  <c r="ED20" i="72"/>
  <c r="EC20" i="72"/>
  <c r="DV20" i="72"/>
  <c r="DU20" i="72"/>
  <c r="DT20" i="72"/>
  <c r="DS20" i="72"/>
  <c r="DR20" i="72"/>
  <c r="DQ20" i="72"/>
  <c r="DP20" i="72"/>
  <c r="GC19" i="72"/>
  <c r="GB19" i="72"/>
  <c r="GA19" i="72"/>
  <c r="FZ19" i="72"/>
  <c r="FY19" i="72"/>
  <c r="FX19" i="72"/>
  <c r="FW19" i="72"/>
  <c r="FV19" i="72"/>
  <c r="FT19" i="72"/>
  <c r="FS19" i="72"/>
  <c r="FQ19" i="72"/>
  <c r="FO19" i="72"/>
  <c r="FN19" i="72"/>
  <c r="FM19" i="72"/>
  <c r="FK19" i="72"/>
  <c r="FI19" i="72"/>
  <c r="FH19" i="72"/>
  <c r="FG19" i="72"/>
  <c r="FF19" i="72"/>
  <c r="FE19" i="72"/>
  <c r="FD19" i="72"/>
  <c r="FC19" i="72"/>
  <c r="FB19" i="72"/>
  <c r="FA19" i="72"/>
  <c r="EZ19" i="72"/>
  <c r="EY19" i="72"/>
  <c r="EX19" i="72"/>
  <c r="EW19" i="72"/>
  <c r="EV19" i="72"/>
  <c r="EU19" i="72"/>
  <c r="ET19" i="72"/>
  <c r="ES19" i="72"/>
  <c r="ER19" i="72"/>
  <c r="EQ19" i="72"/>
  <c r="EP19" i="72"/>
  <c r="EO19" i="72"/>
  <c r="EN19" i="72"/>
  <c r="EM19" i="72"/>
  <c r="EL19" i="72"/>
  <c r="EK19" i="72"/>
  <c r="EJ19" i="72"/>
  <c r="EI19" i="72"/>
  <c r="EH19" i="72"/>
  <c r="EG19" i="72"/>
  <c r="EF19" i="72"/>
  <c r="EE19" i="72"/>
  <c r="ED19" i="72"/>
  <c r="EC19" i="72"/>
  <c r="DV19" i="72"/>
  <c r="DU19" i="72"/>
  <c r="DT19" i="72"/>
  <c r="DS19" i="72"/>
  <c r="DR19" i="72"/>
  <c r="DQ19" i="72"/>
  <c r="DP19" i="72"/>
  <c r="GC18" i="72"/>
  <c r="GB18" i="72"/>
  <c r="GA18" i="72"/>
  <c r="FZ18" i="72"/>
  <c r="FY18" i="72"/>
  <c r="FX18" i="72"/>
  <c r="FW18" i="72"/>
  <c r="FV18" i="72"/>
  <c r="FT18" i="72"/>
  <c r="FS18" i="72"/>
  <c r="FQ18" i="72"/>
  <c r="FO18" i="72"/>
  <c r="FN18" i="72"/>
  <c r="FM18" i="72"/>
  <c r="FK18" i="72"/>
  <c r="FI18" i="72"/>
  <c r="FH18" i="72"/>
  <c r="FG18" i="72"/>
  <c r="FF18" i="72"/>
  <c r="FE18" i="72"/>
  <c r="FD18" i="72"/>
  <c r="FC18" i="72"/>
  <c r="FB18" i="72"/>
  <c r="FA18" i="72"/>
  <c r="EZ18" i="72"/>
  <c r="EY18" i="72"/>
  <c r="EX18" i="72"/>
  <c r="EW18" i="72"/>
  <c r="EV18" i="72"/>
  <c r="EU18" i="72"/>
  <c r="ET18" i="72"/>
  <c r="ES18" i="72"/>
  <c r="ER18" i="72"/>
  <c r="EQ18" i="72"/>
  <c r="EP18" i="72"/>
  <c r="EO18" i="72"/>
  <c r="EN18" i="72"/>
  <c r="EM18" i="72"/>
  <c r="EL18" i="72"/>
  <c r="EK18" i="72"/>
  <c r="EJ18" i="72"/>
  <c r="EI18" i="72"/>
  <c r="EH18" i="72"/>
  <c r="EG18" i="72"/>
  <c r="EF18" i="72"/>
  <c r="EE18" i="72"/>
  <c r="ED18" i="72"/>
  <c r="EC18" i="72"/>
  <c r="DV18" i="72"/>
  <c r="DU18" i="72"/>
  <c r="DT18" i="72"/>
  <c r="DS18" i="72"/>
  <c r="DR18" i="72"/>
  <c r="DQ18" i="72"/>
  <c r="DP18" i="72"/>
  <c r="GC17" i="72"/>
  <c r="GB17" i="72"/>
  <c r="GA17" i="72"/>
  <c r="FZ17" i="72"/>
  <c r="FY17" i="72"/>
  <c r="FX17" i="72"/>
  <c r="FW17" i="72"/>
  <c r="FV17" i="72"/>
  <c r="FT17" i="72"/>
  <c r="FS17" i="72"/>
  <c r="FQ17" i="72"/>
  <c r="FO17" i="72"/>
  <c r="FN17" i="72"/>
  <c r="FM17" i="72"/>
  <c r="FK17" i="72"/>
  <c r="FI17" i="72"/>
  <c r="FH17" i="72"/>
  <c r="FG17" i="72"/>
  <c r="FF17" i="72"/>
  <c r="FE17" i="72"/>
  <c r="FD17" i="72"/>
  <c r="FC17" i="72"/>
  <c r="FB17" i="72"/>
  <c r="FA17" i="72"/>
  <c r="EZ17" i="72"/>
  <c r="EY17" i="72"/>
  <c r="EX17" i="72"/>
  <c r="EW17" i="72"/>
  <c r="EV17" i="72"/>
  <c r="EU17" i="72"/>
  <c r="ET17" i="72"/>
  <c r="ES17" i="72"/>
  <c r="ER17" i="72"/>
  <c r="EQ17" i="72"/>
  <c r="EP17" i="72"/>
  <c r="EO17" i="72"/>
  <c r="EN17" i="72"/>
  <c r="EM17" i="72"/>
  <c r="EL17" i="72"/>
  <c r="EK17" i="72"/>
  <c r="EJ17" i="72"/>
  <c r="EI17" i="72"/>
  <c r="EH17" i="72"/>
  <c r="EG17" i="72"/>
  <c r="EF17" i="72"/>
  <c r="EE17" i="72"/>
  <c r="ED17" i="72"/>
  <c r="EC17" i="72"/>
  <c r="DV17" i="72"/>
  <c r="DU17" i="72"/>
  <c r="DT17" i="72"/>
  <c r="DS17" i="72"/>
  <c r="DR17" i="72"/>
  <c r="DQ17" i="72"/>
  <c r="DP17" i="72"/>
  <c r="GC16" i="72"/>
  <c r="GB16" i="72"/>
  <c r="GA16" i="72"/>
  <c r="FZ16" i="72"/>
  <c r="FY16" i="72"/>
  <c r="FX16" i="72"/>
  <c r="FW16" i="72"/>
  <c r="FV16" i="72"/>
  <c r="FT16" i="72"/>
  <c r="FS16" i="72"/>
  <c r="FQ16" i="72"/>
  <c r="FO16" i="72"/>
  <c r="FN16" i="72"/>
  <c r="FM16" i="72"/>
  <c r="FK16" i="72"/>
  <c r="FI16" i="72"/>
  <c r="FH16" i="72"/>
  <c r="FG16" i="72"/>
  <c r="FF16" i="72"/>
  <c r="FE16" i="72"/>
  <c r="FD16" i="72"/>
  <c r="FC16" i="72"/>
  <c r="FB16" i="72"/>
  <c r="FA16" i="72"/>
  <c r="EZ16" i="72"/>
  <c r="EY16" i="72"/>
  <c r="EX16" i="72"/>
  <c r="EW16" i="72"/>
  <c r="EV16" i="72"/>
  <c r="EU16" i="72"/>
  <c r="ET16" i="72"/>
  <c r="ES16" i="72"/>
  <c r="ER16" i="72"/>
  <c r="EQ16" i="72"/>
  <c r="EP16" i="72"/>
  <c r="EO16" i="72"/>
  <c r="EN16" i="72"/>
  <c r="EM16" i="72"/>
  <c r="EL16" i="72"/>
  <c r="EK16" i="72"/>
  <c r="EJ16" i="72"/>
  <c r="EI16" i="72"/>
  <c r="EH16" i="72"/>
  <c r="EG16" i="72"/>
  <c r="EF16" i="72"/>
  <c r="EE16" i="72"/>
  <c r="ED16" i="72"/>
  <c r="EC16" i="72"/>
  <c r="DV16" i="72"/>
  <c r="DU16" i="72"/>
  <c r="DT16" i="72"/>
  <c r="DS16" i="72"/>
  <c r="DR16" i="72"/>
  <c r="DQ16" i="72"/>
  <c r="DP16" i="72"/>
  <c r="GC15" i="72"/>
  <c r="GB15" i="72"/>
  <c r="GA15" i="72"/>
  <c r="FZ15" i="72"/>
  <c r="FY15" i="72"/>
  <c r="FX15" i="72"/>
  <c r="FW15" i="72"/>
  <c r="FV15" i="72"/>
  <c r="FT15" i="72"/>
  <c r="FS15" i="72"/>
  <c r="FQ15" i="72"/>
  <c r="FO15" i="72"/>
  <c r="FN15" i="72"/>
  <c r="FM15" i="72"/>
  <c r="FK15" i="72"/>
  <c r="FI15" i="72"/>
  <c r="FH15" i="72"/>
  <c r="FG15" i="72"/>
  <c r="FF15" i="72"/>
  <c r="FE15" i="72"/>
  <c r="FD15" i="72"/>
  <c r="FC15" i="72"/>
  <c r="FB15" i="72"/>
  <c r="FA15" i="72"/>
  <c r="EZ15" i="72"/>
  <c r="EY15" i="72"/>
  <c r="EX15" i="72"/>
  <c r="EW15" i="72"/>
  <c r="EV15" i="72"/>
  <c r="EU15" i="72"/>
  <c r="ET15" i="72"/>
  <c r="ES15" i="72"/>
  <c r="ER15" i="72"/>
  <c r="EQ15" i="72"/>
  <c r="EP15" i="72"/>
  <c r="EO15" i="72"/>
  <c r="EN15" i="72"/>
  <c r="EM15" i="72"/>
  <c r="EL15" i="72"/>
  <c r="EK15" i="72"/>
  <c r="EJ15" i="72"/>
  <c r="EI15" i="72"/>
  <c r="EH15" i="72"/>
  <c r="EG15" i="72"/>
  <c r="EF15" i="72"/>
  <c r="EE15" i="72"/>
  <c r="ED15" i="72"/>
  <c r="EC15" i="72"/>
  <c r="DV15" i="72"/>
  <c r="DU15" i="72"/>
  <c r="DT15" i="72"/>
  <c r="DS15" i="72"/>
  <c r="DR15" i="72"/>
  <c r="DQ15" i="72"/>
  <c r="DP15" i="72"/>
  <c r="GC14" i="72"/>
  <c r="GB14" i="72"/>
  <c r="GA14" i="72"/>
  <c r="FZ14" i="72"/>
  <c r="FY14" i="72"/>
  <c r="FX14" i="72"/>
  <c r="FW14" i="72"/>
  <c r="FV14" i="72"/>
  <c r="FT14" i="72"/>
  <c r="FS14" i="72"/>
  <c r="FQ14" i="72"/>
  <c r="FO14" i="72"/>
  <c r="FN14" i="72"/>
  <c r="FM14" i="72"/>
  <c r="FK14" i="72"/>
  <c r="FI14" i="72"/>
  <c r="FH14" i="72"/>
  <c r="FG14" i="72"/>
  <c r="FF14" i="72"/>
  <c r="FE14" i="72"/>
  <c r="FD14" i="72"/>
  <c r="FC14" i="72"/>
  <c r="FB14" i="72"/>
  <c r="FA14" i="72"/>
  <c r="EZ14" i="72"/>
  <c r="EY14" i="72"/>
  <c r="EX14" i="72"/>
  <c r="EW14" i="72"/>
  <c r="EV14" i="72"/>
  <c r="EU14" i="72"/>
  <c r="ET14" i="72"/>
  <c r="ES14" i="72"/>
  <c r="ER14" i="72"/>
  <c r="EQ14" i="72"/>
  <c r="EP14" i="72"/>
  <c r="EO14" i="72"/>
  <c r="EN14" i="72"/>
  <c r="EM14" i="72"/>
  <c r="EL14" i="72"/>
  <c r="EK14" i="72"/>
  <c r="EJ14" i="72"/>
  <c r="EI14" i="72"/>
  <c r="EH14" i="72"/>
  <c r="EG14" i="72"/>
  <c r="EF14" i="72"/>
  <c r="EE14" i="72"/>
  <c r="ED14" i="72"/>
  <c r="EC14" i="72"/>
  <c r="DV14" i="72"/>
  <c r="DU14" i="72"/>
  <c r="DT14" i="72"/>
  <c r="DS14" i="72"/>
  <c r="DR14" i="72"/>
  <c r="DQ14" i="72"/>
  <c r="DP14" i="72"/>
  <c r="GC13" i="72"/>
  <c r="GB13" i="72"/>
  <c r="GA13" i="72"/>
  <c r="FZ13" i="72"/>
  <c r="FY13" i="72"/>
  <c r="FX13" i="72"/>
  <c r="FW13" i="72"/>
  <c r="FV13" i="72"/>
  <c r="FT13" i="72"/>
  <c r="FS13" i="72"/>
  <c r="FQ13" i="72"/>
  <c r="FO13" i="72"/>
  <c r="FN13" i="72"/>
  <c r="FM13" i="72"/>
  <c r="FK13" i="72"/>
  <c r="FI13" i="72"/>
  <c r="FH13" i="72"/>
  <c r="FG13" i="72"/>
  <c r="FF13" i="72"/>
  <c r="FE13" i="72"/>
  <c r="FD13" i="72"/>
  <c r="FC13" i="72"/>
  <c r="FB13" i="72"/>
  <c r="FA13" i="72"/>
  <c r="EZ13" i="72"/>
  <c r="EY13" i="72"/>
  <c r="EX13" i="72"/>
  <c r="EW13" i="72"/>
  <c r="EV13" i="72"/>
  <c r="EU13" i="72"/>
  <c r="ET13" i="72"/>
  <c r="ES13" i="72"/>
  <c r="ER13" i="72"/>
  <c r="EQ13" i="72"/>
  <c r="EP13" i="72"/>
  <c r="EO13" i="72"/>
  <c r="EN13" i="72"/>
  <c r="EM13" i="72"/>
  <c r="EL13" i="72"/>
  <c r="EK13" i="72"/>
  <c r="EJ13" i="72"/>
  <c r="EI13" i="72"/>
  <c r="EH13" i="72"/>
  <c r="EG13" i="72"/>
  <c r="EF13" i="72"/>
  <c r="EE13" i="72"/>
  <c r="ED13" i="72"/>
  <c r="EC13" i="72"/>
  <c r="DV13" i="72"/>
  <c r="DU13" i="72"/>
  <c r="DT13" i="72"/>
  <c r="DS13" i="72"/>
  <c r="DR13" i="72"/>
  <c r="DQ13" i="72"/>
  <c r="DP13" i="72"/>
  <c r="GC12" i="72"/>
  <c r="GB12" i="72"/>
  <c r="GA12" i="72"/>
  <c r="FZ12" i="72"/>
  <c r="FY12" i="72"/>
  <c r="FX12" i="72"/>
  <c r="FW12" i="72"/>
  <c r="FV12" i="72"/>
  <c r="FT12" i="72"/>
  <c r="FS12" i="72"/>
  <c r="FQ12" i="72"/>
  <c r="FO12" i="72"/>
  <c r="FN12" i="72"/>
  <c r="FM12" i="72"/>
  <c r="FK12" i="72"/>
  <c r="FI12" i="72"/>
  <c r="FH12" i="72"/>
  <c r="FG12" i="72"/>
  <c r="FF12" i="72"/>
  <c r="FE12" i="72"/>
  <c r="FD12" i="72"/>
  <c r="FC12" i="72"/>
  <c r="FB12" i="72"/>
  <c r="FA12" i="72"/>
  <c r="EZ12" i="72"/>
  <c r="EY12" i="72"/>
  <c r="EX12" i="72"/>
  <c r="EW12" i="72"/>
  <c r="EV12" i="72"/>
  <c r="EU12" i="72"/>
  <c r="ET12" i="72"/>
  <c r="ES12" i="72"/>
  <c r="ER12" i="72"/>
  <c r="EQ12" i="72"/>
  <c r="EP12" i="72"/>
  <c r="EO12" i="72"/>
  <c r="EN12" i="72"/>
  <c r="EM12" i="72"/>
  <c r="EL12" i="72"/>
  <c r="EK12" i="72"/>
  <c r="EJ12" i="72"/>
  <c r="EI12" i="72"/>
  <c r="EH12" i="72"/>
  <c r="EG12" i="72"/>
  <c r="EF12" i="72"/>
  <c r="EE12" i="72"/>
  <c r="ED12" i="72"/>
  <c r="EC12" i="72"/>
  <c r="DV12" i="72"/>
  <c r="DU12" i="72"/>
  <c r="DT12" i="72"/>
  <c r="DS12" i="72"/>
  <c r="DR12" i="72"/>
  <c r="DQ12" i="72"/>
  <c r="DP12" i="72"/>
  <c r="GC11" i="72"/>
  <c r="GB11" i="72"/>
  <c r="GA11" i="72"/>
  <c r="FZ11" i="72"/>
  <c r="FY11" i="72"/>
  <c r="FX11" i="72"/>
  <c r="FW11" i="72"/>
  <c r="FV11" i="72"/>
  <c r="FT11" i="72"/>
  <c r="FS11" i="72"/>
  <c r="FQ11" i="72"/>
  <c r="FO11" i="72"/>
  <c r="FN11" i="72"/>
  <c r="FM11" i="72"/>
  <c r="FK11" i="72"/>
  <c r="FI11" i="72"/>
  <c r="FH11" i="72"/>
  <c r="FG11" i="72"/>
  <c r="FF11" i="72"/>
  <c r="FE11" i="72"/>
  <c r="FD11" i="72"/>
  <c r="FC11" i="72"/>
  <c r="FB11" i="72"/>
  <c r="FA11" i="72"/>
  <c r="EZ11" i="72"/>
  <c r="EY11" i="72"/>
  <c r="EX11" i="72"/>
  <c r="EW11" i="72"/>
  <c r="EV11" i="72"/>
  <c r="EU11" i="72"/>
  <c r="ET11" i="72"/>
  <c r="ES11" i="72"/>
  <c r="ER11" i="72"/>
  <c r="EQ11" i="72"/>
  <c r="EP11" i="72"/>
  <c r="EO11" i="72"/>
  <c r="EN11" i="72"/>
  <c r="EM11" i="72"/>
  <c r="EL11" i="72"/>
  <c r="EK11" i="72"/>
  <c r="EJ11" i="72"/>
  <c r="EI11" i="72"/>
  <c r="EH11" i="72"/>
  <c r="EG11" i="72"/>
  <c r="EF11" i="72"/>
  <c r="EE11" i="72"/>
  <c r="ED11" i="72"/>
  <c r="EC11" i="72"/>
  <c r="DV11" i="72"/>
  <c r="DU11" i="72"/>
  <c r="DT11" i="72"/>
  <c r="DS11" i="72"/>
  <c r="DR11" i="72"/>
  <c r="DQ11" i="72"/>
  <c r="DP11" i="72"/>
  <c r="GC10" i="72"/>
  <c r="GB10" i="72"/>
  <c r="GA10" i="72"/>
  <c r="FZ10" i="72"/>
  <c r="FY10" i="72"/>
  <c r="FX10" i="72"/>
  <c r="FW10" i="72"/>
  <c r="FV10" i="72"/>
  <c r="FT10" i="72"/>
  <c r="FS10" i="72"/>
  <c r="FQ10" i="72"/>
  <c r="FO10" i="72"/>
  <c r="FN10" i="72"/>
  <c r="FM10" i="72"/>
  <c r="FK10" i="72"/>
  <c r="FI10" i="72"/>
  <c r="FH10" i="72"/>
  <c r="FG10" i="72"/>
  <c r="FF10" i="72"/>
  <c r="FE10" i="72"/>
  <c r="FD10" i="72"/>
  <c r="FC10" i="72"/>
  <c r="FB10" i="72"/>
  <c r="FA10" i="72"/>
  <c r="EZ10" i="72"/>
  <c r="EY10" i="72"/>
  <c r="EX10" i="72"/>
  <c r="EW10" i="72"/>
  <c r="EV10" i="72"/>
  <c r="EU10" i="72"/>
  <c r="ET10" i="72"/>
  <c r="ES10" i="72"/>
  <c r="ER10" i="72"/>
  <c r="EQ10" i="72"/>
  <c r="EP10" i="72"/>
  <c r="EO10" i="72"/>
  <c r="EN10" i="72"/>
  <c r="EM10" i="72"/>
  <c r="EL10" i="72"/>
  <c r="EK10" i="72"/>
  <c r="EJ10" i="72"/>
  <c r="EI10" i="72"/>
  <c r="EH10" i="72"/>
  <c r="EG10" i="72"/>
  <c r="EF10" i="72"/>
  <c r="EE10" i="72"/>
  <c r="ED10" i="72"/>
  <c r="EC10" i="72"/>
  <c r="DV10" i="72"/>
  <c r="DU10" i="72"/>
  <c r="DT10" i="72"/>
  <c r="DS10" i="72"/>
  <c r="DR10" i="72"/>
  <c r="DQ10" i="72"/>
  <c r="DP10" i="72"/>
  <c r="GC9" i="72"/>
  <c r="GB9" i="72"/>
  <c r="GA9" i="72"/>
  <c r="FZ9" i="72"/>
  <c r="FY9" i="72"/>
  <c r="FX9" i="72"/>
  <c r="FW9" i="72"/>
  <c r="FV9" i="72"/>
  <c r="FT9" i="72"/>
  <c r="FS9" i="72"/>
  <c r="FQ9" i="72"/>
  <c r="FO9" i="72"/>
  <c r="FN9" i="72"/>
  <c r="FM9" i="72"/>
  <c r="FL9" i="72"/>
  <c r="FK9" i="72"/>
  <c r="FJ9" i="72"/>
  <c r="FI9" i="72"/>
  <c r="FH9" i="72"/>
  <c r="FG9" i="72"/>
  <c r="FF9" i="72"/>
  <c r="FE9" i="72"/>
  <c r="FD9" i="72"/>
  <c r="FC9" i="72"/>
  <c r="FB9" i="72"/>
  <c r="FA9" i="72"/>
  <c r="EZ9" i="72"/>
  <c r="EY9" i="72"/>
  <c r="EX9" i="72"/>
  <c r="EW9" i="72"/>
  <c r="EV9" i="72"/>
  <c r="EU9" i="72"/>
  <c r="ET9" i="72"/>
  <c r="ES9" i="72"/>
  <c r="ER9" i="72"/>
  <c r="EQ9" i="72"/>
  <c r="EP9" i="72"/>
  <c r="EO9" i="72"/>
  <c r="EN9" i="72"/>
  <c r="EM9" i="72"/>
  <c r="EL9" i="72"/>
  <c r="EK9" i="72"/>
  <c r="EJ9" i="72"/>
  <c r="EI9" i="72"/>
  <c r="EH9" i="72"/>
  <c r="EG9" i="72"/>
  <c r="EF9" i="72"/>
  <c r="EE9" i="72"/>
  <c r="ED9" i="72"/>
  <c r="EC9" i="72"/>
  <c r="DV9" i="72"/>
  <c r="DU9" i="72"/>
  <c r="DT9" i="72"/>
  <c r="DS9" i="72"/>
  <c r="DR9" i="72"/>
  <c r="DQ9" i="72"/>
  <c r="DP9" i="72"/>
  <c r="FE7" i="72"/>
  <c r="EJ7" i="72"/>
  <c r="EH7" i="72"/>
  <c r="EB7" i="72"/>
  <c r="EA7" i="72"/>
  <c r="DZ7" i="72"/>
  <c r="DV7" i="72"/>
  <c r="DT7" i="72"/>
  <c r="EB40" i="71"/>
  <c r="EA40" i="71"/>
  <c r="DZ40" i="71"/>
  <c r="DY40" i="71"/>
  <c r="DX40" i="71"/>
  <c r="DW40" i="71"/>
  <c r="DV39" i="71"/>
  <c r="DU39" i="71"/>
  <c r="DT39" i="71"/>
  <c r="DS39" i="71"/>
  <c r="DR39" i="71"/>
  <c r="DQ39" i="71"/>
  <c r="DP39" i="71"/>
  <c r="DV38" i="71"/>
  <c r="DU38" i="71"/>
  <c r="DT38" i="71"/>
  <c r="DS38" i="71"/>
  <c r="DR38" i="71"/>
  <c r="DQ38" i="71"/>
  <c r="DP38" i="71"/>
  <c r="DV37" i="71"/>
  <c r="DU37" i="71"/>
  <c r="DT37" i="71"/>
  <c r="DS37" i="71"/>
  <c r="DR37" i="71"/>
  <c r="DQ37" i="71"/>
  <c r="DP37" i="71"/>
  <c r="GC36" i="71"/>
  <c r="GB36" i="71"/>
  <c r="GA36" i="71"/>
  <c r="FZ36" i="71"/>
  <c r="FY36" i="71"/>
  <c r="FX36" i="71"/>
  <c r="FW36" i="71"/>
  <c r="FV36" i="71"/>
  <c r="FT36" i="71"/>
  <c r="FS36" i="71"/>
  <c r="FQ36" i="71"/>
  <c r="FO36" i="71"/>
  <c r="FN36" i="71"/>
  <c r="FM36" i="71"/>
  <c r="FK36" i="71"/>
  <c r="FI36" i="71"/>
  <c r="FH36" i="71"/>
  <c r="FG36" i="71"/>
  <c r="FF36" i="71"/>
  <c r="FE36" i="71"/>
  <c r="FD36" i="71"/>
  <c r="FC36" i="71"/>
  <c r="FB36" i="71"/>
  <c r="FA36" i="71"/>
  <c r="EZ36" i="71"/>
  <c r="EY36" i="71"/>
  <c r="EX36" i="71"/>
  <c r="EW36" i="71"/>
  <c r="EV36" i="71"/>
  <c r="EU36" i="71"/>
  <c r="ET36" i="71"/>
  <c r="ES36" i="71"/>
  <c r="ER36" i="71"/>
  <c r="EQ36" i="71"/>
  <c r="EP36" i="71"/>
  <c r="EO36" i="71"/>
  <c r="EN36" i="71"/>
  <c r="EM36" i="71"/>
  <c r="EL36" i="71"/>
  <c r="EK36" i="71"/>
  <c r="EJ36" i="71"/>
  <c r="EI36" i="71"/>
  <c r="EH36" i="71"/>
  <c r="EG36" i="71"/>
  <c r="EF36" i="71"/>
  <c r="EE36" i="71"/>
  <c r="ED36" i="71"/>
  <c r="EC36" i="71"/>
  <c r="DV36" i="71"/>
  <c r="DU36" i="71"/>
  <c r="DT36" i="71"/>
  <c r="DS36" i="71"/>
  <c r="DR36" i="71"/>
  <c r="DQ36" i="71"/>
  <c r="DP36" i="71"/>
  <c r="GC35" i="71"/>
  <c r="GB35" i="71"/>
  <c r="GA35" i="71"/>
  <c r="FZ35" i="71"/>
  <c r="FY35" i="71"/>
  <c r="FX35" i="71"/>
  <c r="FW35" i="71"/>
  <c r="FV35" i="71"/>
  <c r="FT35" i="71"/>
  <c r="FS35" i="71"/>
  <c r="FQ35" i="71"/>
  <c r="FO35" i="71"/>
  <c r="FN35" i="71"/>
  <c r="FM35" i="71"/>
  <c r="FK35" i="71"/>
  <c r="FI35" i="71"/>
  <c r="FH35" i="71"/>
  <c r="FG35" i="71"/>
  <c r="FF35" i="71"/>
  <c r="FE35" i="71"/>
  <c r="FD35" i="71"/>
  <c r="FC35" i="71"/>
  <c r="FB35" i="71"/>
  <c r="FA35" i="71"/>
  <c r="EZ35" i="71"/>
  <c r="EY35" i="71"/>
  <c r="EX35" i="71"/>
  <c r="EW35" i="71"/>
  <c r="EV35" i="71"/>
  <c r="EU35" i="71"/>
  <c r="ET35" i="71"/>
  <c r="ES35" i="71"/>
  <c r="ER35" i="71"/>
  <c r="EQ35" i="71"/>
  <c r="EP35" i="71"/>
  <c r="EO35" i="71"/>
  <c r="EN35" i="71"/>
  <c r="EM35" i="71"/>
  <c r="EL35" i="71"/>
  <c r="EK35" i="71"/>
  <c r="EJ35" i="71"/>
  <c r="EI35" i="71"/>
  <c r="EH35" i="71"/>
  <c r="EG35" i="71"/>
  <c r="EF35" i="71"/>
  <c r="EE35" i="71"/>
  <c r="ED35" i="71"/>
  <c r="EC35" i="71"/>
  <c r="DV35" i="71"/>
  <c r="DU35" i="71"/>
  <c r="DT35" i="71"/>
  <c r="DS35" i="71"/>
  <c r="DR35" i="71"/>
  <c r="DQ35" i="71"/>
  <c r="DP35" i="71"/>
  <c r="GC34" i="71"/>
  <c r="GB34" i="71"/>
  <c r="GA34" i="71"/>
  <c r="FZ34" i="71"/>
  <c r="FY34" i="71"/>
  <c r="FX34" i="71"/>
  <c r="FW34" i="71"/>
  <c r="FV34" i="71"/>
  <c r="FT34" i="71"/>
  <c r="FS34" i="71"/>
  <c r="FQ34" i="71"/>
  <c r="FO34" i="71"/>
  <c r="FN34" i="71"/>
  <c r="FM34" i="71"/>
  <c r="FK34" i="71"/>
  <c r="FI34" i="71"/>
  <c r="FH34" i="71"/>
  <c r="FG34" i="71"/>
  <c r="FF34" i="71"/>
  <c r="FE34" i="71"/>
  <c r="FD34" i="71"/>
  <c r="FC34" i="71"/>
  <c r="FB34" i="71"/>
  <c r="FA34" i="71"/>
  <c r="EZ34" i="71"/>
  <c r="EY34" i="71"/>
  <c r="EX34" i="71"/>
  <c r="EW34" i="71"/>
  <c r="EV34" i="71"/>
  <c r="EU34" i="71"/>
  <c r="ET34" i="71"/>
  <c r="ES34" i="71"/>
  <c r="ER34" i="71"/>
  <c r="EQ34" i="71"/>
  <c r="EP34" i="71"/>
  <c r="EO34" i="71"/>
  <c r="EN34" i="71"/>
  <c r="EM34" i="71"/>
  <c r="EL34" i="71"/>
  <c r="EK34" i="71"/>
  <c r="EJ34" i="71"/>
  <c r="EI34" i="71"/>
  <c r="EH34" i="71"/>
  <c r="EG34" i="71"/>
  <c r="EF34" i="71"/>
  <c r="EE34" i="71"/>
  <c r="ED34" i="71"/>
  <c r="EC34" i="71"/>
  <c r="DV34" i="71"/>
  <c r="DU34" i="71"/>
  <c r="DT34" i="71"/>
  <c r="DS34" i="71"/>
  <c r="DR34" i="71"/>
  <c r="DQ34" i="71"/>
  <c r="DP34" i="71"/>
  <c r="GC33" i="71"/>
  <c r="GB33" i="71"/>
  <c r="GA33" i="71"/>
  <c r="FZ33" i="71"/>
  <c r="FY33" i="71"/>
  <c r="FX33" i="71"/>
  <c r="FW33" i="71"/>
  <c r="FV33" i="71"/>
  <c r="FT33" i="71"/>
  <c r="FS33" i="71"/>
  <c r="FQ33" i="71"/>
  <c r="FO33" i="71"/>
  <c r="FN33" i="71"/>
  <c r="FM33" i="71"/>
  <c r="FK33" i="71"/>
  <c r="FI33" i="71"/>
  <c r="FH33" i="71"/>
  <c r="FG33" i="71"/>
  <c r="FF33" i="71"/>
  <c r="FE33" i="71"/>
  <c r="FD33" i="71"/>
  <c r="FC33" i="71"/>
  <c r="FB33" i="71"/>
  <c r="FA33" i="71"/>
  <c r="EZ33" i="71"/>
  <c r="EY33" i="71"/>
  <c r="EX33" i="71"/>
  <c r="EW33" i="71"/>
  <c r="EV33" i="71"/>
  <c r="EU33" i="71"/>
  <c r="ET33" i="71"/>
  <c r="ES33" i="71"/>
  <c r="ER33" i="71"/>
  <c r="EQ33" i="71"/>
  <c r="EP33" i="71"/>
  <c r="EO33" i="71"/>
  <c r="EN33" i="71"/>
  <c r="EM33" i="71"/>
  <c r="EL33" i="71"/>
  <c r="EK33" i="71"/>
  <c r="EJ33" i="71"/>
  <c r="EI33" i="71"/>
  <c r="EH33" i="71"/>
  <c r="EG33" i="71"/>
  <c r="EF33" i="71"/>
  <c r="EE33" i="71"/>
  <c r="ED33" i="71"/>
  <c r="EC33" i="71"/>
  <c r="DV33" i="71"/>
  <c r="DU33" i="71"/>
  <c r="DT33" i="71"/>
  <c r="DS33" i="71"/>
  <c r="DR33" i="71"/>
  <c r="DQ33" i="71"/>
  <c r="DP33" i="71"/>
  <c r="GC32" i="71"/>
  <c r="GB32" i="71"/>
  <c r="GA32" i="71"/>
  <c r="FZ32" i="71"/>
  <c r="FY32" i="71"/>
  <c r="FX32" i="71"/>
  <c r="FW32" i="71"/>
  <c r="FV32" i="71"/>
  <c r="FT32" i="71"/>
  <c r="FS32" i="71"/>
  <c r="FQ32" i="71"/>
  <c r="FO32" i="71"/>
  <c r="FN32" i="71"/>
  <c r="FM32" i="71"/>
  <c r="FK32" i="71"/>
  <c r="FI32" i="71"/>
  <c r="FH32" i="71"/>
  <c r="FG32" i="71"/>
  <c r="FF32" i="71"/>
  <c r="FE32" i="71"/>
  <c r="FD32" i="71"/>
  <c r="FC32" i="71"/>
  <c r="FB32" i="71"/>
  <c r="FA32" i="71"/>
  <c r="EZ32" i="71"/>
  <c r="EY32" i="71"/>
  <c r="EX32" i="71"/>
  <c r="EW32" i="71"/>
  <c r="EV32" i="71"/>
  <c r="EU32" i="71"/>
  <c r="ET32" i="71"/>
  <c r="ES32" i="71"/>
  <c r="ER32" i="71"/>
  <c r="EQ32" i="71"/>
  <c r="EP32" i="71"/>
  <c r="EO32" i="71"/>
  <c r="EN32" i="71"/>
  <c r="EM32" i="71"/>
  <c r="EL32" i="71"/>
  <c r="EK32" i="71"/>
  <c r="EJ32" i="71"/>
  <c r="EI32" i="71"/>
  <c r="EH32" i="71"/>
  <c r="EG32" i="71"/>
  <c r="EF32" i="71"/>
  <c r="EE32" i="71"/>
  <c r="ED32" i="71"/>
  <c r="EC32" i="71"/>
  <c r="DV32" i="71"/>
  <c r="DU32" i="71"/>
  <c r="DT32" i="71"/>
  <c r="DS32" i="71"/>
  <c r="DR32" i="71"/>
  <c r="DQ32" i="71"/>
  <c r="DP32" i="71"/>
  <c r="GC31" i="71"/>
  <c r="GB31" i="71"/>
  <c r="GA31" i="71"/>
  <c r="FZ31" i="71"/>
  <c r="FY31" i="71"/>
  <c r="FX31" i="71"/>
  <c r="FW31" i="71"/>
  <c r="FV31" i="71"/>
  <c r="FT31" i="71"/>
  <c r="FS31" i="71"/>
  <c r="FQ31" i="71"/>
  <c r="FO31" i="71"/>
  <c r="FN31" i="71"/>
  <c r="FM31" i="71"/>
  <c r="FK31" i="71"/>
  <c r="FI31" i="71"/>
  <c r="FH31" i="71"/>
  <c r="FG31" i="71"/>
  <c r="FF31" i="71"/>
  <c r="FE31" i="71"/>
  <c r="FD31" i="71"/>
  <c r="FC31" i="71"/>
  <c r="FB31" i="71"/>
  <c r="FA31" i="71"/>
  <c r="EZ31" i="71"/>
  <c r="EY31" i="71"/>
  <c r="EX31" i="71"/>
  <c r="EW31" i="71"/>
  <c r="EV31" i="71"/>
  <c r="EU31" i="71"/>
  <c r="ET31" i="71"/>
  <c r="ES31" i="71"/>
  <c r="ER31" i="71"/>
  <c r="EQ31" i="71"/>
  <c r="EP31" i="71"/>
  <c r="EO31" i="71"/>
  <c r="EN31" i="71"/>
  <c r="EM31" i="71"/>
  <c r="EL31" i="71"/>
  <c r="EK31" i="71"/>
  <c r="EJ31" i="71"/>
  <c r="EI31" i="71"/>
  <c r="EH31" i="71"/>
  <c r="EG31" i="71"/>
  <c r="EF31" i="71"/>
  <c r="EE31" i="71"/>
  <c r="ED31" i="71"/>
  <c r="EC31" i="71"/>
  <c r="DV31" i="71"/>
  <c r="DU31" i="71"/>
  <c r="DT31" i="71"/>
  <c r="DS31" i="71"/>
  <c r="DR31" i="71"/>
  <c r="DQ31" i="71"/>
  <c r="DP31" i="71"/>
  <c r="GC30" i="71"/>
  <c r="GB30" i="71"/>
  <c r="GA30" i="71"/>
  <c r="FZ30" i="71"/>
  <c r="FY30" i="71"/>
  <c r="FX30" i="71"/>
  <c r="FW30" i="71"/>
  <c r="FV30" i="71"/>
  <c r="FT30" i="71"/>
  <c r="FS30" i="71"/>
  <c r="FQ30" i="71"/>
  <c r="FO30" i="71"/>
  <c r="FN30" i="71"/>
  <c r="FM30" i="71"/>
  <c r="FK30" i="71"/>
  <c r="FI30" i="71"/>
  <c r="FH30" i="71"/>
  <c r="FG30" i="71"/>
  <c r="FF30" i="71"/>
  <c r="FE30" i="71"/>
  <c r="FD30" i="71"/>
  <c r="FC30" i="71"/>
  <c r="FB30" i="71"/>
  <c r="FA30" i="71"/>
  <c r="EZ30" i="71"/>
  <c r="EY30" i="71"/>
  <c r="EX30" i="71"/>
  <c r="EW30" i="71"/>
  <c r="EV30" i="71"/>
  <c r="EU30" i="71"/>
  <c r="ET30" i="71"/>
  <c r="ES30" i="71"/>
  <c r="ER30" i="71"/>
  <c r="EQ30" i="71"/>
  <c r="EP30" i="71"/>
  <c r="EO30" i="71"/>
  <c r="EN30" i="71"/>
  <c r="EM30" i="71"/>
  <c r="EL30" i="71"/>
  <c r="EK30" i="71"/>
  <c r="EJ30" i="71"/>
  <c r="EI30" i="71"/>
  <c r="EH30" i="71"/>
  <c r="EG30" i="71"/>
  <c r="EF30" i="71"/>
  <c r="EE30" i="71"/>
  <c r="ED30" i="71"/>
  <c r="EC30" i="71"/>
  <c r="DV30" i="71"/>
  <c r="DU30" i="71"/>
  <c r="DT30" i="71"/>
  <c r="DS30" i="71"/>
  <c r="DR30" i="71"/>
  <c r="DQ30" i="71"/>
  <c r="DP30" i="71"/>
  <c r="GC29" i="71"/>
  <c r="GB29" i="71"/>
  <c r="GA29" i="71"/>
  <c r="FZ29" i="71"/>
  <c r="FY29" i="71"/>
  <c r="FX29" i="71"/>
  <c r="FW29" i="71"/>
  <c r="FV29" i="71"/>
  <c r="FT29" i="71"/>
  <c r="FS29" i="71"/>
  <c r="FQ29" i="71"/>
  <c r="FO29" i="71"/>
  <c r="FN29" i="71"/>
  <c r="FM29" i="71"/>
  <c r="FK29" i="71"/>
  <c r="FI29" i="71"/>
  <c r="FH29" i="71"/>
  <c r="FG29" i="71"/>
  <c r="FF29" i="71"/>
  <c r="FE29" i="71"/>
  <c r="FD29" i="71"/>
  <c r="FC29" i="71"/>
  <c r="FB29" i="71"/>
  <c r="FA29" i="71"/>
  <c r="EZ29" i="71"/>
  <c r="EY29" i="71"/>
  <c r="EX29" i="71"/>
  <c r="EW29" i="71"/>
  <c r="EV29" i="71"/>
  <c r="EU29" i="71"/>
  <c r="ET29" i="71"/>
  <c r="ES29" i="71"/>
  <c r="ER29" i="71"/>
  <c r="EQ29" i="71"/>
  <c r="EP29" i="71"/>
  <c r="EO29" i="71"/>
  <c r="EN29" i="71"/>
  <c r="EM29" i="71"/>
  <c r="EL29" i="71"/>
  <c r="EK29" i="71"/>
  <c r="EJ29" i="71"/>
  <c r="EI29" i="71"/>
  <c r="EH29" i="71"/>
  <c r="EG29" i="71"/>
  <c r="EF29" i="71"/>
  <c r="EE29" i="71"/>
  <c r="ED29" i="71"/>
  <c r="EC29" i="71"/>
  <c r="DV29" i="71"/>
  <c r="DU29" i="71"/>
  <c r="DT29" i="71"/>
  <c r="DS29" i="71"/>
  <c r="DR29" i="71"/>
  <c r="DQ29" i="71"/>
  <c r="DP29" i="71"/>
  <c r="GC28" i="71"/>
  <c r="GB28" i="71"/>
  <c r="GA28" i="71"/>
  <c r="FZ28" i="71"/>
  <c r="FY28" i="71"/>
  <c r="FX28" i="71"/>
  <c r="FW28" i="71"/>
  <c r="FV28" i="71"/>
  <c r="FT28" i="71"/>
  <c r="FS28" i="71"/>
  <c r="FQ28" i="71"/>
  <c r="FO28" i="71"/>
  <c r="FN28" i="71"/>
  <c r="FM28" i="71"/>
  <c r="FK28" i="71"/>
  <c r="FI28" i="71"/>
  <c r="FH28" i="71"/>
  <c r="FG28" i="71"/>
  <c r="FF28" i="71"/>
  <c r="FE28" i="71"/>
  <c r="FD28" i="71"/>
  <c r="FC28" i="71"/>
  <c r="FB28" i="71"/>
  <c r="FA28" i="71"/>
  <c r="EZ28" i="71"/>
  <c r="EY28" i="71"/>
  <c r="EX28" i="71"/>
  <c r="EW28" i="71"/>
  <c r="EV28" i="71"/>
  <c r="EU28" i="71"/>
  <c r="ET28" i="71"/>
  <c r="ES28" i="71"/>
  <c r="ER28" i="71"/>
  <c r="EQ28" i="71"/>
  <c r="EP28" i="71"/>
  <c r="EO28" i="71"/>
  <c r="EN28" i="71"/>
  <c r="EM28" i="71"/>
  <c r="EL28" i="71"/>
  <c r="EK28" i="71"/>
  <c r="EJ28" i="71"/>
  <c r="EI28" i="71"/>
  <c r="EH28" i="71"/>
  <c r="EG28" i="71"/>
  <c r="EF28" i="71"/>
  <c r="EE28" i="71"/>
  <c r="ED28" i="71"/>
  <c r="EC28" i="71"/>
  <c r="DV28" i="71"/>
  <c r="DU28" i="71"/>
  <c r="DT28" i="71"/>
  <c r="DS28" i="71"/>
  <c r="DR28" i="71"/>
  <c r="DQ28" i="71"/>
  <c r="DP28" i="71"/>
  <c r="GC27" i="71"/>
  <c r="GB27" i="71"/>
  <c r="GA27" i="71"/>
  <c r="FZ27" i="71"/>
  <c r="FY27" i="71"/>
  <c r="FX27" i="71"/>
  <c r="FW27" i="71"/>
  <c r="FV27" i="71"/>
  <c r="FT27" i="71"/>
  <c r="FS27" i="71"/>
  <c r="FQ27" i="71"/>
  <c r="FO27" i="71"/>
  <c r="FN27" i="71"/>
  <c r="FM27" i="71"/>
  <c r="FK27" i="71"/>
  <c r="FI27" i="71"/>
  <c r="FH27" i="71"/>
  <c r="FG27" i="71"/>
  <c r="FF27" i="71"/>
  <c r="FE27" i="71"/>
  <c r="FD27" i="71"/>
  <c r="FC27" i="71"/>
  <c r="FB27" i="71"/>
  <c r="FA27" i="71"/>
  <c r="EZ27" i="71"/>
  <c r="EY27" i="71"/>
  <c r="EX27" i="71"/>
  <c r="EW27" i="71"/>
  <c r="EV27" i="71"/>
  <c r="EU27" i="71"/>
  <c r="ET27" i="71"/>
  <c r="ES27" i="71"/>
  <c r="ER27" i="71"/>
  <c r="EQ27" i="71"/>
  <c r="EP27" i="71"/>
  <c r="EO27" i="71"/>
  <c r="EN27" i="71"/>
  <c r="EM27" i="71"/>
  <c r="EL27" i="71"/>
  <c r="EK27" i="71"/>
  <c r="EJ27" i="71"/>
  <c r="EI27" i="71"/>
  <c r="EH27" i="71"/>
  <c r="EG27" i="71"/>
  <c r="EF27" i="71"/>
  <c r="EE27" i="71"/>
  <c r="ED27" i="71"/>
  <c r="EC27" i="71"/>
  <c r="DV27" i="71"/>
  <c r="DU27" i="71"/>
  <c r="DT27" i="71"/>
  <c r="DS27" i="71"/>
  <c r="DR27" i="71"/>
  <c r="DQ27" i="71"/>
  <c r="DP27" i="71"/>
  <c r="GC26" i="71"/>
  <c r="GB26" i="71"/>
  <c r="GA26" i="71"/>
  <c r="FZ26" i="71"/>
  <c r="FY26" i="71"/>
  <c r="FX26" i="71"/>
  <c r="FW26" i="71"/>
  <c r="FV26" i="71"/>
  <c r="FT26" i="71"/>
  <c r="FS26" i="71"/>
  <c r="FQ26" i="71"/>
  <c r="FO26" i="71"/>
  <c r="FN26" i="71"/>
  <c r="FM26" i="71"/>
  <c r="FK26" i="71"/>
  <c r="FI26" i="71"/>
  <c r="FH26" i="71"/>
  <c r="FG26" i="71"/>
  <c r="FF26" i="71"/>
  <c r="FE26" i="71"/>
  <c r="FD26" i="71"/>
  <c r="FC26" i="71"/>
  <c r="FB26" i="71"/>
  <c r="FA26" i="71"/>
  <c r="EZ26" i="71"/>
  <c r="EY26" i="71"/>
  <c r="EX26" i="71"/>
  <c r="EW26" i="71"/>
  <c r="EV26" i="71"/>
  <c r="EU26" i="71"/>
  <c r="ET26" i="71"/>
  <c r="ES26" i="71"/>
  <c r="ER26" i="71"/>
  <c r="EQ26" i="71"/>
  <c r="EP26" i="71"/>
  <c r="EO26" i="71"/>
  <c r="EN26" i="71"/>
  <c r="EM26" i="71"/>
  <c r="EL26" i="71"/>
  <c r="EK26" i="71"/>
  <c r="EJ26" i="71"/>
  <c r="EI26" i="71"/>
  <c r="EH26" i="71"/>
  <c r="EG26" i="71"/>
  <c r="EF26" i="71"/>
  <c r="EE26" i="71"/>
  <c r="ED26" i="71"/>
  <c r="EC26" i="71"/>
  <c r="DV26" i="71"/>
  <c r="DU26" i="71"/>
  <c r="DT26" i="71"/>
  <c r="DS26" i="71"/>
  <c r="DR26" i="71"/>
  <c r="DQ26" i="71"/>
  <c r="DP26" i="71"/>
  <c r="GC25" i="71"/>
  <c r="GB25" i="71"/>
  <c r="GA25" i="71"/>
  <c r="FZ25" i="71"/>
  <c r="FY25" i="71"/>
  <c r="FX25" i="71"/>
  <c r="FW25" i="71"/>
  <c r="FV25" i="71"/>
  <c r="FT25" i="71"/>
  <c r="FS25" i="71"/>
  <c r="FQ25" i="71"/>
  <c r="FO25" i="71"/>
  <c r="FN25" i="71"/>
  <c r="FM25" i="71"/>
  <c r="FK25" i="71"/>
  <c r="FI25" i="71"/>
  <c r="FH25" i="71"/>
  <c r="FG25" i="71"/>
  <c r="FF25" i="71"/>
  <c r="FE25" i="71"/>
  <c r="FD25" i="71"/>
  <c r="FC25" i="71"/>
  <c r="FB25" i="71"/>
  <c r="FA25" i="71"/>
  <c r="EZ25" i="71"/>
  <c r="EY25" i="71"/>
  <c r="EX25" i="71"/>
  <c r="EW25" i="71"/>
  <c r="EV25" i="71"/>
  <c r="EU25" i="71"/>
  <c r="ET25" i="71"/>
  <c r="ES25" i="71"/>
  <c r="ER25" i="71"/>
  <c r="EQ25" i="71"/>
  <c r="EP25" i="71"/>
  <c r="EO25" i="71"/>
  <c r="EN25" i="71"/>
  <c r="EM25" i="71"/>
  <c r="EL25" i="71"/>
  <c r="EK25" i="71"/>
  <c r="EJ25" i="71"/>
  <c r="EI25" i="71"/>
  <c r="EH25" i="71"/>
  <c r="EG25" i="71"/>
  <c r="EF25" i="71"/>
  <c r="EE25" i="71"/>
  <c r="ED25" i="71"/>
  <c r="EC25" i="71"/>
  <c r="DV25" i="71"/>
  <c r="DU25" i="71"/>
  <c r="DT25" i="71"/>
  <c r="DS25" i="71"/>
  <c r="DR25" i="71"/>
  <c r="DQ25" i="71"/>
  <c r="DP25" i="71"/>
  <c r="GC24" i="71"/>
  <c r="GB24" i="71"/>
  <c r="GA24" i="71"/>
  <c r="FZ24" i="71"/>
  <c r="FY24" i="71"/>
  <c r="FX24" i="71"/>
  <c r="FW24" i="71"/>
  <c r="FV24" i="71"/>
  <c r="FT24" i="71"/>
  <c r="FS24" i="71"/>
  <c r="FQ24" i="71"/>
  <c r="FO24" i="71"/>
  <c r="FN24" i="71"/>
  <c r="FM24" i="71"/>
  <c r="FK24" i="71"/>
  <c r="FI24" i="71"/>
  <c r="FH24" i="71"/>
  <c r="FG24" i="71"/>
  <c r="FF24" i="71"/>
  <c r="FE24" i="71"/>
  <c r="FD24" i="71"/>
  <c r="FC24" i="71"/>
  <c r="FB24" i="71"/>
  <c r="FA24" i="71"/>
  <c r="EZ24" i="71"/>
  <c r="EY24" i="71"/>
  <c r="EX24" i="71"/>
  <c r="EW24" i="71"/>
  <c r="EV24" i="71"/>
  <c r="EU24" i="71"/>
  <c r="ET24" i="71"/>
  <c r="ES24" i="71"/>
  <c r="ER24" i="71"/>
  <c r="EQ24" i="71"/>
  <c r="EP24" i="71"/>
  <c r="EO24" i="71"/>
  <c r="EN24" i="71"/>
  <c r="EM24" i="71"/>
  <c r="EL24" i="71"/>
  <c r="EK24" i="71"/>
  <c r="EJ24" i="71"/>
  <c r="EI24" i="71"/>
  <c r="EH24" i="71"/>
  <c r="EG24" i="71"/>
  <c r="EF24" i="71"/>
  <c r="EE24" i="71"/>
  <c r="ED24" i="71"/>
  <c r="EC24" i="71"/>
  <c r="DV24" i="71"/>
  <c r="DU24" i="71"/>
  <c r="DT24" i="71"/>
  <c r="DS24" i="71"/>
  <c r="DR24" i="71"/>
  <c r="DQ24" i="71"/>
  <c r="DP24" i="71"/>
  <c r="GC23" i="71"/>
  <c r="GB23" i="71"/>
  <c r="GA23" i="71"/>
  <c r="FZ23" i="71"/>
  <c r="FY23" i="71"/>
  <c r="FX23" i="71"/>
  <c r="FW23" i="71"/>
  <c r="FV23" i="71"/>
  <c r="FT23" i="71"/>
  <c r="FS23" i="71"/>
  <c r="FQ23" i="71"/>
  <c r="FO23" i="71"/>
  <c r="FN23" i="71"/>
  <c r="FM23" i="71"/>
  <c r="FK23" i="71"/>
  <c r="FI23" i="71"/>
  <c r="FH23" i="71"/>
  <c r="FG23" i="71"/>
  <c r="FF23" i="71"/>
  <c r="FE23" i="71"/>
  <c r="FD23" i="71"/>
  <c r="FC23" i="71"/>
  <c r="FB23" i="71"/>
  <c r="FA23" i="71"/>
  <c r="EZ23" i="71"/>
  <c r="EY23" i="71"/>
  <c r="EX23" i="71"/>
  <c r="EW23" i="71"/>
  <c r="EV23" i="71"/>
  <c r="EU23" i="71"/>
  <c r="ET23" i="71"/>
  <c r="ES23" i="71"/>
  <c r="ER23" i="71"/>
  <c r="EQ23" i="71"/>
  <c r="EP23" i="71"/>
  <c r="EO23" i="71"/>
  <c r="EN23" i="71"/>
  <c r="EM23" i="71"/>
  <c r="EL23" i="71"/>
  <c r="EK23" i="71"/>
  <c r="EJ23" i="71"/>
  <c r="EI23" i="71"/>
  <c r="EH23" i="71"/>
  <c r="EG23" i="71"/>
  <c r="EF23" i="71"/>
  <c r="EE23" i="71"/>
  <c r="ED23" i="71"/>
  <c r="EC23" i="71"/>
  <c r="DV23" i="71"/>
  <c r="DU23" i="71"/>
  <c r="DT23" i="71"/>
  <c r="DS23" i="71"/>
  <c r="DR23" i="71"/>
  <c r="DQ23" i="71"/>
  <c r="DP23" i="71"/>
  <c r="GC22" i="71"/>
  <c r="GB22" i="71"/>
  <c r="GA22" i="71"/>
  <c r="FZ22" i="71"/>
  <c r="FY22" i="71"/>
  <c r="FX22" i="71"/>
  <c r="FW22" i="71"/>
  <c r="FV22" i="71"/>
  <c r="FT22" i="71"/>
  <c r="FS22" i="71"/>
  <c r="FQ22" i="71"/>
  <c r="FO22" i="71"/>
  <c r="FN22" i="71"/>
  <c r="FM22" i="71"/>
  <c r="FK22" i="71"/>
  <c r="FI22" i="71"/>
  <c r="FH22" i="71"/>
  <c r="FG22" i="71"/>
  <c r="FF22" i="71"/>
  <c r="FE22" i="71"/>
  <c r="FD22" i="71"/>
  <c r="FC22" i="71"/>
  <c r="FB22" i="71"/>
  <c r="FA22" i="71"/>
  <c r="EZ22" i="71"/>
  <c r="EY22" i="71"/>
  <c r="EX22" i="71"/>
  <c r="EW22" i="71"/>
  <c r="EV22" i="71"/>
  <c r="EU22" i="71"/>
  <c r="ET22" i="71"/>
  <c r="ES22" i="71"/>
  <c r="ER22" i="71"/>
  <c r="EQ22" i="71"/>
  <c r="EP22" i="71"/>
  <c r="EO22" i="71"/>
  <c r="EN22" i="71"/>
  <c r="EM22" i="71"/>
  <c r="EL22" i="71"/>
  <c r="EK22" i="71"/>
  <c r="EJ22" i="71"/>
  <c r="EI22" i="71"/>
  <c r="EH22" i="71"/>
  <c r="EG22" i="71"/>
  <c r="EF22" i="71"/>
  <c r="EE22" i="71"/>
  <c r="ED22" i="71"/>
  <c r="EC22" i="71"/>
  <c r="DV22" i="71"/>
  <c r="DU22" i="71"/>
  <c r="DT22" i="71"/>
  <c r="DS22" i="71"/>
  <c r="DR22" i="71"/>
  <c r="DQ22" i="71"/>
  <c r="DP22" i="71"/>
  <c r="GC21" i="71"/>
  <c r="GB21" i="71"/>
  <c r="GA21" i="71"/>
  <c r="FZ21" i="71"/>
  <c r="FY21" i="71"/>
  <c r="FX21" i="71"/>
  <c r="FW21" i="71"/>
  <c r="FV21" i="71"/>
  <c r="FT21" i="71"/>
  <c r="FS21" i="71"/>
  <c r="FQ21" i="71"/>
  <c r="FO21" i="71"/>
  <c r="FN21" i="71"/>
  <c r="FM21" i="71"/>
  <c r="FK21" i="71"/>
  <c r="FI21" i="71"/>
  <c r="FH21" i="71"/>
  <c r="FG21" i="71"/>
  <c r="FF21" i="71"/>
  <c r="FE21" i="71"/>
  <c r="FD21" i="71"/>
  <c r="FC21" i="71"/>
  <c r="FB21" i="71"/>
  <c r="FA21" i="71"/>
  <c r="EZ21" i="71"/>
  <c r="EY21" i="71"/>
  <c r="EX21" i="71"/>
  <c r="EW21" i="71"/>
  <c r="EV21" i="71"/>
  <c r="EU21" i="71"/>
  <c r="ET21" i="71"/>
  <c r="ES21" i="71"/>
  <c r="ER21" i="71"/>
  <c r="EQ21" i="71"/>
  <c r="EP21" i="71"/>
  <c r="EO21" i="71"/>
  <c r="EN21" i="71"/>
  <c r="EM21" i="71"/>
  <c r="EL21" i="71"/>
  <c r="EK21" i="71"/>
  <c r="EJ21" i="71"/>
  <c r="EI21" i="71"/>
  <c r="EH21" i="71"/>
  <c r="EG21" i="71"/>
  <c r="EF21" i="71"/>
  <c r="EE21" i="71"/>
  <c r="ED21" i="71"/>
  <c r="EC21" i="71"/>
  <c r="DV21" i="71"/>
  <c r="DU21" i="71"/>
  <c r="DT21" i="71"/>
  <c r="DS21" i="71"/>
  <c r="DR21" i="71"/>
  <c r="DQ21" i="71"/>
  <c r="DP21" i="71"/>
  <c r="GC20" i="71"/>
  <c r="GB20" i="71"/>
  <c r="GA20" i="71"/>
  <c r="FZ20" i="71"/>
  <c r="FY20" i="71"/>
  <c r="FX20" i="71"/>
  <c r="FW20" i="71"/>
  <c r="FV20" i="71"/>
  <c r="FT20" i="71"/>
  <c r="FS20" i="71"/>
  <c r="FQ20" i="71"/>
  <c r="FO20" i="71"/>
  <c r="FN20" i="71"/>
  <c r="FM20" i="71"/>
  <c r="FK20" i="71"/>
  <c r="FI20" i="71"/>
  <c r="FH20" i="71"/>
  <c r="FG20" i="71"/>
  <c r="FF20" i="71"/>
  <c r="FE20" i="71"/>
  <c r="FD20" i="71"/>
  <c r="FC20" i="71"/>
  <c r="FB20" i="71"/>
  <c r="FA20" i="71"/>
  <c r="EZ20" i="71"/>
  <c r="EY20" i="71"/>
  <c r="EX20" i="71"/>
  <c r="EW20" i="71"/>
  <c r="EV20" i="71"/>
  <c r="EU20" i="71"/>
  <c r="ET20" i="71"/>
  <c r="ES20" i="71"/>
  <c r="ER20" i="71"/>
  <c r="EQ20" i="71"/>
  <c r="EP20" i="71"/>
  <c r="EO20" i="71"/>
  <c r="EN20" i="71"/>
  <c r="EM20" i="71"/>
  <c r="EL20" i="71"/>
  <c r="EK20" i="71"/>
  <c r="EJ20" i="71"/>
  <c r="EI20" i="71"/>
  <c r="EH20" i="71"/>
  <c r="EG20" i="71"/>
  <c r="EF20" i="71"/>
  <c r="EE20" i="71"/>
  <c r="ED20" i="71"/>
  <c r="EC20" i="71"/>
  <c r="DV20" i="71"/>
  <c r="DU20" i="71"/>
  <c r="DT20" i="71"/>
  <c r="DS20" i="71"/>
  <c r="DR20" i="71"/>
  <c r="DQ20" i="71"/>
  <c r="DP20" i="71"/>
  <c r="GC19" i="71"/>
  <c r="GB19" i="71"/>
  <c r="GA19" i="71"/>
  <c r="FZ19" i="71"/>
  <c r="FY19" i="71"/>
  <c r="FX19" i="71"/>
  <c r="FW19" i="71"/>
  <c r="FV19" i="71"/>
  <c r="FT19" i="71"/>
  <c r="FS19" i="71"/>
  <c r="FQ19" i="71"/>
  <c r="FO19" i="71"/>
  <c r="FN19" i="71"/>
  <c r="FM19" i="71"/>
  <c r="FK19" i="71"/>
  <c r="FI19" i="71"/>
  <c r="FH19" i="71"/>
  <c r="FG19" i="71"/>
  <c r="FF19" i="71"/>
  <c r="FE19" i="71"/>
  <c r="FD19" i="71"/>
  <c r="FC19" i="71"/>
  <c r="FB19" i="71"/>
  <c r="FA19" i="71"/>
  <c r="EZ19" i="71"/>
  <c r="EY19" i="71"/>
  <c r="EX19" i="71"/>
  <c r="EW19" i="71"/>
  <c r="EV19" i="71"/>
  <c r="EU19" i="71"/>
  <c r="ET19" i="71"/>
  <c r="ES19" i="71"/>
  <c r="ER19" i="71"/>
  <c r="EQ19" i="71"/>
  <c r="EP19" i="71"/>
  <c r="EO19" i="71"/>
  <c r="EN19" i="71"/>
  <c r="EM19" i="71"/>
  <c r="EL19" i="71"/>
  <c r="EK19" i="71"/>
  <c r="EJ19" i="71"/>
  <c r="EI19" i="71"/>
  <c r="EH19" i="71"/>
  <c r="EG19" i="71"/>
  <c r="EF19" i="71"/>
  <c r="EE19" i="71"/>
  <c r="ED19" i="71"/>
  <c r="EC19" i="71"/>
  <c r="DV19" i="71"/>
  <c r="DU19" i="71"/>
  <c r="DT19" i="71"/>
  <c r="DS19" i="71"/>
  <c r="DR19" i="71"/>
  <c r="DQ19" i="71"/>
  <c r="DP19" i="71"/>
  <c r="GC18" i="71"/>
  <c r="GB18" i="71"/>
  <c r="GA18" i="71"/>
  <c r="FZ18" i="71"/>
  <c r="FY18" i="71"/>
  <c r="FX18" i="71"/>
  <c r="FW18" i="71"/>
  <c r="FV18" i="71"/>
  <c r="FT18" i="71"/>
  <c r="FS18" i="71"/>
  <c r="FQ18" i="71"/>
  <c r="FO18" i="71"/>
  <c r="FN18" i="71"/>
  <c r="FM18" i="71"/>
  <c r="FK18" i="71"/>
  <c r="FI18" i="71"/>
  <c r="FH18" i="71"/>
  <c r="FG18" i="71"/>
  <c r="FF18" i="71"/>
  <c r="FE18" i="71"/>
  <c r="FD18" i="71"/>
  <c r="FC18" i="71"/>
  <c r="FB18" i="71"/>
  <c r="FA18" i="71"/>
  <c r="EZ18" i="71"/>
  <c r="EY18" i="71"/>
  <c r="EX18" i="71"/>
  <c r="EW18" i="71"/>
  <c r="EV18" i="71"/>
  <c r="EU18" i="71"/>
  <c r="ET18" i="71"/>
  <c r="ES18" i="71"/>
  <c r="ER18" i="71"/>
  <c r="EQ18" i="71"/>
  <c r="EP18" i="71"/>
  <c r="EO18" i="71"/>
  <c r="EN18" i="71"/>
  <c r="EM18" i="71"/>
  <c r="EL18" i="71"/>
  <c r="EK18" i="71"/>
  <c r="EJ18" i="71"/>
  <c r="EI18" i="71"/>
  <c r="EH18" i="71"/>
  <c r="EG18" i="71"/>
  <c r="EF18" i="71"/>
  <c r="EE18" i="71"/>
  <c r="ED18" i="71"/>
  <c r="EC18" i="71"/>
  <c r="DV18" i="71"/>
  <c r="DU18" i="71"/>
  <c r="DT18" i="71"/>
  <c r="DS18" i="71"/>
  <c r="DR18" i="71"/>
  <c r="DQ18" i="71"/>
  <c r="DP18" i="71"/>
  <c r="GC17" i="71"/>
  <c r="GB17" i="71"/>
  <c r="GA17" i="71"/>
  <c r="FZ17" i="71"/>
  <c r="FY17" i="71"/>
  <c r="FX17" i="71"/>
  <c r="FW17" i="71"/>
  <c r="FV17" i="71"/>
  <c r="FT17" i="71"/>
  <c r="FS17" i="71"/>
  <c r="FQ17" i="71"/>
  <c r="FO17" i="71"/>
  <c r="FN17" i="71"/>
  <c r="FM17" i="71"/>
  <c r="FK17" i="71"/>
  <c r="FI17" i="71"/>
  <c r="FH17" i="71"/>
  <c r="FG17" i="71"/>
  <c r="FF17" i="71"/>
  <c r="FE17" i="71"/>
  <c r="FD17" i="71"/>
  <c r="FC17" i="71"/>
  <c r="FB17" i="71"/>
  <c r="FA17" i="71"/>
  <c r="EZ17" i="71"/>
  <c r="EY17" i="71"/>
  <c r="EX17" i="71"/>
  <c r="EW17" i="71"/>
  <c r="EV17" i="71"/>
  <c r="EU17" i="71"/>
  <c r="ET17" i="71"/>
  <c r="ES17" i="71"/>
  <c r="ER17" i="71"/>
  <c r="EQ17" i="71"/>
  <c r="EP17" i="71"/>
  <c r="EO17" i="71"/>
  <c r="EN17" i="71"/>
  <c r="EM17" i="71"/>
  <c r="EL17" i="71"/>
  <c r="EK17" i="71"/>
  <c r="EJ17" i="71"/>
  <c r="EI17" i="71"/>
  <c r="EH17" i="71"/>
  <c r="EG17" i="71"/>
  <c r="EF17" i="71"/>
  <c r="EE17" i="71"/>
  <c r="ED17" i="71"/>
  <c r="EC17" i="71"/>
  <c r="DV17" i="71"/>
  <c r="DU17" i="71"/>
  <c r="DT17" i="71"/>
  <c r="DS17" i="71"/>
  <c r="DR17" i="71"/>
  <c r="DQ17" i="71"/>
  <c r="DP17" i="71"/>
  <c r="GC16" i="71"/>
  <c r="GB16" i="71"/>
  <c r="GA16" i="71"/>
  <c r="FZ16" i="71"/>
  <c r="FY16" i="71"/>
  <c r="FX16" i="71"/>
  <c r="FW16" i="71"/>
  <c r="FV16" i="71"/>
  <c r="FT16" i="71"/>
  <c r="FS16" i="71"/>
  <c r="FQ16" i="71"/>
  <c r="FO16" i="71"/>
  <c r="FN16" i="71"/>
  <c r="FM16" i="71"/>
  <c r="FK16" i="71"/>
  <c r="FI16" i="71"/>
  <c r="FH16" i="71"/>
  <c r="FG16" i="71"/>
  <c r="FF16" i="71"/>
  <c r="FE16" i="71"/>
  <c r="FD16" i="71"/>
  <c r="FC16" i="71"/>
  <c r="FB16" i="71"/>
  <c r="FA16" i="71"/>
  <c r="EZ16" i="71"/>
  <c r="EY16" i="71"/>
  <c r="EX16" i="71"/>
  <c r="EW16" i="71"/>
  <c r="EV16" i="71"/>
  <c r="EU16" i="71"/>
  <c r="ET16" i="71"/>
  <c r="ES16" i="71"/>
  <c r="ER16" i="71"/>
  <c r="EQ16" i="71"/>
  <c r="EP16" i="71"/>
  <c r="EO16" i="71"/>
  <c r="EN16" i="71"/>
  <c r="EM16" i="71"/>
  <c r="EL16" i="71"/>
  <c r="EK16" i="71"/>
  <c r="EJ16" i="71"/>
  <c r="EI16" i="71"/>
  <c r="EH16" i="71"/>
  <c r="EG16" i="71"/>
  <c r="EF16" i="71"/>
  <c r="EE16" i="71"/>
  <c r="ED16" i="71"/>
  <c r="EC16" i="71"/>
  <c r="DV16" i="71"/>
  <c r="DU16" i="71"/>
  <c r="DT16" i="71"/>
  <c r="DS16" i="71"/>
  <c r="DR16" i="71"/>
  <c r="DQ16" i="71"/>
  <c r="DP16" i="71"/>
  <c r="GC15" i="71"/>
  <c r="GB15" i="71"/>
  <c r="GA15" i="71"/>
  <c r="FZ15" i="71"/>
  <c r="FY15" i="71"/>
  <c r="FX15" i="71"/>
  <c r="FW15" i="71"/>
  <c r="FV15" i="71"/>
  <c r="FT15" i="71"/>
  <c r="FS15" i="71"/>
  <c r="FQ15" i="71"/>
  <c r="FO15" i="71"/>
  <c r="FN15" i="71"/>
  <c r="FM15" i="71"/>
  <c r="FK15" i="71"/>
  <c r="FI15" i="71"/>
  <c r="FH15" i="71"/>
  <c r="FG15" i="71"/>
  <c r="FF15" i="71"/>
  <c r="FE15" i="71"/>
  <c r="FD15" i="71"/>
  <c r="FC15" i="71"/>
  <c r="FB15" i="71"/>
  <c r="FA15" i="71"/>
  <c r="EZ15" i="71"/>
  <c r="EY15" i="71"/>
  <c r="EX15" i="71"/>
  <c r="EW15" i="71"/>
  <c r="EV15" i="71"/>
  <c r="EU15" i="71"/>
  <c r="ET15" i="71"/>
  <c r="ES15" i="71"/>
  <c r="ER15" i="71"/>
  <c r="EQ15" i="71"/>
  <c r="EP15" i="71"/>
  <c r="EO15" i="71"/>
  <c r="EN15" i="71"/>
  <c r="EM15" i="71"/>
  <c r="EL15" i="71"/>
  <c r="EK15" i="71"/>
  <c r="EJ15" i="71"/>
  <c r="EI15" i="71"/>
  <c r="EH15" i="71"/>
  <c r="EG15" i="71"/>
  <c r="EF15" i="71"/>
  <c r="EE15" i="71"/>
  <c r="ED15" i="71"/>
  <c r="EC15" i="71"/>
  <c r="DV15" i="71"/>
  <c r="DU15" i="71"/>
  <c r="DT15" i="71"/>
  <c r="DS15" i="71"/>
  <c r="DR15" i="71"/>
  <c r="DQ15" i="71"/>
  <c r="DP15" i="71"/>
  <c r="GC14" i="71"/>
  <c r="GB14" i="71"/>
  <c r="GA14" i="71"/>
  <c r="FZ14" i="71"/>
  <c r="FY14" i="71"/>
  <c r="FX14" i="71"/>
  <c r="FW14" i="71"/>
  <c r="FV14" i="71"/>
  <c r="FT14" i="71"/>
  <c r="FS14" i="71"/>
  <c r="FQ14" i="71"/>
  <c r="FO14" i="71"/>
  <c r="FN14" i="71"/>
  <c r="FM14" i="71"/>
  <c r="FK14" i="71"/>
  <c r="FI14" i="71"/>
  <c r="FH14" i="71"/>
  <c r="FG14" i="71"/>
  <c r="FF14" i="71"/>
  <c r="FE14" i="71"/>
  <c r="FD14" i="71"/>
  <c r="FC14" i="71"/>
  <c r="FB14" i="71"/>
  <c r="FA14" i="71"/>
  <c r="EZ14" i="71"/>
  <c r="EY14" i="71"/>
  <c r="EX14" i="71"/>
  <c r="EW14" i="71"/>
  <c r="EV14" i="71"/>
  <c r="EU14" i="71"/>
  <c r="ET14" i="71"/>
  <c r="ES14" i="71"/>
  <c r="ER14" i="71"/>
  <c r="EQ14" i="71"/>
  <c r="EP14" i="71"/>
  <c r="EO14" i="71"/>
  <c r="EN14" i="71"/>
  <c r="EM14" i="71"/>
  <c r="EL14" i="71"/>
  <c r="EK14" i="71"/>
  <c r="EJ14" i="71"/>
  <c r="EI14" i="71"/>
  <c r="EH14" i="71"/>
  <c r="EG14" i="71"/>
  <c r="EF14" i="71"/>
  <c r="EE14" i="71"/>
  <c r="ED14" i="71"/>
  <c r="EC14" i="71"/>
  <c r="DV14" i="71"/>
  <c r="DU14" i="71"/>
  <c r="DT14" i="71"/>
  <c r="DS14" i="71"/>
  <c r="DR14" i="71"/>
  <c r="DQ14" i="71"/>
  <c r="DP14" i="71"/>
  <c r="GC13" i="71"/>
  <c r="GB13" i="71"/>
  <c r="GA13" i="71"/>
  <c r="FZ13" i="71"/>
  <c r="FY13" i="71"/>
  <c r="FX13" i="71"/>
  <c r="FW13" i="71"/>
  <c r="FV13" i="71"/>
  <c r="FT13" i="71"/>
  <c r="FS13" i="71"/>
  <c r="FQ13" i="71"/>
  <c r="FO13" i="71"/>
  <c r="FN13" i="71"/>
  <c r="FM13" i="71"/>
  <c r="FK13" i="71"/>
  <c r="FI13" i="71"/>
  <c r="FH13" i="71"/>
  <c r="FG13" i="71"/>
  <c r="FF13" i="71"/>
  <c r="FE13" i="71"/>
  <c r="FD13" i="71"/>
  <c r="FC13" i="71"/>
  <c r="FB13" i="71"/>
  <c r="FA13" i="71"/>
  <c r="EZ13" i="71"/>
  <c r="EY13" i="71"/>
  <c r="EX13" i="71"/>
  <c r="EW13" i="71"/>
  <c r="EV13" i="71"/>
  <c r="EU13" i="71"/>
  <c r="ET13" i="71"/>
  <c r="ES13" i="71"/>
  <c r="ER13" i="71"/>
  <c r="EQ13" i="71"/>
  <c r="EP13" i="71"/>
  <c r="EO13" i="71"/>
  <c r="EN13" i="71"/>
  <c r="EM13" i="71"/>
  <c r="EL13" i="71"/>
  <c r="EK13" i="71"/>
  <c r="EJ13" i="71"/>
  <c r="EI13" i="71"/>
  <c r="EH13" i="71"/>
  <c r="EG13" i="71"/>
  <c r="EF13" i="71"/>
  <c r="EE13" i="71"/>
  <c r="ED13" i="71"/>
  <c r="EC13" i="71"/>
  <c r="DV13" i="71"/>
  <c r="DU13" i="71"/>
  <c r="DT13" i="71"/>
  <c r="DS13" i="71"/>
  <c r="DR13" i="71"/>
  <c r="DQ13" i="71"/>
  <c r="DP13" i="71"/>
  <c r="GC12" i="71"/>
  <c r="GB12" i="71"/>
  <c r="GA12" i="71"/>
  <c r="FZ12" i="71"/>
  <c r="FY12" i="71"/>
  <c r="FX12" i="71"/>
  <c r="FW12" i="71"/>
  <c r="FV12" i="71"/>
  <c r="FT12" i="71"/>
  <c r="FS12" i="71"/>
  <c r="FQ12" i="71"/>
  <c r="FO12" i="71"/>
  <c r="FN12" i="71"/>
  <c r="FM12" i="71"/>
  <c r="FK12" i="71"/>
  <c r="FI12" i="71"/>
  <c r="FH12" i="71"/>
  <c r="FG12" i="71"/>
  <c r="FF12" i="71"/>
  <c r="FE12" i="71"/>
  <c r="FD12" i="71"/>
  <c r="FC12" i="71"/>
  <c r="FB12" i="71"/>
  <c r="FA12" i="71"/>
  <c r="EZ12" i="71"/>
  <c r="EY12" i="71"/>
  <c r="EX12" i="71"/>
  <c r="EW12" i="71"/>
  <c r="EV12" i="71"/>
  <c r="EU12" i="71"/>
  <c r="ET12" i="71"/>
  <c r="ES12" i="71"/>
  <c r="ER12" i="71"/>
  <c r="EQ12" i="71"/>
  <c r="EP12" i="71"/>
  <c r="EO12" i="71"/>
  <c r="EN12" i="71"/>
  <c r="EM12" i="71"/>
  <c r="EL12" i="71"/>
  <c r="EK12" i="71"/>
  <c r="EJ12" i="71"/>
  <c r="EI12" i="71"/>
  <c r="EH12" i="71"/>
  <c r="EG12" i="71"/>
  <c r="EF12" i="71"/>
  <c r="EE12" i="71"/>
  <c r="ED12" i="71"/>
  <c r="EC12" i="71"/>
  <c r="DV12" i="71"/>
  <c r="DU12" i="71"/>
  <c r="DT12" i="71"/>
  <c r="DS12" i="71"/>
  <c r="DR12" i="71"/>
  <c r="DQ12" i="71"/>
  <c r="DP12" i="71"/>
  <c r="GC11" i="71"/>
  <c r="GB11" i="71"/>
  <c r="GA11" i="71"/>
  <c r="FZ11" i="71"/>
  <c r="FY11" i="71"/>
  <c r="FX11" i="71"/>
  <c r="FW11" i="71"/>
  <c r="FV11" i="71"/>
  <c r="FT11" i="71"/>
  <c r="FS11" i="71"/>
  <c r="FQ11" i="71"/>
  <c r="FO11" i="71"/>
  <c r="FN11" i="71"/>
  <c r="FM11" i="71"/>
  <c r="FK11" i="71"/>
  <c r="FI11" i="71"/>
  <c r="FH11" i="71"/>
  <c r="FG11" i="71"/>
  <c r="FF11" i="71"/>
  <c r="FE11" i="71"/>
  <c r="FD11" i="71"/>
  <c r="FC11" i="71"/>
  <c r="FB11" i="71"/>
  <c r="FA11" i="71"/>
  <c r="EZ11" i="71"/>
  <c r="EY11" i="71"/>
  <c r="EX11" i="71"/>
  <c r="EW11" i="71"/>
  <c r="EV11" i="71"/>
  <c r="EU11" i="71"/>
  <c r="ET11" i="71"/>
  <c r="ES11" i="71"/>
  <c r="ER11" i="71"/>
  <c r="EQ11" i="71"/>
  <c r="EP11" i="71"/>
  <c r="EO11" i="71"/>
  <c r="EN11" i="71"/>
  <c r="EM11" i="71"/>
  <c r="EL11" i="71"/>
  <c r="EK11" i="71"/>
  <c r="EJ11" i="71"/>
  <c r="EI11" i="71"/>
  <c r="EH11" i="71"/>
  <c r="EG11" i="71"/>
  <c r="EF11" i="71"/>
  <c r="EE11" i="71"/>
  <c r="ED11" i="71"/>
  <c r="EC11" i="71"/>
  <c r="DV11" i="71"/>
  <c r="DU11" i="71"/>
  <c r="DT11" i="71"/>
  <c r="DS11" i="71"/>
  <c r="DR11" i="71"/>
  <c r="DQ11" i="71"/>
  <c r="DP11" i="71"/>
  <c r="GC10" i="71"/>
  <c r="GB10" i="71"/>
  <c r="GA10" i="71"/>
  <c r="FZ10" i="71"/>
  <c r="FY10" i="71"/>
  <c r="FX10" i="71"/>
  <c r="FW10" i="71"/>
  <c r="FV10" i="71"/>
  <c r="FT10" i="71"/>
  <c r="FS10" i="71"/>
  <c r="FQ10" i="71"/>
  <c r="FO10" i="71"/>
  <c r="FN10" i="71"/>
  <c r="FM10" i="71"/>
  <c r="FK10" i="71"/>
  <c r="FI10" i="71"/>
  <c r="FH10" i="71"/>
  <c r="FG10" i="71"/>
  <c r="FF10" i="71"/>
  <c r="FE10" i="71"/>
  <c r="FD10" i="71"/>
  <c r="FC10" i="71"/>
  <c r="FB10" i="71"/>
  <c r="FA10" i="71"/>
  <c r="EZ10" i="71"/>
  <c r="EY10" i="71"/>
  <c r="EX10" i="71"/>
  <c r="EW10" i="71"/>
  <c r="EV10" i="71"/>
  <c r="EU10" i="71"/>
  <c r="ET10" i="71"/>
  <c r="ES10" i="71"/>
  <c r="ER10" i="71"/>
  <c r="EQ10" i="71"/>
  <c r="EP10" i="71"/>
  <c r="EO10" i="71"/>
  <c r="EN10" i="71"/>
  <c r="EM10" i="71"/>
  <c r="EL10" i="71"/>
  <c r="EK10" i="71"/>
  <c r="EJ10" i="71"/>
  <c r="EI10" i="71"/>
  <c r="EH10" i="71"/>
  <c r="EG10" i="71"/>
  <c r="EF10" i="71"/>
  <c r="EE10" i="71"/>
  <c r="ED10" i="71"/>
  <c r="EC10" i="71"/>
  <c r="DV10" i="71"/>
  <c r="DU10" i="71"/>
  <c r="DT10" i="71"/>
  <c r="DS10" i="71"/>
  <c r="DR10" i="71"/>
  <c r="DQ10" i="71"/>
  <c r="DP10" i="71"/>
  <c r="GC9" i="71"/>
  <c r="GB9" i="71"/>
  <c r="GA9" i="71"/>
  <c r="FZ9" i="71"/>
  <c r="FY9" i="71"/>
  <c r="FX9" i="71"/>
  <c r="FW9" i="71"/>
  <c r="FV9" i="71"/>
  <c r="FT9" i="71"/>
  <c r="FS9" i="71"/>
  <c r="FQ9" i="71"/>
  <c r="FO9" i="71"/>
  <c r="FN9" i="71"/>
  <c r="FM9" i="71"/>
  <c r="FL9" i="71"/>
  <c r="FK9" i="71"/>
  <c r="FJ9" i="71"/>
  <c r="FI9" i="71"/>
  <c r="FH9" i="71"/>
  <c r="FG9" i="71"/>
  <c r="FF9" i="71"/>
  <c r="FE9" i="71"/>
  <c r="FD9" i="71"/>
  <c r="FC9" i="71"/>
  <c r="FB9" i="71"/>
  <c r="FA9" i="71"/>
  <c r="EZ9" i="71"/>
  <c r="EY9" i="71"/>
  <c r="EX9" i="71"/>
  <c r="EW9" i="71"/>
  <c r="EV9" i="71"/>
  <c r="EU9" i="71"/>
  <c r="ET9" i="71"/>
  <c r="ES9" i="71"/>
  <c r="ER9" i="71"/>
  <c r="EQ9" i="71"/>
  <c r="EP9" i="71"/>
  <c r="EO9" i="71"/>
  <c r="EN9" i="71"/>
  <c r="EM9" i="71"/>
  <c r="EL9" i="71"/>
  <c r="EK9" i="71"/>
  <c r="EJ9" i="71"/>
  <c r="EI9" i="71"/>
  <c r="EH9" i="71"/>
  <c r="EG9" i="71"/>
  <c r="EF9" i="71"/>
  <c r="EE9" i="71"/>
  <c r="ED9" i="71"/>
  <c r="EC9" i="71"/>
  <c r="DV9" i="71"/>
  <c r="DU9" i="71"/>
  <c r="DT9" i="71"/>
  <c r="DS9" i="71"/>
  <c r="DR9" i="71"/>
  <c r="DQ9" i="71"/>
  <c r="DP9" i="71"/>
  <c r="FE7" i="71"/>
  <c r="EJ7" i="71"/>
  <c r="EH7" i="71"/>
  <c r="EB7" i="71"/>
  <c r="EA7" i="71"/>
  <c r="DZ7" i="71"/>
  <c r="DV7" i="71"/>
  <c r="DT7" i="71"/>
  <c r="EB40" i="70"/>
  <c r="EA40" i="70"/>
  <c r="DZ40" i="70"/>
  <c r="DY40" i="70"/>
  <c r="DX40" i="70"/>
  <c r="DW40" i="70"/>
  <c r="DV38" i="70"/>
  <c r="DU38" i="70"/>
  <c r="DT38" i="70"/>
  <c r="DS38" i="70"/>
  <c r="DR38" i="70"/>
  <c r="DQ38" i="70"/>
  <c r="DP38" i="70"/>
  <c r="DV37" i="70"/>
  <c r="DU37" i="70"/>
  <c r="DT37" i="70"/>
  <c r="DS37" i="70"/>
  <c r="DR37" i="70"/>
  <c r="DQ37" i="70"/>
  <c r="DP37" i="70"/>
  <c r="GC36" i="70"/>
  <c r="GB36" i="70"/>
  <c r="GA36" i="70"/>
  <c r="FZ36" i="70"/>
  <c r="FY36" i="70"/>
  <c r="FX36" i="70"/>
  <c r="FW36" i="70"/>
  <c r="FV36" i="70"/>
  <c r="FT36" i="70"/>
  <c r="FS36" i="70"/>
  <c r="FQ36" i="70"/>
  <c r="FO36" i="70"/>
  <c r="FN36" i="70"/>
  <c r="FM36" i="70"/>
  <c r="FK36" i="70"/>
  <c r="FI36" i="70"/>
  <c r="FH36" i="70"/>
  <c r="FG36" i="70"/>
  <c r="FF36" i="70"/>
  <c r="FE36" i="70"/>
  <c r="FD36" i="70"/>
  <c r="FC36" i="70"/>
  <c r="FB36" i="70"/>
  <c r="FA36" i="70"/>
  <c r="EZ36" i="70"/>
  <c r="EY36" i="70"/>
  <c r="EX36" i="70"/>
  <c r="EW36" i="70"/>
  <c r="EV36" i="70"/>
  <c r="EU36" i="70"/>
  <c r="ET36" i="70"/>
  <c r="ES36" i="70"/>
  <c r="ER36" i="70"/>
  <c r="EQ36" i="70"/>
  <c r="EP36" i="70"/>
  <c r="EO36" i="70"/>
  <c r="EN36" i="70"/>
  <c r="EM36" i="70"/>
  <c r="EL36" i="70"/>
  <c r="EK36" i="70"/>
  <c r="EJ36" i="70"/>
  <c r="EI36" i="70"/>
  <c r="EH36" i="70"/>
  <c r="EG36" i="70"/>
  <c r="EF36" i="70"/>
  <c r="EE36" i="70"/>
  <c r="ED36" i="70"/>
  <c r="EC36" i="70"/>
  <c r="DV36" i="70"/>
  <c r="DU36" i="70"/>
  <c r="DT36" i="70"/>
  <c r="DS36" i="70"/>
  <c r="DR36" i="70"/>
  <c r="DQ36" i="70"/>
  <c r="DP36" i="70"/>
  <c r="GC35" i="70"/>
  <c r="GB35" i="70"/>
  <c r="GA35" i="70"/>
  <c r="FZ35" i="70"/>
  <c r="FY35" i="70"/>
  <c r="FX35" i="70"/>
  <c r="FW35" i="70"/>
  <c r="FV35" i="70"/>
  <c r="FT35" i="70"/>
  <c r="FS35" i="70"/>
  <c r="FQ35" i="70"/>
  <c r="FO35" i="70"/>
  <c r="FN35" i="70"/>
  <c r="FM35" i="70"/>
  <c r="FK35" i="70"/>
  <c r="FI35" i="70"/>
  <c r="FH35" i="70"/>
  <c r="FG35" i="70"/>
  <c r="FF35" i="70"/>
  <c r="FE35" i="70"/>
  <c r="FD35" i="70"/>
  <c r="FC35" i="70"/>
  <c r="FB35" i="70"/>
  <c r="FA35" i="70"/>
  <c r="EZ35" i="70"/>
  <c r="EY35" i="70"/>
  <c r="EX35" i="70"/>
  <c r="EW35" i="70"/>
  <c r="EV35" i="70"/>
  <c r="EU35" i="70"/>
  <c r="ET35" i="70"/>
  <c r="ES35" i="70"/>
  <c r="ER35" i="70"/>
  <c r="EQ35" i="70"/>
  <c r="EP35" i="70"/>
  <c r="EO35" i="70"/>
  <c r="EN35" i="70"/>
  <c r="EM35" i="70"/>
  <c r="EL35" i="70"/>
  <c r="EK35" i="70"/>
  <c r="EJ35" i="70"/>
  <c r="EI35" i="70"/>
  <c r="EH35" i="70"/>
  <c r="EG35" i="70"/>
  <c r="EF35" i="70"/>
  <c r="EE35" i="70"/>
  <c r="ED35" i="70"/>
  <c r="EC35" i="70"/>
  <c r="DV35" i="70"/>
  <c r="DU35" i="70"/>
  <c r="DT35" i="70"/>
  <c r="DS35" i="70"/>
  <c r="DR35" i="70"/>
  <c r="DQ35" i="70"/>
  <c r="DP35" i="70"/>
  <c r="GC34" i="70"/>
  <c r="GB34" i="70"/>
  <c r="GA34" i="70"/>
  <c r="FZ34" i="70"/>
  <c r="FY34" i="70"/>
  <c r="FX34" i="70"/>
  <c r="FW34" i="70"/>
  <c r="FV34" i="70"/>
  <c r="FT34" i="70"/>
  <c r="FS34" i="70"/>
  <c r="FQ34" i="70"/>
  <c r="FO34" i="70"/>
  <c r="FN34" i="70"/>
  <c r="FM34" i="70"/>
  <c r="FK34" i="70"/>
  <c r="FI34" i="70"/>
  <c r="FH34" i="70"/>
  <c r="FG34" i="70"/>
  <c r="FF34" i="70"/>
  <c r="FE34" i="70"/>
  <c r="FD34" i="70"/>
  <c r="FC34" i="70"/>
  <c r="FB34" i="70"/>
  <c r="FA34" i="70"/>
  <c r="EZ34" i="70"/>
  <c r="EY34" i="70"/>
  <c r="EX34" i="70"/>
  <c r="EW34" i="70"/>
  <c r="EV34" i="70"/>
  <c r="EU34" i="70"/>
  <c r="ET34" i="70"/>
  <c r="ES34" i="70"/>
  <c r="ER34" i="70"/>
  <c r="EQ34" i="70"/>
  <c r="EP34" i="70"/>
  <c r="EO34" i="70"/>
  <c r="EN34" i="70"/>
  <c r="EM34" i="70"/>
  <c r="EL34" i="70"/>
  <c r="EK34" i="70"/>
  <c r="EJ34" i="70"/>
  <c r="EI34" i="70"/>
  <c r="EH34" i="70"/>
  <c r="EG34" i="70"/>
  <c r="EF34" i="70"/>
  <c r="EE34" i="70"/>
  <c r="ED34" i="70"/>
  <c r="EC34" i="70"/>
  <c r="DV34" i="70"/>
  <c r="DU34" i="70"/>
  <c r="DT34" i="70"/>
  <c r="DS34" i="70"/>
  <c r="DR34" i="70"/>
  <c r="DQ34" i="70"/>
  <c r="DP34" i="70"/>
  <c r="GC33" i="70"/>
  <c r="GB33" i="70"/>
  <c r="GA33" i="70"/>
  <c r="FZ33" i="70"/>
  <c r="FY33" i="70"/>
  <c r="FX33" i="70"/>
  <c r="FW33" i="70"/>
  <c r="FV33" i="70"/>
  <c r="FT33" i="70"/>
  <c r="FS33" i="70"/>
  <c r="FQ33" i="70"/>
  <c r="FO33" i="70"/>
  <c r="FN33" i="70"/>
  <c r="FM33" i="70"/>
  <c r="FK33" i="70"/>
  <c r="FI33" i="70"/>
  <c r="FH33" i="70"/>
  <c r="FG33" i="70"/>
  <c r="FF33" i="70"/>
  <c r="FE33" i="70"/>
  <c r="FD33" i="70"/>
  <c r="FC33" i="70"/>
  <c r="FB33" i="70"/>
  <c r="FA33" i="70"/>
  <c r="EZ33" i="70"/>
  <c r="EY33" i="70"/>
  <c r="EX33" i="70"/>
  <c r="EW33" i="70"/>
  <c r="EV33" i="70"/>
  <c r="EU33" i="70"/>
  <c r="ET33" i="70"/>
  <c r="ES33" i="70"/>
  <c r="ER33" i="70"/>
  <c r="EQ33" i="70"/>
  <c r="EP33" i="70"/>
  <c r="EO33" i="70"/>
  <c r="EN33" i="70"/>
  <c r="EM33" i="70"/>
  <c r="EL33" i="70"/>
  <c r="EK33" i="70"/>
  <c r="EJ33" i="70"/>
  <c r="EI33" i="70"/>
  <c r="EH33" i="70"/>
  <c r="EG33" i="70"/>
  <c r="EF33" i="70"/>
  <c r="EE33" i="70"/>
  <c r="ED33" i="70"/>
  <c r="EC33" i="70"/>
  <c r="DV33" i="70"/>
  <c r="DU33" i="70"/>
  <c r="DT33" i="70"/>
  <c r="DS33" i="70"/>
  <c r="DR33" i="70"/>
  <c r="DQ33" i="70"/>
  <c r="DP33" i="70"/>
  <c r="GC32" i="70"/>
  <c r="GB32" i="70"/>
  <c r="GA32" i="70"/>
  <c r="FZ32" i="70"/>
  <c r="FY32" i="70"/>
  <c r="FX32" i="70"/>
  <c r="FW32" i="70"/>
  <c r="FV32" i="70"/>
  <c r="FT32" i="70"/>
  <c r="FS32" i="70"/>
  <c r="FQ32" i="70"/>
  <c r="FO32" i="70"/>
  <c r="FN32" i="70"/>
  <c r="FM32" i="70"/>
  <c r="FK32" i="70"/>
  <c r="FI32" i="70"/>
  <c r="FH32" i="70"/>
  <c r="FG32" i="70"/>
  <c r="FF32" i="70"/>
  <c r="FE32" i="70"/>
  <c r="FD32" i="70"/>
  <c r="FC32" i="70"/>
  <c r="FB32" i="70"/>
  <c r="FA32" i="70"/>
  <c r="EZ32" i="70"/>
  <c r="EY32" i="70"/>
  <c r="EX32" i="70"/>
  <c r="EW32" i="70"/>
  <c r="EV32" i="70"/>
  <c r="EU32" i="70"/>
  <c r="ET32" i="70"/>
  <c r="ES32" i="70"/>
  <c r="ER32" i="70"/>
  <c r="EQ32" i="70"/>
  <c r="EP32" i="70"/>
  <c r="EO32" i="70"/>
  <c r="EN32" i="70"/>
  <c r="EM32" i="70"/>
  <c r="EL32" i="70"/>
  <c r="EK32" i="70"/>
  <c r="EJ32" i="70"/>
  <c r="EI32" i="70"/>
  <c r="EH32" i="70"/>
  <c r="EG32" i="70"/>
  <c r="EF32" i="70"/>
  <c r="EE32" i="70"/>
  <c r="ED32" i="70"/>
  <c r="EC32" i="70"/>
  <c r="DV32" i="70"/>
  <c r="DU32" i="70"/>
  <c r="DT32" i="70"/>
  <c r="DS32" i="70"/>
  <c r="DR32" i="70"/>
  <c r="DQ32" i="70"/>
  <c r="DP32" i="70"/>
  <c r="GC31" i="70"/>
  <c r="GB31" i="70"/>
  <c r="GA31" i="70"/>
  <c r="FZ31" i="70"/>
  <c r="FY31" i="70"/>
  <c r="FX31" i="70"/>
  <c r="FW31" i="70"/>
  <c r="FV31" i="70"/>
  <c r="FT31" i="70"/>
  <c r="FS31" i="70"/>
  <c r="FQ31" i="70"/>
  <c r="FO31" i="70"/>
  <c r="FN31" i="70"/>
  <c r="FM31" i="70"/>
  <c r="FK31" i="70"/>
  <c r="FI31" i="70"/>
  <c r="FH31" i="70"/>
  <c r="FG31" i="70"/>
  <c r="FF31" i="70"/>
  <c r="FE31" i="70"/>
  <c r="FD31" i="70"/>
  <c r="FC31" i="70"/>
  <c r="FB31" i="70"/>
  <c r="FA31" i="70"/>
  <c r="EZ31" i="70"/>
  <c r="EY31" i="70"/>
  <c r="EX31" i="70"/>
  <c r="EW31" i="70"/>
  <c r="EV31" i="70"/>
  <c r="EU31" i="70"/>
  <c r="ET31" i="70"/>
  <c r="ES31" i="70"/>
  <c r="ER31" i="70"/>
  <c r="EQ31" i="70"/>
  <c r="EP31" i="70"/>
  <c r="EO31" i="70"/>
  <c r="EN31" i="70"/>
  <c r="EM31" i="70"/>
  <c r="EL31" i="70"/>
  <c r="EK31" i="70"/>
  <c r="EJ31" i="70"/>
  <c r="EI31" i="70"/>
  <c r="EH31" i="70"/>
  <c r="EG31" i="70"/>
  <c r="EF31" i="70"/>
  <c r="EE31" i="70"/>
  <c r="ED31" i="70"/>
  <c r="EC31" i="70"/>
  <c r="DV31" i="70"/>
  <c r="DU31" i="70"/>
  <c r="DT31" i="70"/>
  <c r="DS31" i="70"/>
  <c r="DR31" i="70"/>
  <c r="DQ31" i="70"/>
  <c r="DP31" i="70"/>
  <c r="GC30" i="70"/>
  <c r="GB30" i="70"/>
  <c r="GA30" i="70"/>
  <c r="FZ30" i="70"/>
  <c r="FY30" i="70"/>
  <c r="FX30" i="70"/>
  <c r="FW30" i="70"/>
  <c r="FV30" i="70"/>
  <c r="FT30" i="70"/>
  <c r="FS30" i="70"/>
  <c r="FQ30" i="70"/>
  <c r="FO30" i="70"/>
  <c r="FN30" i="70"/>
  <c r="FM30" i="70"/>
  <c r="FK30" i="70"/>
  <c r="FI30" i="70"/>
  <c r="FH30" i="70"/>
  <c r="FG30" i="70"/>
  <c r="FF30" i="70"/>
  <c r="FE30" i="70"/>
  <c r="FD30" i="70"/>
  <c r="FC30" i="70"/>
  <c r="FB30" i="70"/>
  <c r="FA30" i="70"/>
  <c r="EZ30" i="70"/>
  <c r="EY30" i="70"/>
  <c r="EX30" i="70"/>
  <c r="EW30" i="70"/>
  <c r="EV30" i="70"/>
  <c r="EU30" i="70"/>
  <c r="ET30" i="70"/>
  <c r="ES30" i="70"/>
  <c r="ER30" i="70"/>
  <c r="EQ30" i="70"/>
  <c r="EP30" i="70"/>
  <c r="EO30" i="70"/>
  <c r="EN30" i="70"/>
  <c r="EM30" i="70"/>
  <c r="EL30" i="70"/>
  <c r="EK30" i="70"/>
  <c r="EJ30" i="70"/>
  <c r="EI30" i="70"/>
  <c r="EH30" i="70"/>
  <c r="EG30" i="70"/>
  <c r="EF30" i="70"/>
  <c r="EE30" i="70"/>
  <c r="ED30" i="70"/>
  <c r="EC30" i="70"/>
  <c r="DV30" i="70"/>
  <c r="DU30" i="70"/>
  <c r="DT30" i="70"/>
  <c r="DS30" i="70"/>
  <c r="DR30" i="70"/>
  <c r="DQ30" i="70"/>
  <c r="DP30" i="70"/>
  <c r="GC29" i="70"/>
  <c r="GB29" i="70"/>
  <c r="GA29" i="70"/>
  <c r="FZ29" i="70"/>
  <c r="FY29" i="70"/>
  <c r="FX29" i="70"/>
  <c r="FW29" i="70"/>
  <c r="FV29" i="70"/>
  <c r="FT29" i="70"/>
  <c r="FS29" i="70"/>
  <c r="FQ29" i="70"/>
  <c r="FO29" i="70"/>
  <c r="FN29" i="70"/>
  <c r="FM29" i="70"/>
  <c r="FK29" i="70"/>
  <c r="FI29" i="70"/>
  <c r="FH29" i="70"/>
  <c r="FG29" i="70"/>
  <c r="FF29" i="70"/>
  <c r="FE29" i="70"/>
  <c r="FD29" i="70"/>
  <c r="FC29" i="70"/>
  <c r="FB29" i="70"/>
  <c r="FA29" i="70"/>
  <c r="EZ29" i="70"/>
  <c r="EY29" i="70"/>
  <c r="EX29" i="70"/>
  <c r="EW29" i="70"/>
  <c r="EV29" i="70"/>
  <c r="EU29" i="70"/>
  <c r="ET29" i="70"/>
  <c r="ES29" i="70"/>
  <c r="ER29" i="70"/>
  <c r="EQ29" i="70"/>
  <c r="EP29" i="70"/>
  <c r="EO29" i="70"/>
  <c r="EN29" i="70"/>
  <c r="EM29" i="70"/>
  <c r="EL29" i="70"/>
  <c r="EK29" i="70"/>
  <c r="EJ29" i="70"/>
  <c r="EI29" i="70"/>
  <c r="EH29" i="70"/>
  <c r="EG29" i="70"/>
  <c r="EF29" i="70"/>
  <c r="EE29" i="70"/>
  <c r="ED29" i="70"/>
  <c r="EC29" i="70"/>
  <c r="DV29" i="70"/>
  <c r="DU29" i="70"/>
  <c r="DT29" i="70"/>
  <c r="DS29" i="70"/>
  <c r="DR29" i="70"/>
  <c r="DQ29" i="70"/>
  <c r="DP29" i="70"/>
  <c r="GC28" i="70"/>
  <c r="GB28" i="70"/>
  <c r="GA28" i="70"/>
  <c r="FZ28" i="70"/>
  <c r="FY28" i="70"/>
  <c r="FX28" i="70"/>
  <c r="FW28" i="70"/>
  <c r="FV28" i="70"/>
  <c r="FT28" i="70"/>
  <c r="FS28" i="70"/>
  <c r="FQ28" i="70"/>
  <c r="FO28" i="70"/>
  <c r="FN28" i="70"/>
  <c r="FM28" i="70"/>
  <c r="FK28" i="70"/>
  <c r="FI28" i="70"/>
  <c r="FH28" i="70"/>
  <c r="FG28" i="70"/>
  <c r="FF28" i="70"/>
  <c r="FE28" i="70"/>
  <c r="FD28" i="70"/>
  <c r="FC28" i="70"/>
  <c r="FB28" i="70"/>
  <c r="FA28" i="70"/>
  <c r="EZ28" i="70"/>
  <c r="EY28" i="70"/>
  <c r="EX28" i="70"/>
  <c r="EW28" i="70"/>
  <c r="EV28" i="70"/>
  <c r="EU28" i="70"/>
  <c r="ET28" i="70"/>
  <c r="ES28" i="70"/>
  <c r="ER28" i="70"/>
  <c r="EQ28" i="70"/>
  <c r="EP28" i="70"/>
  <c r="EO28" i="70"/>
  <c r="EN28" i="70"/>
  <c r="EM28" i="70"/>
  <c r="EL28" i="70"/>
  <c r="EK28" i="70"/>
  <c r="EJ28" i="70"/>
  <c r="EI28" i="70"/>
  <c r="EH28" i="70"/>
  <c r="EG28" i="70"/>
  <c r="EF28" i="70"/>
  <c r="EE28" i="70"/>
  <c r="ED28" i="70"/>
  <c r="EC28" i="70"/>
  <c r="DV28" i="70"/>
  <c r="DU28" i="70"/>
  <c r="DT28" i="70"/>
  <c r="DS28" i="70"/>
  <c r="DR28" i="70"/>
  <c r="DQ28" i="70"/>
  <c r="DP28" i="70"/>
  <c r="GC27" i="70"/>
  <c r="GB27" i="70"/>
  <c r="GA27" i="70"/>
  <c r="FZ27" i="70"/>
  <c r="FY27" i="70"/>
  <c r="FX27" i="70"/>
  <c r="FW27" i="70"/>
  <c r="FV27" i="70"/>
  <c r="FT27" i="70"/>
  <c r="FS27" i="70"/>
  <c r="FQ27" i="70"/>
  <c r="FO27" i="70"/>
  <c r="FN27" i="70"/>
  <c r="FM27" i="70"/>
  <c r="FK27" i="70"/>
  <c r="FI27" i="70"/>
  <c r="FH27" i="70"/>
  <c r="FG27" i="70"/>
  <c r="FF27" i="70"/>
  <c r="FE27" i="70"/>
  <c r="FD27" i="70"/>
  <c r="FC27" i="70"/>
  <c r="FB27" i="70"/>
  <c r="FA27" i="70"/>
  <c r="EZ27" i="70"/>
  <c r="EY27" i="70"/>
  <c r="EX27" i="70"/>
  <c r="EW27" i="70"/>
  <c r="EV27" i="70"/>
  <c r="EU27" i="70"/>
  <c r="ET27" i="70"/>
  <c r="ES27" i="70"/>
  <c r="ER27" i="70"/>
  <c r="EQ27" i="70"/>
  <c r="EP27" i="70"/>
  <c r="EO27" i="70"/>
  <c r="EN27" i="70"/>
  <c r="EM27" i="70"/>
  <c r="EL27" i="70"/>
  <c r="EK27" i="70"/>
  <c r="EJ27" i="70"/>
  <c r="EI27" i="70"/>
  <c r="EH27" i="70"/>
  <c r="EG27" i="70"/>
  <c r="EF27" i="70"/>
  <c r="EE27" i="70"/>
  <c r="ED27" i="70"/>
  <c r="EC27" i="70"/>
  <c r="DV27" i="70"/>
  <c r="DU27" i="70"/>
  <c r="DT27" i="70"/>
  <c r="DS27" i="70"/>
  <c r="DR27" i="70"/>
  <c r="DQ27" i="70"/>
  <c r="DP27" i="70"/>
  <c r="GC26" i="70"/>
  <c r="GB26" i="70"/>
  <c r="GA26" i="70"/>
  <c r="FZ26" i="70"/>
  <c r="FY26" i="70"/>
  <c r="FX26" i="70"/>
  <c r="FW26" i="70"/>
  <c r="FV26" i="70"/>
  <c r="FT26" i="70"/>
  <c r="FS26" i="70"/>
  <c r="FQ26" i="70"/>
  <c r="FO26" i="70"/>
  <c r="FN26" i="70"/>
  <c r="FM26" i="70"/>
  <c r="FK26" i="70"/>
  <c r="FI26" i="70"/>
  <c r="FH26" i="70"/>
  <c r="FG26" i="70"/>
  <c r="FF26" i="70"/>
  <c r="FE26" i="70"/>
  <c r="FD26" i="70"/>
  <c r="FC26" i="70"/>
  <c r="FB26" i="70"/>
  <c r="FA26" i="70"/>
  <c r="EZ26" i="70"/>
  <c r="EY26" i="70"/>
  <c r="EX26" i="70"/>
  <c r="EW26" i="70"/>
  <c r="EV26" i="70"/>
  <c r="EU26" i="70"/>
  <c r="ET26" i="70"/>
  <c r="ES26" i="70"/>
  <c r="ER26" i="70"/>
  <c r="EQ26" i="70"/>
  <c r="EP26" i="70"/>
  <c r="EO26" i="70"/>
  <c r="EN26" i="70"/>
  <c r="EM26" i="70"/>
  <c r="EL26" i="70"/>
  <c r="EK26" i="70"/>
  <c r="EJ26" i="70"/>
  <c r="EI26" i="70"/>
  <c r="EH26" i="70"/>
  <c r="EG26" i="70"/>
  <c r="EF26" i="70"/>
  <c r="EE26" i="70"/>
  <c r="ED26" i="70"/>
  <c r="EC26" i="70"/>
  <c r="DV26" i="70"/>
  <c r="DU26" i="70"/>
  <c r="DT26" i="70"/>
  <c r="DS26" i="70"/>
  <c r="DR26" i="70"/>
  <c r="DQ26" i="70"/>
  <c r="DP26" i="70"/>
  <c r="GC25" i="70"/>
  <c r="GB25" i="70"/>
  <c r="GA25" i="70"/>
  <c r="FZ25" i="70"/>
  <c r="FY25" i="70"/>
  <c r="FX25" i="70"/>
  <c r="FW25" i="70"/>
  <c r="FV25" i="70"/>
  <c r="FT25" i="70"/>
  <c r="FS25" i="70"/>
  <c r="FQ25" i="70"/>
  <c r="FO25" i="70"/>
  <c r="FN25" i="70"/>
  <c r="FM25" i="70"/>
  <c r="FK25" i="70"/>
  <c r="FI25" i="70"/>
  <c r="FH25" i="70"/>
  <c r="FG25" i="70"/>
  <c r="FF25" i="70"/>
  <c r="FE25" i="70"/>
  <c r="FD25" i="70"/>
  <c r="FC25" i="70"/>
  <c r="FB25" i="70"/>
  <c r="FA25" i="70"/>
  <c r="EZ25" i="70"/>
  <c r="EY25" i="70"/>
  <c r="EX25" i="70"/>
  <c r="EW25" i="70"/>
  <c r="EV25" i="70"/>
  <c r="EU25" i="70"/>
  <c r="ET25" i="70"/>
  <c r="ES25" i="70"/>
  <c r="ER25" i="70"/>
  <c r="EQ25" i="70"/>
  <c r="EP25" i="70"/>
  <c r="EO25" i="70"/>
  <c r="EN25" i="70"/>
  <c r="EM25" i="70"/>
  <c r="EL25" i="70"/>
  <c r="EK25" i="70"/>
  <c r="EJ25" i="70"/>
  <c r="EI25" i="70"/>
  <c r="EH25" i="70"/>
  <c r="EG25" i="70"/>
  <c r="EF25" i="70"/>
  <c r="EE25" i="70"/>
  <c r="ED25" i="70"/>
  <c r="EC25" i="70"/>
  <c r="DV25" i="70"/>
  <c r="DU25" i="70"/>
  <c r="DT25" i="70"/>
  <c r="DS25" i="70"/>
  <c r="DR25" i="70"/>
  <c r="DQ25" i="70"/>
  <c r="DP25" i="70"/>
  <c r="GC24" i="70"/>
  <c r="GB24" i="70"/>
  <c r="GA24" i="70"/>
  <c r="FZ24" i="70"/>
  <c r="FY24" i="70"/>
  <c r="FX24" i="70"/>
  <c r="FW24" i="70"/>
  <c r="FV24" i="70"/>
  <c r="FT24" i="70"/>
  <c r="FS24" i="70"/>
  <c r="FQ24" i="70"/>
  <c r="FO24" i="70"/>
  <c r="FN24" i="70"/>
  <c r="FM24" i="70"/>
  <c r="FK24" i="70"/>
  <c r="FI24" i="70"/>
  <c r="FH24" i="70"/>
  <c r="FG24" i="70"/>
  <c r="FF24" i="70"/>
  <c r="FE24" i="70"/>
  <c r="FD24" i="70"/>
  <c r="FC24" i="70"/>
  <c r="FB24" i="70"/>
  <c r="FA24" i="70"/>
  <c r="EZ24" i="70"/>
  <c r="EY24" i="70"/>
  <c r="EX24" i="70"/>
  <c r="EW24" i="70"/>
  <c r="EV24" i="70"/>
  <c r="EU24" i="70"/>
  <c r="ET24" i="70"/>
  <c r="ES24" i="70"/>
  <c r="ER24" i="70"/>
  <c r="EQ24" i="70"/>
  <c r="EP24" i="70"/>
  <c r="EO24" i="70"/>
  <c r="EN24" i="70"/>
  <c r="EM24" i="70"/>
  <c r="EL24" i="70"/>
  <c r="EK24" i="70"/>
  <c r="EJ24" i="70"/>
  <c r="EI24" i="70"/>
  <c r="EH24" i="70"/>
  <c r="EG24" i="70"/>
  <c r="EF24" i="70"/>
  <c r="EE24" i="70"/>
  <c r="ED24" i="70"/>
  <c r="EC24" i="70"/>
  <c r="DV24" i="70"/>
  <c r="DU24" i="70"/>
  <c r="DT24" i="70"/>
  <c r="DS24" i="70"/>
  <c r="DR24" i="70"/>
  <c r="DQ24" i="70"/>
  <c r="DP24" i="70"/>
  <c r="GC23" i="70"/>
  <c r="GB23" i="70"/>
  <c r="GA23" i="70"/>
  <c r="FZ23" i="70"/>
  <c r="FY23" i="70"/>
  <c r="FX23" i="70"/>
  <c r="FW23" i="70"/>
  <c r="FV23" i="70"/>
  <c r="FT23" i="70"/>
  <c r="FS23" i="70"/>
  <c r="FQ23" i="70"/>
  <c r="FO23" i="70"/>
  <c r="FN23" i="70"/>
  <c r="FM23" i="70"/>
  <c r="FK23" i="70"/>
  <c r="FI23" i="70"/>
  <c r="FH23" i="70"/>
  <c r="FG23" i="70"/>
  <c r="FF23" i="70"/>
  <c r="FE23" i="70"/>
  <c r="FD23" i="70"/>
  <c r="FC23" i="70"/>
  <c r="FB23" i="70"/>
  <c r="FA23" i="70"/>
  <c r="EZ23" i="70"/>
  <c r="EY23" i="70"/>
  <c r="EX23" i="70"/>
  <c r="EW23" i="70"/>
  <c r="EV23" i="70"/>
  <c r="EU23" i="70"/>
  <c r="ET23" i="70"/>
  <c r="ES23" i="70"/>
  <c r="ER23" i="70"/>
  <c r="EQ23" i="70"/>
  <c r="EP23" i="70"/>
  <c r="EO23" i="70"/>
  <c r="EN23" i="70"/>
  <c r="EM23" i="70"/>
  <c r="EL23" i="70"/>
  <c r="EK23" i="70"/>
  <c r="EJ23" i="70"/>
  <c r="EI23" i="70"/>
  <c r="EH23" i="70"/>
  <c r="EG23" i="70"/>
  <c r="EF23" i="70"/>
  <c r="EE23" i="70"/>
  <c r="ED23" i="70"/>
  <c r="EC23" i="70"/>
  <c r="DV23" i="70"/>
  <c r="DU23" i="70"/>
  <c r="DT23" i="70"/>
  <c r="DS23" i="70"/>
  <c r="DR23" i="70"/>
  <c r="DQ23" i="70"/>
  <c r="DP23" i="70"/>
  <c r="GC22" i="70"/>
  <c r="GB22" i="70"/>
  <c r="GA22" i="70"/>
  <c r="FZ22" i="70"/>
  <c r="FY22" i="70"/>
  <c r="FX22" i="70"/>
  <c r="FW22" i="70"/>
  <c r="FV22" i="70"/>
  <c r="FT22" i="70"/>
  <c r="FS22" i="70"/>
  <c r="FQ22" i="70"/>
  <c r="FO22" i="70"/>
  <c r="FN22" i="70"/>
  <c r="FM22" i="70"/>
  <c r="FK22" i="70"/>
  <c r="FI22" i="70"/>
  <c r="FH22" i="70"/>
  <c r="FG22" i="70"/>
  <c r="FF22" i="70"/>
  <c r="FE22" i="70"/>
  <c r="FD22" i="70"/>
  <c r="FC22" i="70"/>
  <c r="FB22" i="70"/>
  <c r="FA22" i="70"/>
  <c r="EZ22" i="70"/>
  <c r="EY22" i="70"/>
  <c r="EX22" i="70"/>
  <c r="EW22" i="70"/>
  <c r="EV22" i="70"/>
  <c r="EU22" i="70"/>
  <c r="ET22" i="70"/>
  <c r="ES22" i="70"/>
  <c r="ER22" i="70"/>
  <c r="EQ22" i="70"/>
  <c r="EP22" i="70"/>
  <c r="EO22" i="70"/>
  <c r="EN22" i="70"/>
  <c r="EM22" i="70"/>
  <c r="EL22" i="70"/>
  <c r="EK22" i="70"/>
  <c r="EJ22" i="70"/>
  <c r="EI22" i="70"/>
  <c r="EH22" i="70"/>
  <c r="EG22" i="70"/>
  <c r="EF22" i="70"/>
  <c r="EE22" i="70"/>
  <c r="ED22" i="70"/>
  <c r="EC22" i="70"/>
  <c r="DV22" i="70"/>
  <c r="DU22" i="70"/>
  <c r="DT22" i="70"/>
  <c r="DS22" i="70"/>
  <c r="DR22" i="70"/>
  <c r="DQ22" i="70"/>
  <c r="DP22" i="70"/>
  <c r="GC21" i="70"/>
  <c r="GB21" i="70"/>
  <c r="GA21" i="70"/>
  <c r="FZ21" i="70"/>
  <c r="FY21" i="70"/>
  <c r="FX21" i="70"/>
  <c r="FW21" i="70"/>
  <c r="FV21" i="70"/>
  <c r="FT21" i="70"/>
  <c r="FS21" i="70"/>
  <c r="FQ21" i="70"/>
  <c r="FO21" i="70"/>
  <c r="FN21" i="70"/>
  <c r="FM21" i="70"/>
  <c r="FK21" i="70"/>
  <c r="FI21" i="70"/>
  <c r="FH21" i="70"/>
  <c r="FG21" i="70"/>
  <c r="FF21" i="70"/>
  <c r="FE21" i="70"/>
  <c r="FD21" i="70"/>
  <c r="FC21" i="70"/>
  <c r="FB21" i="70"/>
  <c r="FA21" i="70"/>
  <c r="EZ21" i="70"/>
  <c r="EY21" i="70"/>
  <c r="EX21" i="70"/>
  <c r="EW21" i="70"/>
  <c r="EV21" i="70"/>
  <c r="EU21" i="70"/>
  <c r="ET21" i="70"/>
  <c r="ES21" i="70"/>
  <c r="ER21" i="70"/>
  <c r="EQ21" i="70"/>
  <c r="EP21" i="70"/>
  <c r="EO21" i="70"/>
  <c r="EN21" i="70"/>
  <c r="EM21" i="70"/>
  <c r="EL21" i="70"/>
  <c r="EK21" i="70"/>
  <c r="EJ21" i="70"/>
  <c r="EI21" i="70"/>
  <c r="EH21" i="70"/>
  <c r="EG21" i="70"/>
  <c r="EF21" i="70"/>
  <c r="EE21" i="70"/>
  <c r="ED21" i="70"/>
  <c r="EC21" i="70"/>
  <c r="DV21" i="70"/>
  <c r="DU21" i="70"/>
  <c r="DT21" i="70"/>
  <c r="DS21" i="70"/>
  <c r="DR21" i="70"/>
  <c r="DQ21" i="70"/>
  <c r="DP21" i="70"/>
  <c r="GC20" i="70"/>
  <c r="GB20" i="70"/>
  <c r="GA20" i="70"/>
  <c r="FZ20" i="70"/>
  <c r="FY20" i="70"/>
  <c r="FX20" i="70"/>
  <c r="FW20" i="70"/>
  <c r="FV20" i="70"/>
  <c r="FT20" i="70"/>
  <c r="FS20" i="70"/>
  <c r="FQ20" i="70"/>
  <c r="FO20" i="70"/>
  <c r="FN20" i="70"/>
  <c r="FM20" i="70"/>
  <c r="FK20" i="70"/>
  <c r="FI20" i="70"/>
  <c r="FH20" i="70"/>
  <c r="FG20" i="70"/>
  <c r="FF20" i="70"/>
  <c r="FE20" i="70"/>
  <c r="FD20" i="70"/>
  <c r="FC20" i="70"/>
  <c r="FB20" i="70"/>
  <c r="FA20" i="70"/>
  <c r="EZ20" i="70"/>
  <c r="EY20" i="70"/>
  <c r="EX20" i="70"/>
  <c r="EW20" i="70"/>
  <c r="EV20" i="70"/>
  <c r="EU20" i="70"/>
  <c r="ET20" i="70"/>
  <c r="ES20" i="70"/>
  <c r="ER20" i="70"/>
  <c r="EQ20" i="70"/>
  <c r="EP20" i="70"/>
  <c r="EO20" i="70"/>
  <c r="EN20" i="70"/>
  <c r="EM20" i="70"/>
  <c r="EL20" i="70"/>
  <c r="EK20" i="70"/>
  <c r="EJ20" i="70"/>
  <c r="EI20" i="70"/>
  <c r="EH20" i="70"/>
  <c r="EG20" i="70"/>
  <c r="EF20" i="70"/>
  <c r="EE20" i="70"/>
  <c r="ED20" i="70"/>
  <c r="EC20" i="70"/>
  <c r="DV20" i="70"/>
  <c r="DU20" i="70"/>
  <c r="DT20" i="70"/>
  <c r="DS20" i="70"/>
  <c r="DR20" i="70"/>
  <c r="DQ20" i="70"/>
  <c r="DP20" i="70"/>
  <c r="GC19" i="70"/>
  <c r="GB19" i="70"/>
  <c r="GA19" i="70"/>
  <c r="FZ19" i="70"/>
  <c r="FY19" i="70"/>
  <c r="FX19" i="70"/>
  <c r="FW19" i="70"/>
  <c r="FV19" i="70"/>
  <c r="FT19" i="70"/>
  <c r="FS19" i="70"/>
  <c r="FQ19" i="70"/>
  <c r="FO19" i="70"/>
  <c r="FN19" i="70"/>
  <c r="FM19" i="70"/>
  <c r="FK19" i="70"/>
  <c r="FI19" i="70"/>
  <c r="FH19" i="70"/>
  <c r="FG19" i="70"/>
  <c r="FF19" i="70"/>
  <c r="FE19" i="70"/>
  <c r="FD19" i="70"/>
  <c r="FC19" i="70"/>
  <c r="FB19" i="70"/>
  <c r="FA19" i="70"/>
  <c r="EZ19" i="70"/>
  <c r="EY19" i="70"/>
  <c r="EX19" i="70"/>
  <c r="EW19" i="70"/>
  <c r="EV19" i="70"/>
  <c r="EU19" i="70"/>
  <c r="ET19" i="70"/>
  <c r="ES19" i="70"/>
  <c r="ER19" i="70"/>
  <c r="EQ19" i="70"/>
  <c r="EP19" i="70"/>
  <c r="EO19" i="70"/>
  <c r="EN19" i="70"/>
  <c r="EM19" i="70"/>
  <c r="EL19" i="70"/>
  <c r="EK19" i="70"/>
  <c r="EJ19" i="70"/>
  <c r="EI19" i="70"/>
  <c r="EH19" i="70"/>
  <c r="EG19" i="70"/>
  <c r="EF19" i="70"/>
  <c r="EE19" i="70"/>
  <c r="ED19" i="70"/>
  <c r="EC19" i="70"/>
  <c r="DV19" i="70"/>
  <c r="DU19" i="70"/>
  <c r="DT19" i="70"/>
  <c r="DS19" i="70"/>
  <c r="DR19" i="70"/>
  <c r="DQ19" i="70"/>
  <c r="DP19" i="70"/>
  <c r="GC18" i="70"/>
  <c r="GB18" i="70"/>
  <c r="GA18" i="70"/>
  <c r="FZ18" i="70"/>
  <c r="FY18" i="70"/>
  <c r="FX18" i="70"/>
  <c r="FW18" i="70"/>
  <c r="FV18" i="70"/>
  <c r="FT18" i="70"/>
  <c r="FS18" i="70"/>
  <c r="FQ18" i="70"/>
  <c r="FO18" i="70"/>
  <c r="FN18" i="70"/>
  <c r="FM18" i="70"/>
  <c r="FK18" i="70"/>
  <c r="FI18" i="70"/>
  <c r="FH18" i="70"/>
  <c r="FG18" i="70"/>
  <c r="FF18" i="70"/>
  <c r="FE18" i="70"/>
  <c r="FD18" i="70"/>
  <c r="FC18" i="70"/>
  <c r="FB18" i="70"/>
  <c r="FA18" i="70"/>
  <c r="EZ18" i="70"/>
  <c r="EY18" i="70"/>
  <c r="EX18" i="70"/>
  <c r="EW18" i="70"/>
  <c r="EV18" i="70"/>
  <c r="EU18" i="70"/>
  <c r="ET18" i="70"/>
  <c r="ES18" i="70"/>
  <c r="ER18" i="70"/>
  <c r="EQ18" i="70"/>
  <c r="EP18" i="70"/>
  <c r="EO18" i="70"/>
  <c r="EN18" i="70"/>
  <c r="EM18" i="70"/>
  <c r="EL18" i="70"/>
  <c r="EK18" i="70"/>
  <c r="EJ18" i="70"/>
  <c r="EI18" i="70"/>
  <c r="EH18" i="70"/>
  <c r="EG18" i="70"/>
  <c r="EF18" i="70"/>
  <c r="EE18" i="70"/>
  <c r="ED18" i="70"/>
  <c r="EC18" i="70"/>
  <c r="DV18" i="70"/>
  <c r="DU18" i="70"/>
  <c r="DT18" i="70"/>
  <c r="DS18" i="70"/>
  <c r="DR18" i="70"/>
  <c r="DQ18" i="70"/>
  <c r="DP18" i="70"/>
  <c r="GC17" i="70"/>
  <c r="GB17" i="70"/>
  <c r="GA17" i="70"/>
  <c r="FZ17" i="70"/>
  <c r="FY17" i="70"/>
  <c r="FX17" i="70"/>
  <c r="FW17" i="70"/>
  <c r="FV17" i="70"/>
  <c r="FT17" i="70"/>
  <c r="FS17" i="70"/>
  <c r="FQ17" i="70"/>
  <c r="FO17" i="70"/>
  <c r="FN17" i="70"/>
  <c r="FM17" i="70"/>
  <c r="FK17" i="70"/>
  <c r="FI17" i="70"/>
  <c r="FH17" i="70"/>
  <c r="FG17" i="70"/>
  <c r="FF17" i="70"/>
  <c r="FE17" i="70"/>
  <c r="FD17" i="70"/>
  <c r="FC17" i="70"/>
  <c r="FB17" i="70"/>
  <c r="FA17" i="70"/>
  <c r="EZ17" i="70"/>
  <c r="EY17" i="70"/>
  <c r="EX17" i="70"/>
  <c r="EW17" i="70"/>
  <c r="EV17" i="70"/>
  <c r="EU17" i="70"/>
  <c r="ET17" i="70"/>
  <c r="ES17" i="70"/>
  <c r="ER17" i="70"/>
  <c r="EQ17" i="70"/>
  <c r="EP17" i="70"/>
  <c r="EO17" i="70"/>
  <c r="EN17" i="70"/>
  <c r="EM17" i="70"/>
  <c r="EL17" i="70"/>
  <c r="EK17" i="70"/>
  <c r="EJ17" i="70"/>
  <c r="EI17" i="70"/>
  <c r="EH17" i="70"/>
  <c r="EG17" i="70"/>
  <c r="EF17" i="70"/>
  <c r="EE17" i="70"/>
  <c r="ED17" i="70"/>
  <c r="EC17" i="70"/>
  <c r="DV17" i="70"/>
  <c r="DU17" i="70"/>
  <c r="DT17" i="70"/>
  <c r="DS17" i="70"/>
  <c r="DR17" i="70"/>
  <c r="DQ17" i="70"/>
  <c r="DP17" i="70"/>
  <c r="GC16" i="70"/>
  <c r="GB16" i="70"/>
  <c r="GA16" i="70"/>
  <c r="FZ16" i="70"/>
  <c r="FY16" i="70"/>
  <c r="FX16" i="70"/>
  <c r="FW16" i="70"/>
  <c r="FV16" i="70"/>
  <c r="FT16" i="70"/>
  <c r="FS16" i="70"/>
  <c r="FQ16" i="70"/>
  <c r="FO16" i="70"/>
  <c r="FN16" i="70"/>
  <c r="FM16" i="70"/>
  <c r="FK16" i="70"/>
  <c r="FI16" i="70"/>
  <c r="FH16" i="70"/>
  <c r="FG16" i="70"/>
  <c r="FF16" i="70"/>
  <c r="FE16" i="70"/>
  <c r="FD16" i="70"/>
  <c r="FC16" i="70"/>
  <c r="FB16" i="70"/>
  <c r="FA16" i="70"/>
  <c r="EZ16" i="70"/>
  <c r="EY16" i="70"/>
  <c r="EX16" i="70"/>
  <c r="EW16" i="70"/>
  <c r="EV16" i="70"/>
  <c r="EU16" i="70"/>
  <c r="ET16" i="70"/>
  <c r="ES16" i="70"/>
  <c r="ER16" i="70"/>
  <c r="EQ16" i="70"/>
  <c r="EP16" i="70"/>
  <c r="EO16" i="70"/>
  <c r="EN16" i="70"/>
  <c r="EM16" i="70"/>
  <c r="EL16" i="70"/>
  <c r="EK16" i="70"/>
  <c r="EJ16" i="70"/>
  <c r="EI16" i="70"/>
  <c r="EH16" i="70"/>
  <c r="EG16" i="70"/>
  <c r="EF16" i="70"/>
  <c r="EE16" i="70"/>
  <c r="ED16" i="70"/>
  <c r="EC16" i="70"/>
  <c r="DV16" i="70"/>
  <c r="DU16" i="70"/>
  <c r="DT16" i="70"/>
  <c r="DS16" i="70"/>
  <c r="DR16" i="70"/>
  <c r="DQ16" i="70"/>
  <c r="DP16" i="70"/>
  <c r="GC15" i="70"/>
  <c r="GB15" i="70"/>
  <c r="GA15" i="70"/>
  <c r="FZ15" i="70"/>
  <c r="FY15" i="70"/>
  <c r="FX15" i="70"/>
  <c r="FW15" i="70"/>
  <c r="FV15" i="70"/>
  <c r="FT15" i="70"/>
  <c r="FS15" i="70"/>
  <c r="FQ15" i="70"/>
  <c r="FO15" i="70"/>
  <c r="FN15" i="70"/>
  <c r="FM15" i="70"/>
  <c r="FK15" i="70"/>
  <c r="FI15" i="70"/>
  <c r="FH15" i="70"/>
  <c r="FG15" i="70"/>
  <c r="FF15" i="70"/>
  <c r="FE15" i="70"/>
  <c r="FD15" i="70"/>
  <c r="FC15" i="70"/>
  <c r="FB15" i="70"/>
  <c r="FA15" i="70"/>
  <c r="EZ15" i="70"/>
  <c r="EY15" i="70"/>
  <c r="EX15" i="70"/>
  <c r="EW15" i="70"/>
  <c r="EV15" i="70"/>
  <c r="EU15" i="70"/>
  <c r="ET15" i="70"/>
  <c r="ES15" i="70"/>
  <c r="ER15" i="70"/>
  <c r="EQ15" i="70"/>
  <c r="EP15" i="70"/>
  <c r="EO15" i="70"/>
  <c r="EN15" i="70"/>
  <c r="EM15" i="70"/>
  <c r="EL15" i="70"/>
  <c r="EK15" i="70"/>
  <c r="EJ15" i="70"/>
  <c r="EI15" i="70"/>
  <c r="EH15" i="70"/>
  <c r="EG15" i="70"/>
  <c r="EF15" i="70"/>
  <c r="EE15" i="70"/>
  <c r="ED15" i="70"/>
  <c r="EC15" i="70"/>
  <c r="DV15" i="70"/>
  <c r="DU15" i="70"/>
  <c r="DT15" i="70"/>
  <c r="DS15" i="70"/>
  <c r="DR15" i="70"/>
  <c r="DQ15" i="70"/>
  <c r="DP15" i="70"/>
  <c r="GC14" i="70"/>
  <c r="GB14" i="70"/>
  <c r="GA14" i="70"/>
  <c r="FZ14" i="70"/>
  <c r="FY14" i="70"/>
  <c r="FX14" i="70"/>
  <c r="FW14" i="70"/>
  <c r="FV14" i="70"/>
  <c r="FT14" i="70"/>
  <c r="FS14" i="70"/>
  <c r="FQ14" i="70"/>
  <c r="FO14" i="70"/>
  <c r="FN14" i="70"/>
  <c r="FM14" i="70"/>
  <c r="FK14" i="70"/>
  <c r="FI14" i="70"/>
  <c r="FH14" i="70"/>
  <c r="FG14" i="70"/>
  <c r="FF14" i="70"/>
  <c r="FE14" i="70"/>
  <c r="FD14" i="70"/>
  <c r="FC14" i="70"/>
  <c r="FB14" i="70"/>
  <c r="FA14" i="70"/>
  <c r="EZ14" i="70"/>
  <c r="EY14" i="70"/>
  <c r="EX14" i="70"/>
  <c r="EW14" i="70"/>
  <c r="EV14" i="70"/>
  <c r="EU14" i="70"/>
  <c r="ET14" i="70"/>
  <c r="ES14" i="70"/>
  <c r="ER14" i="70"/>
  <c r="EQ14" i="70"/>
  <c r="EP14" i="70"/>
  <c r="EO14" i="70"/>
  <c r="EN14" i="70"/>
  <c r="EM14" i="70"/>
  <c r="EL14" i="70"/>
  <c r="EK14" i="70"/>
  <c r="EJ14" i="70"/>
  <c r="EI14" i="70"/>
  <c r="EH14" i="70"/>
  <c r="EG14" i="70"/>
  <c r="EF14" i="70"/>
  <c r="EE14" i="70"/>
  <c r="ED14" i="70"/>
  <c r="EC14" i="70"/>
  <c r="DV14" i="70"/>
  <c r="DU14" i="70"/>
  <c r="DT14" i="70"/>
  <c r="DS14" i="70"/>
  <c r="DR14" i="70"/>
  <c r="DQ14" i="70"/>
  <c r="DP14" i="70"/>
  <c r="GC13" i="70"/>
  <c r="GB13" i="70"/>
  <c r="GA13" i="70"/>
  <c r="FZ13" i="70"/>
  <c r="FY13" i="70"/>
  <c r="FX13" i="70"/>
  <c r="FW13" i="70"/>
  <c r="FV13" i="70"/>
  <c r="FT13" i="70"/>
  <c r="FS13" i="70"/>
  <c r="FQ13" i="70"/>
  <c r="FO13" i="70"/>
  <c r="FN13" i="70"/>
  <c r="FM13" i="70"/>
  <c r="FK13" i="70"/>
  <c r="FI13" i="70"/>
  <c r="FH13" i="70"/>
  <c r="FG13" i="70"/>
  <c r="FF13" i="70"/>
  <c r="FE13" i="70"/>
  <c r="FD13" i="70"/>
  <c r="FC13" i="70"/>
  <c r="FB13" i="70"/>
  <c r="FA13" i="70"/>
  <c r="EZ13" i="70"/>
  <c r="EY13" i="70"/>
  <c r="EX13" i="70"/>
  <c r="EW13" i="70"/>
  <c r="EV13" i="70"/>
  <c r="EU13" i="70"/>
  <c r="ET13" i="70"/>
  <c r="ES13" i="70"/>
  <c r="ER13" i="70"/>
  <c r="EQ13" i="70"/>
  <c r="EP13" i="70"/>
  <c r="EO13" i="70"/>
  <c r="EN13" i="70"/>
  <c r="EM13" i="70"/>
  <c r="EL13" i="70"/>
  <c r="EK13" i="70"/>
  <c r="EJ13" i="70"/>
  <c r="EI13" i="70"/>
  <c r="EH13" i="70"/>
  <c r="EG13" i="70"/>
  <c r="EF13" i="70"/>
  <c r="EE13" i="70"/>
  <c r="ED13" i="70"/>
  <c r="EC13" i="70"/>
  <c r="DV13" i="70"/>
  <c r="DU13" i="70"/>
  <c r="DT13" i="70"/>
  <c r="DS13" i="70"/>
  <c r="DR13" i="70"/>
  <c r="DQ13" i="70"/>
  <c r="DP13" i="70"/>
  <c r="GC12" i="70"/>
  <c r="GB12" i="70"/>
  <c r="GA12" i="70"/>
  <c r="FZ12" i="70"/>
  <c r="FY12" i="70"/>
  <c r="FX12" i="70"/>
  <c r="FW12" i="70"/>
  <c r="FV12" i="70"/>
  <c r="FT12" i="70"/>
  <c r="FS12" i="70"/>
  <c r="FQ12" i="70"/>
  <c r="FO12" i="70"/>
  <c r="FN12" i="70"/>
  <c r="FM12" i="70"/>
  <c r="FK12" i="70"/>
  <c r="FI12" i="70"/>
  <c r="FH12" i="70"/>
  <c r="FG12" i="70"/>
  <c r="FF12" i="70"/>
  <c r="FE12" i="70"/>
  <c r="FD12" i="70"/>
  <c r="FC12" i="70"/>
  <c r="FB12" i="70"/>
  <c r="FA12" i="70"/>
  <c r="EZ12" i="70"/>
  <c r="EY12" i="70"/>
  <c r="EX12" i="70"/>
  <c r="EW12" i="70"/>
  <c r="EV12" i="70"/>
  <c r="EU12" i="70"/>
  <c r="ET12" i="70"/>
  <c r="ES12" i="70"/>
  <c r="ER12" i="70"/>
  <c r="EQ12" i="70"/>
  <c r="EP12" i="70"/>
  <c r="EO12" i="70"/>
  <c r="EN12" i="70"/>
  <c r="EM12" i="70"/>
  <c r="EL12" i="70"/>
  <c r="EK12" i="70"/>
  <c r="EJ12" i="70"/>
  <c r="EI12" i="70"/>
  <c r="EH12" i="70"/>
  <c r="EG12" i="70"/>
  <c r="EF12" i="70"/>
  <c r="EE12" i="70"/>
  <c r="ED12" i="70"/>
  <c r="EC12" i="70"/>
  <c r="DV12" i="70"/>
  <c r="DU12" i="70"/>
  <c r="DT12" i="70"/>
  <c r="DS12" i="70"/>
  <c r="DR12" i="70"/>
  <c r="DQ12" i="70"/>
  <c r="DP12" i="70"/>
  <c r="GC11" i="70"/>
  <c r="GB11" i="70"/>
  <c r="GA11" i="70"/>
  <c r="FZ11" i="70"/>
  <c r="FY11" i="70"/>
  <c r="FX11" i="70"/>
  <c r="FW11" i="70"/>
  <c r="FV11" i="70"/>
  <c r="FT11" i="70"/>
  <c r="FS11" i="70"/>
  <c r="FQ11" i="70"/>
  <c r="FO11" i="70"/>
  <c r="FN11" i="70"/>
  <c r="FM11" i="70"/>
  <c r="FK11" i="70"/>
  <c r="FI11" i="70"/>
  <c r="FH11" i="70"/>
  <c r="FG11" i="70"/>
  <c r="FF11" i="70"/>
  <c r="FE11" i="70"/>
  <c r="FD11" i="70"/>
  <c r="FC11" i="70"/>
  <c r="FB11" i="70"/>
  <c r="FA11" i="70"/>
  <c r="EZ11" i="70"/>
  <c r="EY11" i="70"/>
  <c r="EX11" i="70"/>
  <c r="EW11" i="70"/>
  <c r="EV11" i="70"/>
  <c r="EU11" i="70"/>
  <c r="ET11" i="70"/>
  <c r="ES11" i="70"/>
  <c r="ER11" i="70"/>
  <c r="EQ11" i="70"/>
  <c r="EP11" i="70"/>
  <c r="EO11" i="70"/>
  <c r="EN11" i="70"/>
  <c r="EM11" i="70"/>
  <c r="EL11" i="70"/>
  <c r="EK11" i="70"/>
  <c r="EJ11" i="70"/>
  <c r="EI11" i="70"/>
  <c r="EH11" i="70"/>
  <c r="EG11" i="70"/>
  <c r="EF11" i="70"/>
  <c r="EE11" i="70"/>
  <c r="ED11" i="70"/>
  <c r="EC11" i="70"/>
  <c r="DV11" i="70"/>
  <c r="DU11" i="70"/>
  <c r="DT11" i="70"/>
  <c r="DS11" i="70"/>
  <c r="DR11" i="70"/>
  <c r="DQ11" i="70"/>
  <c r="DP11" i="70"/>
  <c r="GC10" i="70"/>
  <c r="GB10" i="70"/>
  <c r="GA10" i="70"/>
  <c r="FZ10" i="70"/>
  <c r="FY10" i="70"/>
  <c r="FX10" i="70"/>
  <c r="FW10" i="70"/>
  <c r="FV10" i="70"/>
  <c r="FT10" i="70"/>
  <c r="FS10" i="70"/>
  <c r="FQ10" i="70"/>
  <c r="FO10" i="70"/>
  <c r="FN10" i="70"/>
  <c r="FM10" i="70"/>
  <c r="FK10" i="70"/>
  <c r="FI10" i="70"/>
  <c r="FH10" i="70"/>
  <c r="FG10" i="70"/>
  <c r="FF10" i="70"/>
  <c r="FE10" i="70"/>
  <c r="FD10" i="70"/>
  <c r="FC10" i="70"/>
  <c r="FB10" i="70"/>
  <c r="FA10" i="70"/>
  <c r="EZ10" i="70"/>
  <c r="EY10" i="70"/>
  <c r="EX10" i="70"/>
  <c r="EW10" i="70"/>
  <c r="EV10" i="70"/>
  <c r="EU10" i="70"/>
  <c r="ET10" i="70"/>
  <c r="ES10" i="70"/>
  <c r="ER10" i="70"/>
  <c r="EQ10" i="70"/>
  <c r="EP10" i="70"/>
  <c r="EO10" i="70"/>
  <c r="EN10" i="70"/>
  <c r="EM10" i="70"/>
  <c r="EL10" i="70"/>
  <c r="EK10" i="70"/>
  <c r="EJ10" i="70"/>
  <c r="EI10" i="70"/>
  <c r="EH10" i="70"/>
  <c r="EG10" i="70"/>
  <c r="EF10" i="70"/>
  <c r="EE10" i="70"/>
  <c r="ED10" i="70"/>
  <c r="EC10" i="70"/>
  <c r="DV10" i="70"/>
  <c r="DU10" i="70"/>
  <c r="DT10" i="70"/>
  <c r="DS10" i="70"/>
  <c r="DR10" i="70"/>
  <c r="DQ10" i="70"/>
  <c r="DP10" i="70"/>
  <c r="GC9" i="70"/>
  <c r="GB9" i="70"/>
  <c r="GA9" i="70"/>
  <c r="FZ9" i="70"/>
  <c r="FY9" i="70"/>
  <c r="FX9" i="70"/>
  <c r="FW9" i="70"/>
  <c r="FV9" i="70"/>
  <c r="FT9" i="70"/>
  <c r="FS9" i="70"/>
  <c r="FQ9" i="70"/>
  <c r="FO9" i="70"/>
  <c r="FN9" i="70"/>
  <c r="FM9" i="70"/>
  <c r="FL9" i="70"/>
  <c r="FK9" i="70"/>
  <c r="FJ9" i="70"/>
  <c r="FI9" i="70"/>
  <c r="FH9" i="70"/>
  <c r="FG9" i="70"/>
  <c r="FF9" i="70"/>
  <c r="FE9" i="70"/>
  <c r="FD9" i="70"/>
  <c r="FC9" i="70"/>
  <c r="FB9" i="70"/>
  <c r="FA9" i="70"/>
  <c r="EZ9" i="70"/>
  <c r="EY9" i="70"/>
  <c r="EX9" i="70"/>
  <c r="EW9" i="70"/>
  <c r="EV9" i="70"/>
  <c r="EU9" i="70"/>
  <c r="ET9" i="70"/>
  <c r="ES9" i="70"/>
  <c r="ER9" i="70"/>
  <c r="EQ9" i="70"/>
  <c r="EP9" i="70"/>
  <c r="EO9" i="70"/>
  <c r="EN9" i="70"/>
  <c r="EM9" i="70"/>
  <c r="EL9" i="70"/>
  <c r="EK9" i="70"/>
  <c r="EJ9" i="70"/>
  <c r="EI9" i="70"/>
  <c r="EH9" i="70"/>
  <c r="EG9" i="70"/>
  <c r="EF9" i="70"/>
  <c r="EE9" i="70"/>
  <c r="ED9" i="70"/>
  <c r="EC9" i="70"/>
  <c r="DV9" i="70"/>
  <c r="DU9" i="70"/>
  <c r="DT9" i="70"/>
  <c r="DS9" i="70"/>
  <c r="DR9" i="70"/>
  <c r="DQ9" i="70"/>
  <c r="DP9" i="70"/>
  <c r="FE7" i="70"/>
  <c r="EJ7" i="70"/>
  <c r="EH7" i="70"/>
  <c r="EB7" i="70"/>
  <c r="EA7" i="70"/>
  <c r="DZ7" i="70"/>
  <c r="DV7" i="70"/>
  <c r="DT7" i="70"/>
  <c r="EB40" i="63"/>
  <c r="EA40" i="63"/>
  <c r="DZ40" i="63"/>
  <c r="DY40" i="63"/>
  <c r="DX40" i="63"/>
  <c r="DW40" i="63"/>
  <c r="DV38" i="63"/>
  <c r="DU38" i="63"/>
  <c r="DT38" i="63"/>
  <c r="DS38" i="63"/>
  <c r="DR38" i="63"/>
  <c r="DQ38" i="63"/>
  <c r="DP38" i="63"/>
  <c r="DV37" i="63"/>
  <c r="DU37" i="63"/>
  <c r="DT37" i="63"/>
  <c r="DS37" i="63"/>
  <c r="DR37" i="63"/>
  <c r="DQ37" i="63"/>
  <c r="DP37" i="63"/>
  <c r="GC36" i="63"/>
  <c r="GB36" i="63"/>
  <c r="GA36" i="63"/>
  <c r="FZ36" i="63"/>
  <c r="FY36" i="63"/>
  <c r="FX36" i="63"/>
  <c r="FW36" i="63"/>
  <c r="FV36" i="63"/>
  <c r="FT36" i="63"/>
  <c r="FS36" i="63"/>
  <c r="FR36" i="63"/>
  <c r="FQ36" i="63"/>
  <c r="FP36" i="63"/>
  <c r="FO36" i="63"/>
  <c r="FN36" i="63"/>
  <c r="FM36" i="63"/>
  <c r="FK36" i="63"/>
  <c r="FI36" i="63"/>
  <c r="FH36" i="63"/>
  <c r="FG36" i="63"/>
  <c r="FF36" i="63"/>
  <c r="FE36" i="63"/>
  <c r="FD36" i="63"/>
  <c r="FC36" i="63"/>
  <c r="FB36" i="63"/>
  <c r="FA36" i="63"/>
  <c r="EZ36" i="63"/>
  <c r="EY36" i="63"/>
  <c r="EX36" i="63"/>
  <c r="EW36" i="63"/>
  <c r="EV36" i="63"/>
  <c r="EU36" i="63"/>
  <c r="ET36" i="63"/>
  <c r="ES36" i="63"/>
  <c r="ER36" i="63"/>
  <c r="EQ36" i="63"/>
  <c r="EP36" i="63"/>
  <c r="EO36" i="63"/>
  <c r="EN36" i="63"/>
  <c r="EM36" i="63"/>
  <c r="EL36" i="63"/>
  <c r="EK36" i="63"/>
  <c r="EJ36" i="63"/>
  <c r="EI36" i="63"/>
  <c r="EH36" i="63"/>
  <c r="EG36" i="63"/>
  <c r="EF36" i="63"/>
  <c r="EE36" i="63"/>
  <c r="ED36" i="63"/>
  <c r="EC36" i="63"/>
  <c r="DV36" i="63"/>
  <c r="DU36" i="63"/>
  <c r="DT36" i="63"/>
  <c r="DS36" i="63"/>
  <c r="DR36" i="63"/>
  <c r="DQ36" i="63"/>
  <c r="DP36" i="63"/>
  <c r="GC35" i="63"/>
  <c r="GB35" i="63"/>
  <c r="GA35" i="63"/>
  <c r="FZ35" i="63"/>
  <c r="FY35" i="63"/>
  <c r="FX35" i="63"/>
  <c r="FW35" i="63"/>
  <c r="FV35" i="63"/>
  <c r="FT35" i="63"/>
  <c r="FS35" i="63"/>
  <c r="FR35" i="63"/>
  <c r="FQ35" i="63"/>
  <c r="FP35" i="63"/>
  <c r="FO35" i="63"/>
  <c r="FN35" i="63"/>
  <c r="FM35" i="63"/>
  <c r="FK35" i="63"/>
  <c r="FI35" i="63"/>
  <c r="FH35" i="63"/>
  <c r="FG35" i="63"/>
  <c r="FF35" i="63"/>
  <c r="FE35" i="63"/>
  <c r="FD35" i="63"/>
  <c r="FC35" i="63"/>
  <c r="FB35" i="63"/>
  <c r="FA35" i="63"/>
  <c r="EZ35" i="63"/>
  <c r="EY35" i="63"/>
  <c r="EX35" i="63"/>
  <c r="EW35" i="63"/>
  <c r="EV35" i="63"/>
  <c r="EU35" i="63"/>
  <c r="ET35" i="63"/>
  <c r="ES35" i="63"/>
  <c r="ER35" i="63"/>
  <c r="EQ35" i="63"/>
  <c r="EP35" i="63"/>
  <c r="EO35" i="63"/>
  <c r="EN35" i="63"/>
  <c r="EM35" i="63"/>
  <c r="EL35" i="63"/>
  <c r="EK35" i="63"/>
  <c r="EJ35" i="63"/>
  <c r="EI35" i="63"/>
  <c r="EH35" i="63"/>
  <c r="EG35" i="63"/>
  <c r="EF35" i="63"/>
  <c r="EE35" i="63"/>
  <c r="ED35" i="63"/>
  <c r="EC35" i="63"/>
  <c r="DV35" i="63"/>
  <c r="DU35" i="63"/>
  <c r="DT35" i="63"/>
  <c r="DS35" i="63"/>
  <c r="DR35" i="63"/>
  <c r="DQ35" i="63"/>
  <c r="DP35" i="63"/>
  <c r="GC34" i="63"/>
  <c r="GB34" i="63"/>
  <c r="GA34" i="63"/>
  <c r="FZ34" i="63"/>
  <c r="FY34" i="63"/>
  <c r="FX34" i="63"/>
  <c r="FW34" i="63"/>
  <c r="FV34" i="63"/>
  <c r="FT34" i="63"/>
  <c r="FS34" i="63"/>
  <c r="FR34" i="63"/>
  <c r="FQ34" i="63"/>
  <c r="FP34" i="63"/>
  <c r="FO34" i="63"/>
  <c r="FN34" i="63"/>
  <c r="FM34" i="63"/>
  <c r="FK34" i="63"/>
  <c r="FI34" i="63"/>
  <c r="FH34" i="63"/>
  <c r="FG34" i="63"/>
  <c r="FF34" i="63"/>
  <c r="FE34" i="63"/>
  <c r="FD34" i="63"/>
  <c r="FC34" i="63"/>
  <c r="FB34" i="63"/>
  <c r="FA34" i="63"/>
  <c r="EZ34" i="63"/>
  <c r="EY34" i="63"/>
  <c r="EX34" i="63"/>
  <c r="EW34" i="63"/>
  <c r="EV34" i="63"/>
  <c r="EU34" i="63"/>
  <c r="ET34" i="63"/>
  <c r="ES34" i="63"/>
  <c r="ER34" i="63"/>
  <c r="EQ34" i="63"/>
  <c r="EP34" i="63"/>
  <c r="EO34" i="63"/>
  <c r="EN34" i="63"/>
  <c r="EM34" i="63"/>
  <c r="EL34" i="63"/>
  <c r="EK34" i="63"/>
  <c r="EJ34" i="63"/>
  <c r="EI34" i="63"/>
  <c r="EH34" i="63"/>
  <c r="EG34" i="63"/>
  <c r="EF34" i="63"/>
  <c r="EE34" i="63"/>
  <c r="ED34" i="63"/>
  <c r="EC34" i="63"/>
  <c r="DV34" i="63"/>
  <c r="DU34" i="63"/>
  <c r="DT34" i="63"/>
  <c r="DS34" i="63"/>
  <c r="DR34" i="63"/>
  <c r="DQ34" i="63"/>
  <c r="DP34" i="63"/>
  <c r="GC33" i="63"/>
  <c r="GB33" i="63"/>
  <c r="GA33" i="63"/>
  <c r="FZ33" i="63"/>
  <c r="FY33" i="63"/>
  <c r="FX33" i="63"/>
  <c r="FW33" i="63"/>
  <c r="FV33" i="63"/>
  <c r="FT33" i="63"/>
  <c r="FS33" i="63"/>
  <c r="FR33" i="63"/>
  <c r="FQ33" i="63"/>
  <c r="FP33" i="63"/>
  <c r="FO33" i="63"/>
  <c r="FN33" i="63"/>
  <c r="FM33" i="63"/>
  <c r="FK33" i="63"/>
  <c r="FI33" i="63"/>
  <c r="FH33" i="63"/>
  <c r="FG33" i="63"/>
  <c r="FF33" i="63"/>
  <c r="FE33" i="63"/>
  <c r="FD33" i="63"/>
  <c r="FC33" i="63"/>
  <c r="FB33" i="63"/>
  <c r="FA33" i="63"/>
  <c r="EZ33" i="63"/>
  <c r="EY33" i="63"/>
  <c r="EX33" i="63"/>
  <c r="EW33" i="63"/>
  <c r="EV33" i="63"/>
  <c r="EU33" i="63"/>
  <c r="ET33" i="63"/>
  <c r="ES33" i="63"/>
  <c r="ER33" i="63"/>
  <c r="EQ33" i="63"/>
  <c r="EP33" i="63"/>
  <c r="EO33" i="63"/>
  <c r="EN33" i="63"/>
  <c r="EM33" i="63"/>
  <c r="EL33" i="63"/>
  <c r="EK33" i="63"/>
  <c r="EJ33" i="63"/>
  <c r="EI33" i="63"/>
  <c r="EH33" i="63"/>
  <c r="EG33" i="63"/>
  <c r="EF33" i="63"/>
  <c r="EE33" i="63"/>
  <c r="ED33" i="63"/>
  <c r="EC33" i="63"/>
  <c r="DV33" i="63"/>
  <c r="DU33" i="63"/>
  <c r="DT33" i="63"/>
  <c r="DS33" i="63"/>
  <c r="DR33" i="63"/>
  <c r="DQ33" i="63"/>
  <c r="DP33" i="63"/>
  <c r="GC32" i="63"/>
  <c r="GB32" i="63"/>
  <c r="GA32" i="63"/>
  <c r="FZ32" i="63"/>
  <c r="FY32" i="63"/>
  <c r="FX32" i="63"/>
  <c r="FW32" i="63"/>
  <c r="FV32" i="63"/>
  <c r="FT32" i="63"/>
  <c r="FS32" i="63"/>
  <c r="FR32" i="63"/>
  <c r="FQ32" i="63"/>
  <c r="FP32" i="63"/>
  <c r="FO32" i="63"/>
  <c r="FN32" i="63"/>
  <c r="FM32" i="63"/>
  <c r="FK32" i="63"/>
  <c r="FI32" i="63"/>
  <c r="FH32" i="63"/>
  <c r="FG32" i="63"/>
  <c r="FF32" i="63"/>
  <c r="FE32" i="63"/>
  <c r="FD32" i="63"/>
  <c r="FC32" i="63"/>
  <c r="FB32" i="63"/>
  <c r="FA32" i="63"/>
  <c r="EZ32" i="63"/>
  <c r="EY32" i="63"/>
  <c r="EX32" i="63"/>
  <c r="EW32" i="63"/>
  <c r="EV32" i="63"/>
  <c r="EU32" i="63"/>
  <c r="ET32" i="63"/>
  <c r="ES32" i="63"/>
  <c r="ER32" i="63"/>
  <c r="EQ32" i="63"/>
  <c r="EP32" i="63"/>
  <c r="EO32" i="63"/>
  <c r="EN32" i="63"/>
  <c r="EM32" i="63"/>
  <c r="EL32" i="63"/>
  <c r="EK32" i="63"/>
  <c r="EJ32" i="63"/>
  <c r="EI32" i="63"/>
  <c r="EH32" i="63"/>
  <c r="EG32" i="63"/>
  <c r="EF32" i="63"/>
  <c r="EE32" i="63"/>
  <c r="ED32" i="63"/>
  <c r="EC32" i="63"/>
  <c r="DV32" i="63"/>
  <c r="DU32" i="63"/>
  <c r="DT32" i="63"/>
  <c r="DS32" i="63"/>
  <c r="DR32" i="63"/>
  <c r="DQ32" i="63"/>
  <c r="DP32" i="63"/>
  <c r="GC31" i="63"/>
  <c r="GB31" i="63"/>
  <c r="GA31" i="63"/>
  <c r="FZ31" i="63"/>
  <c r="FY31" i="63"/>
  <c r="FX31" i="63"/>
  <c r="FW31" i="63"/>
  <c r="FV31" i="63"/>
  <c r="FT31" i="63"/>
  <c r="FS31" i="63"/>
  <c r="FQ31" i="63"/>
  <c r="FO31" i="63"/>
  <c r="FN31" i="63"/>
  <c r="FM31" i="63"/>
  <c r="FK31" i="63"/>
  <c r="FI31" i="63"/>
  <c r="FH31" i="63"/>
  <c r="FG31" i="63"/>
  <c r="FF31" i="63"/>
  <c r="FE31" i="63"/>
  <c r="FD31" i="63"/>
  <c r="FC31" i="63"/>
  <c r="FB31" i="63"/>
  <c r="FA31" i="63"/>
  <c r="EZ31" i="63"/>
  <c r="EY31" i="63"/>
  <c r="EX31" i="63"/>
  <c r="EW31" i="63"/>
  <c r="EV31" i="63"/>
  <c r="EU31" i="63"/>
  <c r="ET31" i="63"/>
  <c r="ES31" i="63"/>
  <c r="ER31" i="63"/>
  <c r="EQ31" i="63"/>
  <c r="EP31" i="63"/>
  <c r="EO31" i="63"/>
  <c r="EN31" i="63"/>
  <c r="EM31" i="63"/>
  <c r="EL31" i="63"/>
  <c r="EK31" i="63"/>
  <c r="EJ31" i="63"/>
  <c r="EI31" i="63"/>
  <c r="EH31" i="63"/>
  <c r="EG31" i="63"/>
  <c r="EF31" i="63"/>
  <c r="EE31" i="63"/>
  <c r="ED31" i="63"/>
  <c r="EC31" i="63"/>
  <c r="DV31" i="63"/>
  <c r="DU31" i="63"/>
  <c r="DT31" i="63"/>
  <c r="DS31" i="63"/>
  <c r="DR31" i="63"/>
  <c r="DQ31" i="63"/>
  <c r="DP31" i="63"/>
  <c r="GC30" i="63"/>
  <c r="GB30" i="63"/>
  <c r="GA30" i="63"/>
  <c r="FZ30" i="63"/>
  <c r="FY30" i="63"/>
  <c r="FX30" i="63"/>
  <c r="FW30" i="63"/>
  <c r="FV30" i="63"/>
  <c r="FT30" i="63"/>
  <c r="FS30" i="63"/>
  <c r="FQ30" i="63"/>
  <c r="FO30" i="63"/>
  <c r="FN30" i="63"/>
  <c r="FM30" i="63"/>
  <c r="FK30" i="63"/>
  <c r="FI30" i="63"/>
  <c r="FH30" i="63"/>
  <c r="FG30" i="63"/>
  <c r="FF30" i="63"/>
  <c r="FE30" i="63"/>
  <c r="FD30" i="63"/>
  <c r="FC30" i="63"/>
  <c r="FB30" i="63"/>
  <c r="FA30" i="63"/>
  <c r="EZ30" i="63"/>
  <c r="EY30" i="63"/>
  <c r="EX30" i="63"/>
  <c r="EW30" i="63"/>
  <c r="EV30" i="63"/>
  <c r="EU30" i="63"/>
  <c r="ET30" i="63"/>
  <c r="ES30" i="63"/>
  <c r="ER30" i="63"/>
  <c r="EQ30" i="63"/>
  <c r="EP30" i="63"/>
  <c r="EO30" i="63"/>
  <c r="EN30" i="63"/>
  <c r="EM30" i="63"/>
  <c r="EL30" i="63"/>
  <c r="EK30" i="63"/>
  <c r="EJ30" i="63"/>
  <c r="EI30" i="63"/>
  <c r="EH30" i="63"/>
  <c r="EG30" i="63"/>
  <c r="EF30" i="63"/>
  <c r="EE30" i="63"/>
  <c r="ED30" i="63"/>
  <c r="EC30" i="63"/>
  <c r="DV30" i="63"/>
  <c r="DU30" i="63"/>
  <c r="DT30" i="63"/>
  <c r="DS30" i="63"/>
  <c r="DR30" i="63"/>
  <c r="DQ30" i="63"/>
  <c r="DP30" i="63"/>
  <c r="GC29" i="63"/>
  <c r="GB29" i="63"/>
  <c r="GA29" i="63"/>
  <c r="FZ29" i="63"/>
  <c r="FY29" i="63"/>
  <c r="FX29" i="63"/>
  <c r="FW29" i="63"/>
  <c r="FV29" i="63"/>
  <c r="FT29" i="63"/>
  <c r="FS29" i="63"/>
  <c r="FQ29" i="63"/>
  <c r="FO29" i="63"/>
  <c r="FN29" i="63"/>
  <c r="FM29" i="63"/>
  <c r="FK29" i="63"/>
  <c r="FI29" i="63"/>
  <c r="FH29" i="63"/>
  <c r="FG29" i="63"/>
  <c r="FF29" i="63"/>
  <c r="FE29" i="63"/>
  <c r="FD29" i="63"/>
  <c r="FC29" i="63"/>
  <c r="FB29" i="63"/>
  <c r="FA29" i="63"/>
  <c r="EZ29" i="63"/>
  <c r="EY29" i="63"/>
  <c r="EX29" i="63"/>
  <c r="EW29" i="63"/>
  <c r="EV29" i="63"/>
  <c r="EU29" i="63"/>
  <c r="ET29" i="63"/>
  <c r="ES29" i="63"/>
  <c r="ER29" i="63"/>
  <c r="EQ29" i="63"/>
  <c r="EP29" i="63"/>
  <c r="EO29" i="63"/>
  <c r="EN29" i="63"/>
  <c r="EM29" i="63"/>
  <c r="EL29" i="63"/>
  <c r="EK29" i="63"/>
  <c r="EJ29" i="63"/>
  <c r="EI29" i="63"/>
  <c r="EH29" i="63"/>
  <c r="EG29" i="63"/>
  <c r="EF29" i="63"/>
  <c r="EE29" i="63"/>
  <c r="ED29" i="63"/>
  <c r="EC29" i="63"/>
  <c r="DV29" i="63"/>
  <c r="DU29" i="63"/>
  <c r="DT29" i="63"/>
  <c r="DS29" i="63"/>
  <c r="DR29" i="63"/>
  <c r="DQ29" i="63"/>
  <c r="DP29" i="63"/>
  <c r="GC28" i="63"/>
  <c r="GB28" i="63"/>
  <c r="GA28" i="63"/>
  <c r="FZ28" i="63"/>
  <c r="FY28" i="63"/>
  <c r="FX28" i="63"/>
  <c r="FW28" i="63"/>
  <c r="FV28" i="63"/>
  <c r="FT28" i="63"/>
  <c r="FS28" i="63"/>
  <c r="FQ28" i="63"/>
  <c r="FO28" i="63"/>
  <c r="FN28" i="63"/>
  <c r="FM28" i="63"/>
  <c r="FK28" i="63"/>
  <c r="FI28" i="63"/>
  <c r="FH28" i="63"/>
  <c r="FG28" i="63"/>
  <c r="FF28" i="63"/>
  <c r="FE28" i="63"/>
  <c r="FD28" i="63"/>
  <c r="FC28" i="63"/>
  <c r="FB28" i="63"/>
  <c r="FA28" i="63"/>
  <c r="EZ28" i="63"/>
  <c r="EY28" i="63"/>
  <c r="EX28" i="63"/>
  <c r="EW28" i="63"/>
  <c r="EV28" i="63"/>
  <c r="EU28" i="63"/>
  <c r="ET28" i="63"/>
  <c r="ES28" i="63"/>
  <c r="ER28" i="63"/>
  <c r="EQ28" i="63"/>
  <c r="EP28" i="63"/>
  <c r="EO28" i="63"/>
  <c r="EN28" i="63"/>
  <c r="EM28" i="63"/>
  <c r="EL28" i="63"/>
  <c r="EK28" i="63"/>
  <c r="EJ28" i="63"/>
  <c r="EI28" i="63"/>
  <c r="EH28" i="63"/>
  <c r="EG28" i="63"/>
  <c r="EF28" i="63"/>
  <c r="EE28" i="63"/>
  <c r="ED28" i="63"/>
  <c r="EC28" i="63"/>
  <c r="DV28" i="63"/>
  <c r="DU28" i="63"/>
  <c r="DT28" i="63"/>
  <c r="DS28" i="63"/>
  <c r="DR28" i="63"/>
  <c r="DQ28" i="63"/>
  <c r="DP28" i="63"/>
  <c r="GC27" i="63"/>
  <c r="GB27" i="63"/>
  <c r="GA27" i="63"/>
  <c r="FZ27" i="63"/>
  <c r="FY27" i="63"/>
  <c r="FX27" i="63"/>
  <c r="FW27" i="63"/>
  <c r="FV27" i="63"/>
  <c r="FT27" i="63"/>
  <c r="FS27" i="63"/>
  <c r="FQ27" i="63"/>
  <c r="FO27" i="63"/>
  <c r="FN27" i="63"/>
  <c r="FM27" i="63"/>
  <c r="FK27" i="63"/>
  <c r="FI27" i="63"/>
  <c r="FH27" i="63"/>
  <c r="FG27" i="63"/>
  <c r="FF27" i="63"/>
  <c r="FE27" i="63"/>
  <c r="FD27" i="63"/>
  <c r="FC27" i="63"/>
  <c r="FB27" i="63"/>
  <c r="FA27" i="63"/>
  <c r="EZ27" i="63"/>
  <c r="EY27" i="63"/>
  <c r="EX27" i="63"/>
  <c r="EW27" i="63"/>
  <c r="EV27" i="63"/>
  <c r="EU27" i="63"/>
  <c r="ET27" i="63"/>
  <c r="ES27" i="63"/>
  <c r="ER27" i="63"/>
  <c r="EQ27" i="63"/>
  <c r="EP27" i="63"/>
  <c r="EO27" i="63"/>
  <c r="EN27" i="63"/>
  <c r="EM27" i="63"/>
  <c r="EL27" i="63"/>
  <c r="EK27" i="63"/>
  <c r="EJ27" i="63"/>
  <c r="EI27" i="63"/>
  <c r="EH27" i="63"/>
  <c r="EG27" i="63"/>
  <c r="EF27" i="63"/>
  <c r="EE27" i="63"/>
  <c r="ED27" i="63"/>
  <c r="EC27" i="63"/>
  <c r="DV27" i="63"/>
  <c r="DU27" i="63"/>
  <c r="DT27" i="63"/>
  <c r="DS27" i="63"/>
  <c r="DR27" i="63"/>
  <c r="DQ27" i="63"/>
  <c r="DP27" i="63"/>
  <c r="GC26" i="63"/>
  <c r="GB26" i="63"/>
  <c r="GA26" i="63"/>
  <c r="FZ26" i="63"/>
  <c r="FY26" i="63"/>
  <c r="FX26" i="63"/>
  <c r="FW26" i="63"/>
  <c r="FV26" i="63"/>
  <c r="FT26" i="63"/>
  <c r="FS26" i="63"/>
  <c r="FQ26" i="63"/>
  <c r="FO26" i="63"/>
  <c r="FN26" i="63"/>
  <c r="FM26" i="63"/>
  <c r="FK26" i="63"/>
  <c r="FI26" i="63"/>
  <c r="FH26" i="63"/>
  <c r="FG26" i="63"/>
  <c r="FF26" i="63"/>
  <c r="FE26" i="63"/>
  <c r="FD26" i="63"/>
  <c r="FC26" i="63"/>
  <c r="FB26" i="63"/>
  <c r="FA26" i="63"/>
  <c r="EZ26" i="63"/>
  <c r="EY26" i="63"/>
  <c r="EX26" i="63"/>
  <c r="EW26" i="63"/>
  <c r="EV26" i="63"/>
  <c r="EU26" i="63"/>
  <c r="ET26" i="63"/>
  <c r="ES26" i="63"/>
  <c r="ER26" i="63"/>
  <c r="EQ26" i="63"/>
  <c r="EP26" i="63"/>
  <c r="EO26" i="63"/>
  <c r="EN26" i="63"/>
  <c r="EM26" i="63"/>
  <c r="EL26" i="63"/>
  <c r="EK26" i="63"/>
  <c r="EJ26" i="63"/>
  <c r="EI26" i="63"/>
  <c r="EH26" i="63"/>
  <c r="EG26" i="63"/>
  <c r="EF26" i="63"/>
  <c r="EE26" i="63"/>
  <c r="ED26" i="63"/>
  <c r="EC26" i="63"/>
  <c r="DV26" i="63"/>
  <c r="DU26" i="63"/>
  <c r="DT26" i="63"/>
  <c r="DS26" i="63"/>
  <c r="DR26" i="63"/>
  <c r="DQ26" i="63"/>
  <c r="DP26" i="63"/>
  <c r="GC25" i="63"/>
  <c r="GB25" i="63"/>
  <c r="GA25" i="63"/>
  <c r="FZ25" i="63"/>
  <c r="FY25" i="63"/>
  <c r="FX25" i="63"/>
  <c r="FW25" i="63"/>
  <c r="FV25" i="63"/>
  <c r="FT25" i="63"/>
  <c r="FS25" i="63"/>
  <c r="FQ25" i="63"/>
  <c r="FO25" i="63"/>
  <c r="FN25" i="63"/>
  <c r="FM25" i="63"/>
  <c r="FK25" i="63"/>
  <c r="FI25" i="63"/>
  <c r="FH25" i="63"/>
  <c r="FG25" i="63"/>
  <c r="FF25" i="63"/>
  <c r="FE25" i="63"/>
  <c r="FD25" i="63"/>
  <c r="FC25" i="63"/>
  <c r="FB25" i="63"/>
  <c r="FA25" i="63"/>
  <c r="EZ25" i="63"/>
  <c r="EY25" i="63"/>
  <c r="EX25" i="63"/>
  <c r="EW25" i="63"/>
  <c r="EV25" i="63"/>
  <c r="EU25" i="63"/>
  <c r="ET25" i="63"/>
  <c r="ES25" i="63"/>
  <c r="ER25" i="63"/>
  <c r="EQ25" i="63"/>
  <c r="EP25" i="63"/>
  <c r="EO25" i="63"/>
  <c r="EN25" i="63"/>
  <c r="EM25" i="63"/>
  <c r="EL25" i="63"/>
  <c r="EK25" i="63"/>
  <c r="EJ25" i="63"/>
  <c r="EI25" i="63"/>
  <c r="EH25" i="63"/>
  <c r="EG25" i="63"/>
  <c r="EF25" i="63"/>
  <c r="EE25" i="63"/>
  <c r="ED25" i="63"/>
  <c r="EC25" i="63"/>
  <c r="DV25" i="63"/>
  <c r="DU25" i="63"/>
  <c r="DT25" i="63"/>
  <c r="DS25" i="63"/>
  <c r="DR25" i="63"/>
  <c r="DQ25" i="63"/>
  <c r="DP25" i="63"/>
  <c r="GC24" i="63"/>
  <c r="GB24" i="63"/>
  <c r="GA24" i="63"/>
  <c r="FZ24" i="63"/>
  <c r="FY24" i="63"/>
  <c r="FX24" i="63"/>
  <c r="FW24" i="63"/>
  <c r="FV24" i="63"/>
  <c r="FT24" i="63"/>
  <c r="FS24" i="63"/>
  <c r="FQ24" i="63"/>
  <c r="FO24" i="63"/>
  <c r="FN24" i="63"/>
  <c r="FM24" i="63"/>
  <c r="FK24" i="63"/>
  <c r="FI24" i="63"/>
  <c r="FH24" i="63"/>
  <c r="FG24" i="63"/>
  <c r="FF24" i="63"/>
  <c r="FE24" i="63"/>
  <c r="FD24" i="63"/>
  <c r="FC24" i="63"/>
  <c r="FB24" i="63"/>
  <c r="FA24" i="63"/>
  <c r="EZ24" i="63"/>
  <c r="EY24" i="63"/>
  <c r="EX24" i="63"/>
  <c r="EW24" i="63"/>
  <c r="EV24" i="63"/>
  <c r="EU24" i="63"/>
  <c r="ET24" i="63"/>
  <c r="ES24" i="63"/>
  <c r="ER24" i="63"/>
  <c r="EQ24" i="63"/>
  <c r="EP24" i="63"/>
  <c r="EO24" i="63"/>
  <c r="EN24" i="63"/>
  <c r="EM24" i="63"/>
  <c r="EL24" i="63"/>
  <c r="EK24" i="63"/>
  <c r="EJ24" i="63"/>
  <c r="EI24" i="63"/>
  <c r="EH24" i="63"/>
  <c r="EG24" i="63"/>
  <c r="EF24" i="63"/>
  <c r="EE24" i="63"/>
  <c r="ED24" i="63"/>
  <c r="EC24" i="63"/>
  <c r="DV24" i="63"/>
  <c r="DU24" i="63"/>
  <c r="DT24" i="63"/>
  <c r="DS24" i="63"/>
  <c r="DR24" i="63"/>
  <c r="DQ24" i="63"/>
  <c r="DP24" i="63"/>
  <c r="GC23" i="63"/>
  <c r="GB23" i="63"/>
  <c r="GA23" i="63"/>
  <c r="FZ23" i="63"/>
  <c r="FY23" i="63"/>
  <c r="FX23" i="63"/>
  <c r="FW23" i="63"/>
  <c r="FV23" i="63"/>
  <c r="FT23" i="63"/>
  <c r="FS23" i="63"/>
  <c r="FQ23" i="63"/>
  <c r="FO23" i="63"/>
  <c r="FN23" i="63"/>
  <c r="FM23" i="63"/>
  <c r="FK23" i="63"/>
  <c r="FI23" i="63"/>
  <c r="FH23" i="63"/>
  <c r="FG23" i="63"/>
  <c r="FF23" i="63"/>
  <c r="FE23" i="63"/>
  <c r="FD23" i="63"/>
  <c r="FC23" i="63"/>
  <c r="FB23" i="63"/>
  <c r="FA23" i="63"/>
  <c r="EZ23" i="63"/>
  <c r="EY23" i="63"/>
  <c r="EX23" i="63"/>
  <c r="EW23" i="63"/>
  <c r="EV23" i="63"/>
  <c r="EU23" i="63"/>
  <c r="ET23" i="63"/>
  <c r="ES23" i="63"/>
  <c r="ER23" i="63"/>
  <c r="EQ23" i="63"/>
  <c r="EP23" i="63"/>
  <c r="EO23" i="63"/>
  <c r="EN23" i="63"/>
  <c r="EM23" i="63"/>
  <c r="EL23" i="63"/>
  <c r="EK23" i="63"/>
  <c r="EJ23" i="63"/>
  <c r="EI23" i="63"/>
  <c r="EH23" i="63"/>
  <c r="EG23" i="63"/>
  <c r="EF23" i="63"/>
  <c r="EE23" i="63"/>
  <c r="ED23" i="63"/>
  <c r="EC23" i="63"/>
  <c r="DV23" i="63"/>
  <c r="DU23" i="63"/>
  <c r="DT23" i="63"/>
  <c r="DS23" i="63"/>
  <c r="DR23" i="63"/>
  <c r="DQ23" i="63"/>
  <c r="DP23" i="63"/>
  <c r="GC22" i="63"/>
  <c r="GB22" i="63"/>
  <c r="GA22" i="63"/>
  <c r="FZ22" i="63"/>
  <c r="FY22" i="63"/>
  <c r="FX22" i="63"/>
  <c r="FW22" i="63"/>
  <c r="FV22" i="63"/>
  <c r="FT22" i="63"/>
  <c r="FS22" i="63"/>
  <c r="FQ22" i="63"/>
  <c r="FO22" i="63"/>
  <c r="FN22" i="63"/>
  <c r="FM22" i="63"/>
  <c r="FK22" i="63"/>
  <c r="FI22" i="63"/>
  <c r="FH22" i="63"/>
  <c r="FG22" i="63"/>
  <c r="FF22" i="63"/>
  <c r="FE22" i="63"/>
  <c r="FD22" i="63"/>
  <c r="FC22" i="63"/>
  <c r="FB22" i="63"/>
  <c r="FA22" i="63"/>
  <c r="EZ22" i="63"/>
  <c r="EY22" i="63"/>
  <c r="EX22" i="63"/>
  <c r="EW22" i="63"/>
  <c r="EV22" i="63"/>
  <c r="EU22" i="63"/>
  <c r="ET22" i="63"/>
  <c r="ES22" i="63"/>
  <c r="ER22" i="63"/>
  <c r="EQ22" i="63"/>
  <c r="EP22" i="63"/>
  <c r="EO22" i="63"/>
  <c r="EN22" i="63"/>
  <c r="EM22" i="63"/>
  <c r="EL22" i="63"/>
  <c r="EK22" i="63"/>
  <c r="EJ22" i="63"/>
  <c r="EI22" i="63"/>
  <c r="EH22" i="63"/>
  <c r="EG22" i="63"/>
  <c r="EF22" i="63"/>
  <c r="EE22" i="63"/>
  <c r="ED22" i="63"/>
  <c r="EC22" i="63"/>
  <c r="DV22" i="63"/>
  <c r="DU22" i="63"/>
  <c r="DT22" i="63"/>
  <c r="DS22" i="63"/>
  <c r="DR22" i="63"/>
  <c r="DQ22" i="63"/>
  <c r="DP22" i="63"/>
  <c r="GC21" i="63"/>
  <c r="GB21" i="63"/>
  <c r="GA21" i="63"/>
  <c r="FZ21" i="63"/>
  <c r="FY21" i="63"/>
  <c r="FX21" i="63"/>
  <c r="FW21" i="63"/>
  <c r="FV21" i="63"/>
  <c r="FT21" i="63"/>
  <c r="FS21" i="63"/>
  <c r="FQ21" i="63"/>
  <c r="FO21" i="63"/>
  <c r="FN21" i="63"/>
  <c r="FM21" i="63"/>
  <c r="FK21" i="63"/>
  <c r="FI21" i="63"/>
  <c r="FH21" i="63"/>
  <c r="FG21" i="63"/>
  <c r="FF21" i="63"/>
  <c r="FE21" i="63"/>
  <c r="FD21" i="63"/>
  <c r="FC21" i="63"/>
  <c r="FB21" i="63"/>
  <c r="FA21" i="63"/>
  <c r="EZ21" i="63"/>
  <c r="EY21" i="63"/>
  <c r="EX21" i="63"/>
  <c r="EW21" i="63"/>
  <c r="EV21" i="63"/>
  <c r="EU21" i="63"/>
  <c r="ET21" i="63"/>
  <c r="ES21" i="63"/>
  <c r="ER21" i="63"/>
  <c r="EQ21" i="63"/>
  <c r="EP21" i="63"/>
  <c r="EO21" i="63"/>
  <c r="EN21" i="63"/>
  <c r="EM21" i="63"/>
  <c r="EL21" i="63"/>
  <c r="EK21" i="63"/>
  <c r="EJ21" i="63"/>
  <c r="EI21" i="63"/>
  <c r="EH21" i="63"/>
  <c r="EG21" i="63"/>
  <c r="EF21" i="63"/>
  <c r="EE21" i="63"/>
  <c r="ED21" i="63"/>
  <c r="EC21" i="63"/>
  <c r="DV21" i="63"/>
  <c r="DU21" i="63"/>
  <c r="DT21" i="63"/>
  <c r="DS21" i="63"/>
  <c r="DR21" i="63"/>
  <c r="DQ21" i="63"/>
  <c r="DP21" i="63"/>
  <c r="GC20" i="63"/>
  <c r="GB20" i="63"/>
  <c r="GA20" i="63"/>
  <c r="FZ20" i="63"/>
  <c r="FY20" i="63"/>
  <c r="FX20" i="63"/>
  <c r="FW20" i="63"/>
  <c r="FV20" i="63"/>
  <c r="FT20" i="63"/>
  <c r="FS20" i="63"/>
  <c r="FQ20" i="63"/>
  <c r="FO20" i="63"/>
  <c r="FN20" i="63"/>
  <c r="FM20" i="63"/>
  <c r="FK20" i="63"/>
  <c r="FI20" i="63"/>
  <c r="FH20" i="63"/>
  <c r="FG20" i="63"/>
  <c r="FF20" i="63"/>
  <c r="FE20" i="63"/>
  <c r="FD20" i="63"/>
  <c r="FC20" i="63"/>
  <c r="FB20" i="63"/>
  <c r="FA20" i="63"/>
  <c r="EZ20" i="63"/>
  <c r="EY20" i="63"/>
  <c r="EX20" i="63"/>
  <c r="EW20" i="63"/>
  <c r="EV20" i="63"/>
  <c r="EU20" i="63"/>
  <c r="ET20" i="63"/>
  <c r="ES20" i="63"/>
  <c r="ER20" i="63"/>
  <c r="EQ20" i="63"/>
  <c r="EP20" i="63"/>
  <c r="EO20" i="63"/>
  <c r="EN20" i="63"/>
  <c r="EM20" i="63"/>
  <c r="EL20" i="63"/>
  <c r="EK20" i="63"/>
  <c r="EJ20" i="63"/>
  <c r="EI20" i="63"/>
  <c r="EH20" i="63"/>
  <c r="EG20" i="63"/>
  <c r="EF20" i="63"/>
  <c r="EE20" i="63"/>
  <c r="ED20" i="63"/>
  <c r="EC20" i="63"/>
  <c r="DV20" i="63"/>
  <c r="DU20" i="63"/>
  <c r="DT20" i="63"/>
  <c r="DS20" i="63"/>
  <c r="DR20" i="63"/>
  <c r="DQ20" i="63"/>
  <c r="DP20" i="63"/>
  <c r="GC19" i="63"/>
  <c r="GB19" i="63"/>
  <c r="GA19" i="63"/>
  <c r="FZ19" i="63"/>
  <c r="FY19" i="63"/>
  <c r="FX19" i="63"/>
  <c r="FW19" i="63"/>
  <c r="FV19" i="63"/>
  <c r="FT19" i="63"/>
  <c r="FS19" i="63"/>
  <c r="FQ19" i="63"/>
  <c r="FO19" i="63"/>
  <c r="FN19" i="63"/>
  <c r="FM19" i="63"/>
  <c r="FK19" i="63"/>
  <c r="FI19" i="63"/>
  <c r="FH19" i="63"/>
  <c r="FG19" i="63"/>
  <c r="FF19" i="63"/>
  <c r="FE19" i="63"/>
  <c r="FD19" i="63"/>
  <c r="FC19" i="63"/>
  <c r="FB19" i="63"/>
  <c r="FA19" i="63"/>
  <c r="EZ19" i="63"/>
  <c r="EY19" i="63"/>
  <c r="EX19" i="63"/>
  <c r="EW19" i="63"/>
  <c r="EV19" i="63"/>
  <c r="EU19" i="63"/>
  <c r="ET19" i="63"/>
  <c r="ES19" i="63"/>
  <c r="ER19" i="63"/>
  <c r="EQ19" i="63"/>
  <c r="EP19" i="63"/>
  <c r="EO19" i="63"/>
  <c r="EN19" i="63"/>
  <c r="EM19" i="63"/>
  <c r="EL19" i="63"/>
  <c r="EK19" i="63"/>
  <c r="EJ19" i="63"/>
  <c r="EI19" i="63"/>
  <c r="EH19" i="63"/>
  <c r="EG19" i="63"/>
  <c r="EF19" i="63"/>
  <c r="EE19" i="63"/>
  <c r="ED19" i="63"/>
  <c r="EC19" i="63"/>
  <c r="DV19" i="63"/>
  <c r="DU19" i="63"/>
  <c r="DT19" i="63"/>
  <c r="DS19" i="63"/>
  <c r="DR19" i="63"/>
  <c r="DQ19" i="63"/>
  <c r="DP19" i="63"/>
  <c r="GC18" i="63"/>
  <c r="GB18" i="63"/>
  <c r="GA18" i="63"/>
  <c r="FZ18" i="63"/>
  <c r="FY18" i="63"/>
  <c r="FX18" i="63"/>
  <c r="FW18" i="63"/>
  <c r="FV18" i="63"/>
  <c r="FT18" i="63"/>
  <c r="FS18" i="63"/>
  <c r="FQ18" i="63"/>
  <c r="FO18" i="63"/>
  <c r="FN18" i="63"/>
  <c r="FM18" i="63"/>
  <c r="FK18" i="63"/>
  <c r="FI18" i="63"/>
  <c r="FH18" i="63"/>
  <c r="FG18" i="63"/>
  <c r="FF18" i="63"/>
  <c r="FE18" i="63"/>
  <c r="FD18" i="63"/>
  <c r="FC18" i="63"/>
  <c r="FB18" i="63"/>
  <c r="FA18" i="63"/>
  <c r="EZ18" i="63"/>
  <c r="EY18" i="63"/>
  <c r="EX18" i="63"/>
  <c r="EW18" i="63"/>
  <c r="EV18" i="63"/>
  <c r="EU18" i="63"/>
  <c r="ET18" i="63"/>
  <c r="ES18" i="63"/>
  <c r="ER18" i="63"/>
  <c r="EQ18" i="63"/>
  <c r="EP18" i="63"/>
  <c r="EO18" i="63"/>
  <c r="EN18" i="63"/>
  <c r="EM18" i="63"/>
  <c r="EL18" i="63"/>
  <c r="EK18" i="63"/>
  <c r="EJ18" i="63"/>
  <c r="EI18" i="63"/>
  <c r="EH18" i="63"/>
  <c r="EG18" i="63"/>
  <c r="EF18" i="63"/>
  <c r="EE18" i="63"/>
  <c r="ED18" i="63"/>
  <c r="EC18" i="63"/>
  <c r="DV18" i="63"/>
  <c r="DU18" i="63"/>
  <c r="DT18" i="63"/>
  <c r="DS18" i="63"/>
  <c r="DR18" i="63"/>
  <c r="DQ18" i="63"/>
  <c r="DP18" i="63"/>
  <c r="GC17" i="63"/>
  <c r="GB17" i="63"/>
  <c r="GA17" i="63"/>
  <c r="FZ17" i="63"/>
  <c r="FY17" i="63"/>
  <c r="FX17" i="63"/>
  <c r="FW17" i="63"/>
  <c r="FV17" i="63"/>
  <c r="FT17" i="63"/>
  <c r="FS17" i="63"/>
  <c r="FQ17" i="63"/>
  <c r="FO17" i="63"/>
  <c r="FN17" i="63"/>
  <c r="FM17" i="63"/>
  <c r="FK17" i="63"/>
  <c r="FI17" i="63"/>
  <c r="FH17" i="63"/>
  <c r="FG17" i="63"/>
  <c r="FF17" i="63"/>
  <c r="FE17" i="63"/>
  <c r="FD17" i="63"/>
  <c r="FC17" i="63"/>
  <c r="FB17" i="63"/>
  <c r="FA17" i="63"/>
  <c r="EZ17" i="63"/>
  <c r="EY17" i="63"/>
  <c r="EX17" i="63"/>
  <c r="EW17" i="63"/>
  <c r="EV17" i="63"/>
  <c r="EU17" i="63"/>
  <c r="ET17" i="63"/>
  <c r="ES17" i="63"/>
  <c r="ER17" i="63"/>
  <c r="EQ17" i="63"/>
  <c r="EP17" i="63"/>
  <c r="EO17" i="63"/>
  <c r="EN17" i="63"/>
  <c r="EM17" i="63"/>
  <c r="EL17" i="63"/>
  <c r="EK17" i="63"/>
  <c r="EJ17" i="63"/>
  <c r="EI17" i="63"/>
  <c r="EH17" i="63"/>
  <c r="EG17" i="63"/>
  <c r="EF17" i="63"/>
  <c r="EE17" i="63"/>
  <c r="ED17" i="63"/>
  <c r="EC17" i="63"/>
  <c r="DV17" i="63"/>
  <c r="DU17" i="63"/>
  <c r="DT17" i="63"/>
  <c r="DS17" i="63"/>
  <c r="DR17" i="63"/>
  <c r="DQ17" i="63"/>
  <c r="DP17" i="63"/>
  <c r="GC16" i="63"/>
  <c r="GB16" i="63"/>
  <c r="GA16" i="63"/>
  <c r="FZ16" i="63"/>
  <c r="FY16" i="63"/>
  <c r="FX16" i="63"/>
  <c r="FW16" i="63"/>
  <c r="FV16" i="63"/>
  <c r="FT16" i="63"/>
  <c r="FS16" i="63"/>
  <c r="FQ16" i="63"/>
  <c r="FO16" i="63"/>
  <c r="FN16" i="63"/>
  <c r="FM16" i="63"/>
  <c r="FK16" i="63"/>
  <c r="FI16" i="63"/>
  <c r="FH16" i="63"/>
  <c r="FG16" i="63"/>
  <c r="FF16" i="63"/>
  <c r="FE16" i="63"/>
  <c r="FD16" i="63"/>
  <c r="FC16" i="63"/>
  <c r="FB16" i="63"/>
  <c r="FA16" i="63"/>
  <c r="EZ16" i="63"/>
  <c r="EY16" i="63"/>
  <c r="EX16" i="63"/>
  <c r="EW16" i="63"/>
  <c r="EV16" i="63"/>
  <c r="EU16" i="63"/>
  <c r="ET16" i="63"/>
  <c r="ES16" i="63"/>
  <c r="ER16" i="63"/>
  <c r="EQ16" i="63"/>
  <c r="EP16" i="63"/>
  <c r="EO16" i="63"/>
  <c r="EN16" i="63"/>
  <c r="EM16" i="63"/>
  <c r="EL16" i="63"/>
  <c r="EK16" i="63"/>
  <c r="EJ16" i="63"/>
  <c r="EI16" i="63"/>
  <c r="EH16" i="63"/>
  <c r="EG16" i="63"/>
  <c r="EF16" i="63"/>
  <c r="EE16" i="63"/>
  <c r="ED16" i="63"/>
  <c r="EC16" i="63"/>
  <c r="DV16" i="63"/>
  <c r="DU16" i="63"/>
  <c r="DT16" i="63"/>
  <c r="DS16" i="63"/>
  <c r="DR16" i="63"/>
  <c r="DQ16" i="63"/>
  <c r="DP16" i="63"/>
  <c r="GC15" i="63"/>
  <c r="GB15" i="63"/>
  <c r="GA15" i="63"/>
  <c r="FZ15" i="63"/>
  <c r="FY15" i="63"/>
  <c r="FX15" i="63"/>
  <c r="FW15" i="63"/>
  <c r="FV15" i="63"/>
  <c r="FT15" i="63"/>
  <c r="FS15" i="63"/>
  <c r="FR15" i="63"/>
  <c r="FQ15" i="63"/>
  <c r="FP15" i="63"/>
  <c r="FO15" i="63"/>
  <c r="FN15" i="63"/>
  <c r="FM15" i="63"/>
  <c r="FK15" i="63"/>
  <c r="FI15" i="63"/>
  <c r="FH15" i="63"/>
  <c r="FG15" i="63"/>
  <c r="FF15" i="63"/>
  <c r="FE15" i="63"/>
  <c r="FD15" i="63"/>
  <c r="FC15" i="63"/>
  <c r="FB15" i="63"/>
  <c r="FA15" i="63"/>
  <c r="EZ15" i="63"/>
  <c r="EY15" i="63"/>
  <c r="EX15" i="63"/>
  <c r="EW15" i="63"/>
  <c r="EV15" i="63"/>
  <c r="EU15" i="63"/>
  <c r="ET15" i="63"/>
  <c r="ES15" i="63"/>
  <c r="ER15" i="63"/>
  <c r="EQ15" i="63"/>
  <c r="EP15" i="63"/>
  <c r="EO15" i="63"/>
  <c r="EN15" i="63"/>
  <c r="EM15" i="63"/>
  <c r="EL15" i="63"/>
  <c r="EK15" i="63"/>
  <c r="EJ15" i="63"/>
  <c r="EI15" i="63"/>
  <c r="EH15" i="63"/>
  <c r="EG15" i="63"/>
  <c r="EF15" i="63"/>
  <c r="EE15" i="63"/>
  <c r="ED15" i="63"/>
  <c r="EC15" i="63"/>
  <c r="DV15" i="63"/>
  <c r="DU15" i="63"/>
  <c r="DT15" i="63"/>
  <c r="DS15" i="63"/>
  <c r="DR15" i="63"/>
  <c r="DQ15" i="63"/>
  <c r="DP15" i="63"/>
  <c r="GC14" i="63"/>
  <c r="GB14" i="63"/>
  <c r="GA14" i="63"/>
  <c r="FZ14" i="63"/>
  <c r="FY14" i="63"/>
  <c r="FX14" i="63"/>
  <c r="FW14" i="63"/>
  <c r="FV14" i="63"/>
  <c r="FT14" i="63"/>
  <c r="FS14" i="63"/>
  <c r="FR14" i="63"/>
  <c r="FQ14" i="63"/>
  <c r="FP14" i="63"/>
  <c r="FO14" i="63"/>
  <c r="FN14" i="63"/>
  <c r="FM14" i="63"/>
  <c r="FK14" i="63"/>
  <c r="FI14" i="63"/>
  <c r="FH14" i="63"/>
  <c r="FG14" i="63"/>
  <c r="FF14" i="63"/>
  <c r="FE14" i="63"/>
  <c r="FD14" i="63"/>
  <c r="FC14" i="63"/>
  <c r="FB14" i="63"/>
  <c r="FA14" i="63"/>
  <c r="EZ14" i="63"/>
  <c r="EY14" i="63"/>
  <c r="EX14" i="63"/>
  <c r="EW14" i="63"/>
  <c r="EV14" i="63"/>
  <c r="EU14" i="63"/>
  <c r="ET14" i="63"/>
  <c r="ES14" i="63"/>
  <c r="ER14" i="63"/>
  <c r="EQ14" i="63"/>
  <c r="EP14" i="63"/>
  <c r="EO14" i="63"/>
  <c r="EN14" i="63"/>
  <c r="EM14" i="63"/>
  <c r="EL14" i="63"/>
  <c r="EK14" i="63"/>
  <c r="EJ14" i="63"/>
  <c r="EI14" i="63"/>
  <c r="EH14" i="63"/>
  <c r="EG14" i="63"/>
  <c r="EF14" i="63"/>
  <c r="EE14" i="63"/>
  <c r="ED14" i="63"/>
  <c r="EC14" i="63"/>
  <c r="DV14" i="63"/>
  <c r="DU14" i="63"/>
  <c r="DT14" i="63"/>
  <c r="DS14" i="63"/>
  <c r="DR14" i="63"/>
  <c r="DQ14" i="63"/>
  <c r="DP14" i="63"/>
  <c r="GC13" i="63"/>
  <c r="GB13" i="63"/>
  <c r="GA13" i="63"/>
  <c r="FZ13" i="63"/>
  <c r="FY13" i="63"/>
  <c r="FX13" i="63"/>
  <c r="FW13" i="63"/>
  <c r="FV13" i="63"/>
  <c r="FT13" i="63"/>
  <c r="FS13" i="63"/>
  <c r="FR13" i="63"/>
  <c r="FQ13" i="63"/>
  <c r="FP13" i="63"/>
  <c r="FO13" i="63"/>
  <c r="FN13" i="63"/>
  <c r="FM13" i="63"/>
  <c r="FK13" i="63"/>
  <c r="FI13" i="63"/>
  <c r="FH13" i="63"/>
  <c r="FG13" i="63"/>
  <c r="FF13" i="63"/>
  <c r="FE13" i="63"/>
  <c r="FD13" i="63"/>
  <c r="FC13" i="63"/>
  <c r="FB13" i="63"/>
  <c r="FA13" i="63"/>
  <c r="EZ13" i="63"/>
  <c r="EY13" i="63"/>
  <c r="EX13" i="63"/>
  <c r="EW13" i="63"/>
  <c r="EV13" i="63"/>
  <c r="EU13" i="63"/>
  <c r="ET13" i="63"/>
  <c r="ES13" i="63"/>
  <c r="ER13" i="63"/>
  <c r="EQ13" i="63"/>
  <c r="EP13" i="63"/>
  <c r="EO13" i="63"/>
  <c r="EN13" i="63"/>
  <c r="EM13" i="63"/>
  <c r="EL13" i="63"/>
  <c r="EK13" i="63"/>
  <c r="EJ13" i="63"/>
  <c r="EI13" i="63"/>
  <c r="EH13" i="63"/>
  <c r="EG13" i="63"/>
  <c r="EF13" i="63"/>
  <c r="EE13" i="63"/>
  <c r="ED13" i="63"/>
  <c r="EC13" i="63"/>
  <c r="DV13" i="63"/>
  <c r="DU13" i="63"/>
  <c r="DT13" i="63"/>
  <c r="DS13" i="63"/>
  <c r="DR13" i="63"/>
  <c r="DQ13" i="63"/>
  <c r="DP13" i="63"/>
  <c r="GC12" i="63"/>
  <c r="GB12" i="63"/>
  <c r="GA12" i="63"/>
  <c r="FZ12" i="63"/>
  <c r="FY12" i="63"/>
  <c r="FX12" i="63"/>
  <c r="FW12" i="63"/>
  <c r="FV12" i="63"/>
  <c r="FT12" i="63"/>
  <c r="FS12" i="63"/>
  <c r="FR12" i="63"/>
  <c r="FQ12" i="63"/>
  <c r="FP12" i="63"/>
  <c r="FO12" i="63"/>
  <c r="FN12" i="63"/>
  <c r="FM12" i="63"/>
  <c r="FK12" i="63"/>
  <c r="FI12" i="63"/>
  <c r="FH12" i="63"/>
  <c r="FG12" i="63"/>
  <c r="FF12" i="63"/>
  <c r="FE12" i="63"/>
  <c r="FD12" i="63"/>
  <c r="FC12" i="63"/>
  <c r="FB12" i="63"/>
  <c r="FA12" i="63"/>
  <c r="EZ12" i="63"/>
  <c r="EY12" i="63"/>
  <c r="EX12" i="63"/>
  <c r="EW12" i="63"/>
  <c r="EV12" i="63"/>
  <c r="EU12" i="63"/>
  <c r="ET12" i="63"/>
  <c r="ES12" i="63"/>
  <c r="ER12" i="63"/>
  <c r="EQ12" i="63"/>
  <c r="EP12" i="63"/>
  <c r="EO12" i="63"/>
  <c r="EN12" i="63"/>
  <c r="EM12" i="63"/>
  <c r="EL12" i="63"/>
  <c r="EK12" i="63"/>
  <c r="EJ12" i="63"/>
  <c r="EI12" i="63"/>
  <c r="EH12" i="63"/>
  <c r="EG12" i="63"/>
  <c r="EF12" i="63"/>
  <c r="EE12" i="63"/>
  <c r="ED12" i="63"/>
  <c r="EC12" i="63"/>
  <c r="DV12" i="63"/>
  <c r="DU12" i="63"/>
  <c r="DT12" i="63"/>
  <c r="DS12" i="63"/>
  <c r="DR12" i="63"/>
  <c r="DQ12" i="63"/>
  <c r="DP12" i="63"/>
  <c r="GC11" i="63"/>
  <c r="GB11" i="63"/>
  <c r="GA11" i="63"/>
  <c r="FZ11" i="63"/>
  <c r="FY11" i="63"/>
  <c r="FX11" i="63"/>
  <c r="FW11" i="63"/>
  <c r="FV11" i="63"/>
  <c r="FT11" i="63"/>
  <c r="FS11" i="63"/>
  <c r="FR11" i="63"/>
  <c r="FQ11" i="63"/>
  <c r="FP11" i="63"/>
  <c r="FO11" i="63"/>
  <c r="FN11" i="63"/>
  <c r="FM11" i="63"/>
  <c r="FK11" i="63"/>
  <c r="FI11" i="63"/>
  <c r="FH11" i="63"/>
  <c r="FG11" i="63"/>
  <c r="FF11" i="63"/>
  <c r="FE11" i="63"/>
  <c r="FD11" i="63"/>
  <c r="FC11" i="63"/>
  <c r="FB11" i="63"/>
  <c r="FA11" i="63"/>
  <c r="EZ11" i="63"/>
  <c r="EY11" i="63"/>
  <c r="EX11" i="63"/>
  <c r="EW11" i="63"/>
  <c r="EV11" i="63"/>
  <c r="EU11" i="63"/>
  <c r="ET11" i="63"/>
  <c r="ES11" i="63"/>
  <c r="ER11" i="63"/>
  <c r="EQ11" i="63"/>
  <c r="EP11" i="63"/>
  <c r="EO11" i="63"/>
  <c r="EN11" i="63"/>
  <c r="EM11" i="63"/>
  <c r="EL11" i="63"/>
  <c r="EK11" i="63"/>
  <c r="EJ11" i="63"/>
  <c r="EI11" i="63"/>
  <c r="EH11" i="63"/>
  <c r="EG11" i="63"/>
  <c r="EF11" i="63"/>
  <c r="EE11" i="63"/>
  <c r="ED11" i="63"/>
  <c r="EC11" i="63"/>
  <c r="DV11" i="63"/>
  <c r="DU11" i="63"/>
  <c r="DT11" i="63"/>
  <c r="DS11" i="63"/>
  <c r="DR11" i="63"/>
  <c r="DQ11" i="63"/>
  <c r="DP11" i="63"/>
  <c r="GC10" i="63"/>
  <c r="GB10" i="63"/>
  <c r="GA10" i="63"/>
  <c r="FZ10" i="63"/>
  <c r="FY10" i="63"/>
  <c r="FX10" i="63"/>
  <c r="FW10" i="63"/>
  <c r="FV10" i="63"/>
  <c r="FT10" i="63"/>
  <c r="FS10" i="63"/>
  <c r="FR10" i="63"/>
  <c r="FQ10" i="63"/>
  <c r="FP10" i="63"/>
  <c r="FO10" i="63"/>
  <c r="FN10" i="63"/>
  <c r="FM10" i="63"/>
  <c r="FK10" i="63"/>
  <c r="FI10" i="63"/>
  <c r="FH10" i="63"/>
  <c r="FG10" i="63"/>
  <c r="FF10" i="63"/>
  <c r="FE10" i="63"/>
  <c r="FD10" i="63"/>
  <c r="FC10" i="63"/>
  <c r="FB10" i="63"/>
  <c r="FA10" i="63"/>
  <c r="EZ10" i="63"/>
  <c r="EY10" i="63"/>
  <c r="EX10" i="63"/>
  <c r="EW10" i="63"/>
  <c r="EV10" i="63"/>
  <c r="EU10" i="63"/>
  <c r="ET10" i="63"/>
  <c r="ES10" i="63"/>
  <c r="ER10" i="63"/>
  <c r="EQ10" i="63"/>
  <c r="EP10" i="63"/>
  <c r="EO10" i="63"/>
  <c r="EN10" i="63"/>
  <c r="EM10" i="63"/>
  <c r="EL10" i="63"/>
  <c r="EK10" i="63"/>
  <c r="EJ10" i="63"/>
  <c r="EI10" i="63"/>
  <c r="EH10" i="63"/>
  <c r="EG10" i="63"/>
  <c r="EF10" i="63"/>
  <c r="EE10" i="63"/>
  <c r="ED10" i="63"/>
  <c r="EC10" i="63"/>
  <c r="DV10" i="63"/>
  <c r="DU10" i="63"/>
  <c r="DT10" i="63"/>
  <c r="DS10" i="63"/>
  <c r="DR10" i="63"/>
  <c r="DQ10" i="63"/>
  <c r="DP10" i="63"/>
  <c r="GC9" i="63"/>
  <c r="GB9" i="63"/>
  <c r="GA9" i="63"/>
  <c r="FZ9" i="63"/>
  <c r="FY9" i="63"/>
  <c r="FX9" i="63"/>
  <c r="FW9" i="63"/>
  <c r="FV9" i="63"/>
  <c r="FT9" i="63"/>
  <c r="FS9" i="63"/>
  <c r="FR9" i="63"/>
  <c r="FQ9" i="63"/>
  <c r="FP9" i="63"/>
  <c r="FO9" i="63"/>
  <c r="FN9" i="63"/>
  <c r="FM9" i="63"/>
  <c r="FL9" i="63"/>
  <c r="FK9" i="63"/>
  <c r="FJ9" i="63"/>
  <c r="FI9" i="63"/>
  <c r="FH9" i="63"/>
  <c r="FG9" i="63"/>
  <c r="FF9" i="63"/>
  <c r="FE9" i="63"/>
  <c r="FD9" i="63"/>
  <c r="FC9" i="63"/>
  <c r="FB9" i="63"/>
  <c r="FA9" i="63"/>
  <c r="EZ9" i="63"/>
  <c r="EY9" i="63"/>
  <c r="EX9" i="63"/>
  <c r="EW9" i="63"/>
  <c r="EV9" i="63"/>
  <c r="EU9" i="63"/>
  <c r="ET9" i="63"/>
  <c r="ES9" i="63"/>
  <c r="ER9" i="63"/>
  <c r="EQ9" i="63"/>
  <c r="EP9" i="63"/>
  <c r="EO9" i="63"/>
  <c r="EN9" i="63"/>
  <c r="EM9" i="63"/>
  <c r="EL9" i="63"/>
  <c r="EK9" i="63"/>
  <c r="EJ9" i="63"/>
  <c r="EI9" i="63"/>
  <c r="EH9" i="63"/>
  <c r="EG9" i="63"/>
  <c r="EF9" i="63"/>
  <c r="EE9" i="63"/>
  <c r="ED9" i="63"/>
  <c r="EC9" i="63"/>
  <c r="DV9" i="63"/>
  <c r="DU9" i="63"/>
  <c r="DT9" i="63"/>
  <c r="DS9" i="63"/>
  <c r="DR9" i="63"/>
  <c r="DR40" i="63" s="1"/>
  <c r="DQ9" i="63"/>
  <c r="DP9" i="63"/>
  <c r="FE7" i="63"/>
  <c r="EJ7" i="63"/>
  <c r="EH7" i="63"/>
  <c r="EB7" i="63"/>
  <c r="EA7" i="63"/>
  <c r="DZ7" i="63"/>
  <c r="DV7" i="63"/>
  <c r="DT7" i="63"/>
  <c r="EB40" i="65"/>
  <c r="EA40" i="65"/>
  <c r="DZ40" i="65"/>
  <c r="DY40" i="65"/>
  <c r="DX40" i="65"/>
  <c r="DW40" i="65"/>
  <c r="DV38" i="65"/>
  <c r="DU38" i="65"/>
  <c r="DT38" i="65"/>
  <c r="DS38" i="65"/>
  <c r="DR38" i="65"/>
  <c r="DQ38" i="65"/>
  <c r="DP38" i="65"/>
  <c r="DV37" i="65"/>
  <c r="DU37" i="65"/>
  <c r="DT37" i="65"/>
  <c r="DS37" i="65"/>
  <c r="DR37" i="65"/>
  <c r="DQ37" i="65"/>
  <c r="DP37" i="65"/>
  <c r="GC36" i="65"/>
  <c r="GB36" i="65"/>
  <c r="GA36" i="65"/>
  <c r="FZ36" i="65"/>
  <c r="FY36" i="65"/>
  <c r="FX36" i="65"/>
  <c r="FW36" i="65"/>
  <c r="FV36" i="65"/>
  <c r="FT36" i="65"/>
  <c r="FS36" i="65"/>
  <c r="FR36" i="65"/>
  <c r="FQ36" i="65"/>
  <c r="FP36" i="65"/>
  <c r="FO36" i="65"/>
  <c r="FN36" i="65"/>
  <c r="FM36" i="65"/>
  <c r="FK36" i="65"/>
  <c r="FI36" i="65"/>
  <c r="FH36" i="65"/>
  <c r="FG36" i="65"/>
  <c r="FF36" i="65"/>
  <c r="FE36" i="65"/>
  <c r="FD36" i="65"/>
  <c r="FC36" i="65"/>
  <c r="FB36" i="65"/>
  <c r="FA36" i="65"/>
  <c r="EZ36" i="65"/>
  <c r="EY36" i="65"/>
  <c r="EX36" i="65"/>
  <c r="EW36" i="65"/>
  <c r="EV36" i="65"/>
  <c r="EU36" i="65"/>
  <c r="ET36" i="65"/>
  <c r="ES36" i="65"/>
  <c r="ER36" i="65"/>
  <c r="EQ36" i="65"/>
  <c r="EP36" i="65"/>
  <c r="EO36" i="65"/>
  <c r="EN36" i="65"/>
  <c r="EM36" i="65"/>
  <c r="EL36" i="65"/>
  <c r="EK36" i="65"/>
  <c r="EJ36" i="65"/>
  <c r="EI36" i="65"/>
  <c r="EH36" i="65"/>
  <c r="EG36" i="65"/>
  <c r="EF36" i="65"/>
  <c r="EE36" i="65"/>
  <c r="ED36" i="65"/>
  <c r="EC36" i="65"/>
  <c r="DV36" i="65"/>
  <c r="DU36" i="65"/>
  <c r="DT36" i="65"/>
  <c r="DS36" i="65"/>
  <c r="DR36" i="65"/>
  <c r="DQ36" i="65"/>
  <c r="DP36" i="65"/>
  <c r="GC35" i="65"/>
  <c r="GB35" i="65"/>
  <c r="GA35" i="65"/>
  <c r="FZ35" i="65"/>
  <c r="FY35" i="65"/>
  <c r="FX35" i="65"/>
  <c r="FW35" i="65"/>
  <c r="FV35" i="65"/>
  <c r="FT35" i="65"/>
  <c r="FS35" i="65"/>
  <c r="FR35" i="65"/>
  <c r="FQ35" i="65"/>
  <c r="FP35" i="65"/>
  <c r="FO35" i="65"/>
  <c r="FN35" i="65"/>
  <c r="FM35" i="65"/>
  <c r="FK35" i="65"/>
  <c r="FI35" i="65"/>
  <c r="FH35" i="65"/>
  <c r="FG35" i="65"/>
  <c r="FF35" i="65"/>
  <c r="FE35" i="65"/>
  <c r="FD35" i="65"/>
  <c r="FC35" i="65"/>
  <c r="FB35" i="65"/>
  <c r="FA35" i="65"/>
  <c r="EZ35" i="65"/>
  <c r="EY35" i="65"/>
  <c r="EX35" i="65"/>
  <c r="EW35" i="65"/>
  <c r="EV35" i="65"/>
  <c r="EU35" i="65"/>
  <c r="ET35" i="65"/>
  <c r="ES35" i="65"/>
  <c r="ER35" i="65"/>
  <c r="EQ35" i="65"/>
  <c r="EP35" i="65"/>
  <c r="EO35" i="65"/>
  <c r="EN35" i="65"/>
  <c r="EM35" i="65"/>
  <c r="EL35" i="65"/>
  <c r="EK35" i="65"/>
  <c r="EJ35" i="65"/>
  <c r="EI35" i="65"/>
  <c r="EH35" i="65"/>
  <c r="EG35" i="65"/>
  <c r="EF35" i="65"/>
  <c r="EE35" i="65"/>
  <c r="ED35" i="65"/>
  <c r="EC35" i="65"/>
  <c r="DV35" i="65"/>
  <c r="DU35" i="65"/>
  <c r="DT35" i="65"/>
  <c r="DS35" i="65"/>
  <c r="DR35" i="65"/>
  <c r="DQ35" i="65"/>
  <c r="DP35" i="65"/>
  <c r="GC34" i="65"/>
  <c r="GB34" i="65"/>
  <c r="GA34" i="65"/>
  <c r="FZ34" i="65"/>
  <c r="FY34" i="65"/>
  <c r="FX34" i="65"/>
  <c r="FW34" i="65"/>
  <c r="FV34" i="65"/>
  <c r="FT34" i="65"/>
  <c r="FS34" i="65"/>
  <c r="FR34" i="65"/>
  <c r="FQ34" i="65"/>
  <c r="FP34" i="65"/>
  <c r="FO34" i="65"/>
  <c r="FN34" i="65"/>
  <c r="FM34" i="65"/>
  <c r="FK34" i="65"/>
  <c r="FI34" i="65"/>
  <c r="FH34" i="65"/>
  <c r="FG34" i="65"/>
  <c r="FF34" i="65"/>
  <c r="FE34" i="65"/>
  <c r="FD34" i="65"/>
  <c r="FC34" i="65"/>
  <c r="FB34" i="65"/>
  <c r="FA34" i="65"/>
  <c r="EZ34" i="65"/>
  <c r="EY34" i="65"/>
  <c r="EX34" i="65"/>
  <c r="EW34" i="65"/>
  <c r="EV34" i="65"/>
  <c r="EU34" i="65"/>
  <c r="ET34" i="65"/>
  <c r="ES34" i="65"/>
  <c r="ER34" i="65"/>
  <c r="EQ34" i="65"/>
  <c r="EP34" i="65"/>
  <c r="EO34" i="65"/>
  <c r="EN34" i="65"/>
  <c r="EM34" i="65"/>
  <c r="EL34" i="65"/>
  <c r="EK34" i="65"/>
  <c r="EJ34" i="65"/>
  <c r="EI34" i="65"/>
  <c r="EH34" i="65"/>
  <c r="EG34" i="65"/>
  <c r="EF34" i="65"/>
  <c r="EE34" i="65"/>
  <c r="ED34" i="65"/>
  <c r="EC34" i="65"/>
  <c r="DV34" i="65"/>
  <c r="DU34" i="65"/>
  <c r="DT34" i="65"/>
  <c r="DS34" i="65"/>
  <c r="DR34" i="65"/>
  <c r="DQ34" i="65"/>
  <c r="DP34" i="65"/>
  <c r="GC33" i="65"/>
  <c r="GB33" i="65"/>
  <c r="GA33" i="65"/>
  <c r="FZ33" i="65"/>
  <c r="FY33" i="65"/>
  <c r="FX33" i="65"/>
  <c r="FW33" i="65"/>
  <c r="FV33" i="65"/>
  <c r="FT33" i="65"/>
  <c r="FS33" i="65"/>
  <c r="FR33" i="65"/>
  <c r="FQ33" i="65"/>
  <c r="FP33" i="65"/>
  <c r="FO33" i="65"/>
  <c r="FN33" i="65"/>
  <c r="FM33" i="65"/>
  <c r="FK33" i="65"/>
  <c r="FI33" i="65"/>
  <c r="FH33" i="65"/>
  <c r="FG33" i="65"/>
  <c r="FF33" i="65"/>
  <c r="FE33" i="65"/>
  <c r="FD33" i="65"/>
  <c r="FC33" i="65"/>
  <c r="FB33" i="65"/>
  <c r="FA33" i="65"/>
  <c r="EZ33" i="65"/>
  <c r="EY33" i="65"/>
  <c r="EX33" i="65"/>
  <c r="EW33" i="65"/>
  <c r="EV33" i="65"/>
  <c r="EU33" i="65"/>
  <c r="ET33" i="65"/>
  <c r="ES33" i="65"/>
  <c r="ER33" i="65"/>
  <c r="EQ33" i="65"/>
  <c r="EP33" i="65"/>
  <c r="EO33" i="65"/>
  <c r="EN33" i="65"/>
  <c r="EM33" i="65"/>
  <c r="EL33" i="65"/>
  <c r="EK33" i="65"/>
  <c r="EJ33" i="65"/>
  <c r="EI33" i="65"/>
  <c r="EH33" i="65"/>
  <c r="EG33" i="65"/>
  <c r="EF33" i="65"/>
  <c r="EE33" i="65"/>
  <c r="ED33" i="65"/>
  <c r="EC33" i="65"/>
  <c r="DV33" i="65"/>
  <c r="DU33" i="65"/>
  <c r="DT33" i="65"/>
  <c r="DS33" i="65"/>
  <c r="DR33" i="65"/>
  <c r="DQ33" i="65"/>
  <c r="DP33" i="65"/>
  <c r="GC32" i="65"/>
  <c r="GB32" i="65"/>
  <c r="GA32" i="65"/>
  <c r="FZ32" i="65"/>
  <c r="FY32" i="65"/>
  <c r="FX32" i="65"/>
  <c r="FW32" i="65"/>
  <c r="FV32" i="65"/>
  <c r="FT32" i="65"/>
  <c r="FS32" i="65"/>
  <c r="FR32" i="65"/>
  <c r="FQ32" i="65"/>
  <c r="FP32" i="65"/>
  <c r="FO32" i="65"/>
  <c r="FN32" i="65"/>
  <c r="FM32" i="65"/>
  <c r="FK32" i="65"/>
  <c r="FI32" i="65"/>
  <c r="FH32" i="65"/>
  <c r="FG32" i="65"/>
  <c r="FF32" i="65"/>
  <c r="FE32" i="65"/>
  <c r="FD32" i="65"/>
  <c r="FC32" i="65"/>
  <c r="FB32" i="65"/>
  <c r="FA32" i="65"/>
  <c r="EZ32" i="65"/>
  <c r="EY32" i="65"/>
  <c r="EX32" i="65"/>
  <c r="EW32" i="65"/>
  <c r="EV32" i="65"/>
  <c r="EU32" i="65"/>
  <c r="ET32" i="65"/>
  <c r="ES32" i="65"/>
  <c r="ER32" i="65"/>
  <c r="EQ32" i="65"/>
  <c r="EP32" i="65"/>
  <c r="EO32" i="65"/>
  <c r="EN32" i="65"/>
  <c r="EM32" i="65"/>
  <c r="EL32" i="65"/>
  <c r="EK32" i="65"/>
  <c r="EJ32" i="65"/>
  <c r="EI32" i="65"/>
  <c r="EH32" i="65"/>
  <c r="EG32" i="65"/>
  <c r="EF32" i="65"/>
  <c r="EE32" i="65"/>
  <c r="ED32" i="65"/>
  <c r="EC32" i="65"/>
  <c r="DV32" i="65"/>
  <c r="DU32" i="65"/>
  <c r="DT32" i="65"/>
  <c r="DS32" i="65"/>
  <c r="DR32" i="65"/>
  <c r="DQ32" i="65"/>
  <c r="DP32" i="65"/>
  <c r="GC31" i="65"/>
  <c r="GB31" i="65"/>
  <c r="GA31" i="65"/>
  <c r="FZ31" i="65"/>
  <c r="FY31" i="65"/>
  <c r="FX31" i="65"/>
  <c r="FW31" i="65"/>
  <c r="FV31" i="65"/>
  <c r="FT31" i="65"/>
  <c r="FS31" i="65"/>
  <c r="FR31" i="65"/>
  <c r="FQ31" i="65"/>
  <c r="FP31" i="65"/>
  <c r="FO31" i="65"/>
  <c r="FN31" i="65"/>
  <c r="FM31" i="65"/>
  <c r="FK31" i="65"/>
  <c r="FI31" i="65"/>
  <c r="FH31" i="65"/>
  <c r="FG31" i="65"/>
  <c r="FF31" i="65"/>
  <c r="FE31" i="65"/>
  <c r="FD31" i="65"/>
  <c r="FC31" i="65"/>
  <c r="FB31" i="65"/>
  <c r="FA31" i="65"/>
  <c r="EZ31" i="65"/>
  <c r="EY31" i="65"/>
  <c r="EX31" i="65"/>
  <c r="EW31" i="65"/>
  <c r="EV31" i="65"/>
  <c r="EU31" i="65"/>
  <c r="ET31" i="65"/>
  <c r="ES31" i="65"/>
  <c r="ER31" i="65"/>
  <c r="EQ31" i="65"/>
  <c r="EP31" i="65"/>
  <c r="EO31" i="65"/>
  <c r="EN31" i="65"/>
  <c r="EM31" i="65"/>
  <c r="EL31" i="65"/>
  <c r="EK31" i="65"/>
  <c r="EJ31" i="65"/>
  <c r="EI31" i="65"/>
  <c r="EH31" i="65"/>
  <c r="EG31" i="65"/>
  <c r="EF31" i="65"/>
  <c r="EE31" i="65"/>
  <c r="ED31" i="65"/>
  <c r="EC31" i="65"/>
  <c r="DV31" i="65"/>
  <c r="DU31" i="65"/>
  <c r="DT31" i="65"/>
  <c r="DS31" i="65"/>
  <c r="DR31" i="65"/>
  <c r="DQ31" i="65"/>
  <c r="DP31" i="65"/>
  <c r="GC30" i="65"/>
  <c r="GB30" i="65"/>
  <c r="GA30" i="65"/>
  <c r="FZ30" i="65"/>
  <c r="FY30" i="65"/>
  <c r="FX30" i="65"/>
  <c r="FW30" i="65"/>
  <c r="FV30" i="65"/>
  <c r="FT30" i="65"/>
  <c r="FS30" i="65"/>
  <c r="FR30" i="65"/>
  <c r="FQ30" i="65"/>
  <c r="FP30" i="65"/>
  <c r="FO30" i="65"/>
  <c r="FN30" i="65"/>
  <c r="FM30" i="65"/>
  <c r="FK30" i="65"/>
  <c r="FI30" i="65"/>
  <c r="FH30" i="65"/>
  <c r="FG30" i="65"/>
  <c r="FF30" i="65"/>
  <c r="FE30" i="65"/>
  <c r="FD30" i="65"/>
  <c r="FC30" i="65"/>
  <c r="FB30" i="65"/>
  <c r="FA30" i="65"/>
  <c r="EZ30" i="65"/>
  <c r="EY30" i="65"/>
  <c r="EX30" i="65"/>
  <c r="EW30" i="65"/>
  <c r="EV30" i="65"/>
  <c r="EU30" i="65"/>
  <c r="ET30" i="65"/>
  <c r="ES30" i="65"/>
  <c r="ER30" i="65"/>
  <c r="EQ30" i="65"/>
  <c r="EP30" i="65"/>
  <c r="EO30" i="65"/>
  <c r="EN30" i="65"/>
  <c r="EM30" i="65"/>
  <c r="EL30" i="65"/>
  <c r="EK30" i="65"/>
  <c r="EJ30" i="65"/>
  <c r="EI30" i="65"/>
  <c r="EH30" i="65"/>
  <c r="EG30" i="65"/>
  <c r="EF30" i="65"/>
  <c r="EE30" i="65"/>
  <c r="ED30" i="65"/>
  <c r="EC30" i="65"/>
  <c r="DV30" i="65"/>
  <c r="DU30" i="65"/>
  <c r="DT30" i="65"/>
  <c r="DS30" i="65"/>
  <c r="DR30" i="65"/>
  <c r="DQ30" i="65"/>
  <c r="DP30" i="65"/>
  <c r="GC29" i="65"/>
  <c r="GB29" i="65"/>
  <c r="GA29" i="65"/>
  <c r="FZ29" i="65"/>
  <c r="FY29" i="65"/>
  <c r="FX29" i="65"/>
  <c r="FW29" i="65"/>
  <c r="FV29" i="65"/>
  <c r="FT29" i="65"/>
  <c r="FS29" i="65"/>
  <c r="FR29" i="65"/>
  <c r="FQ29" i="65"/>
  <c r="FP29" i="65"/>
  <c r="FO29" i="65"/>
  <c r="FN29" i="65"/>
  <c r="FM29" i="65"/>
  <c r="FK29" i="65"/>
  <c r="FI29" i="65"/>
  <c r="FH29" i="65"/>
  <c r="FG29" i="65"/>
  <c r="FF29" i="65"/>
  <c r="FE29" i="65"/>
  <c r="FD29" i="65"/>
  <c r="FC29" i="65"/>
  <c r="FB29" i="65"/>
  <c r="FA29" i="65"/>
  <c r="EZ29" i="65"/>
  <c r="EY29" i="65"/>
  <c r="EX29" i="65"/>
  <c r="EW29" i="65"/>
  <c r="EV29" i="65"/>
  <c r="EU29" i="65"/>
  <c r="ET29" i="65"/>
  <c r="ES29" i="65"/>
  <c r="ER29" i="65"/>
  <c r="EQ29" i="65"/>
  <c r="EP29" i="65"/>
  <c r="EO29" i="65"/>
  <c r="EN29" i="65"/>
  <c r="EM29" i="65"/>
  <c r="EL29" i="65"/>
  <c r="EK29" i="65"/>
  <c r="EJ29" i="65"/>
  <c r="EI29" i="65"/>
  <c r="EH29" i="65"/>
  <c r="EG29" i="65"/>
  <c r="EF29" i="65"/>
  <c r="EE29" i="65"/>
  <c r="ED29" i="65"/>
  <c r="EC29" i="65"/>
  <c r="DV29" i="65"/>
  <c r="DU29" i="65"/>
  <c r="DT29" i="65"/>
  <c r="DS29" i="65"/>
  <c r="DR29" i="65"/>
  <c r="DQ29" i="65"/>
  <c r="DP29" i="65"/>
  <c r="GC28" i="65"/>
  <c r="GB28" i="65"/>
  <c r="GA28" i="65"/>
  <c r="FZ28" i="65"/>
  <c r="FY28" i="65"/>
  <c r="FX28" i="65"/>
  <c r="FW28" i="65"/>
  <c r="FV28" i="65"/>
  <c r="FT28" i="65"/>
  <c r="FS28" i="65"/>
  <c r="FR28" i="65"/>
  <c r="FQ28" i="65"/>
  <c r="FP28" i="65"/>
  <c r="FO28" i="65"/>
  <c r="FN28" i="65"/>
  <c r="FM28" i="65"/>
  <c r="FK28" i="65"/>
  <c r="FI28" i="65"/>
  <c r="FH28" i="65"/>
  <c r="FG28" i="65"/>
  <c r="FF28" i="65"/>
  <c r="FE28" i="65"/>
  <c r="FD28" i="65"/>
  <c r="FC28" i="65"/>
  <c r="FB28" i="65"/>
  <c r="FA28" i="65"/>
  <c r="EZ28" i="65"/>
  <c r="EY28" i="65"/>
  <c r="EX28" i="65"/>
  <c r="EW28" i="65"/>
  <c r="EV28" i="65"/>
  <c r="EU28" i="65"/>
  <c r="ET28" i="65"/>
  <c r="ES28" i="65"/>
  <c r="ER28" i="65"/>
  <c r="EQ28" i="65"/>
  <c r="EP28" i="65"/>
  <c r="EO28" i="65"/>
  <c r="EN28" i="65"/>
  <c r="EM28" i="65"/>
  <c r="EL28" i="65"/>
  <c r="EK28" i="65"/>
  <c r="EJ28" i="65"/>
  <c r="EI28" i="65"/>
  <c r="EH28" i="65"/>
  <c r="EG28" i="65"/>
  <c r="EF28" i="65"/>
  <c r="EE28" i="65"/>
  <c r="ED28" i="65"/>
  <c r="EC28" i="65"/>
  <c r="DV28" i="65"/>
  <c r="DU28" i="65"/>
  <c r="DT28" i="65"/>
  <c r="DS28" i="65"/>
  <c r="DR28" i="65"/>
  <c r="DQ28" i="65"/>
  <c r="DP28" i="65"/>
  <c r="GC27" i="65"/>
  <c r="GB27" i="65"/>
  <c r="GA27" i="65"/>
  <c r="FZ27" i="65"/>
  <c r="FY27" i="65"/>
  <c r="FX27" i="65"/>
  <c r="FW27" i="65"/>
  <c r="FV27" i="65"/>
  <c r="FT27" i="65"/>
  <c r="FS27" i="65"/>
  <c r="FR27" i="65"/>
  <c r="FQ27" i="65"/>
  <c r="FP27" i="65"/>
  <c r="FO27" i="65"/>
  <c r="FN27" i="65"/>
  <c r="FM27" i="65"/>
  <c r="FK27" i="65"/>
  <c r="FI27" i="65"/>
  <c r="FH27" i="65"/>
  <c r="FG27" i="65"/>
  <c r="FF27" i="65"/>
  <c r="FE27" i="65"/>
  <c r="FD27" i="65"/>
  <c r="FC27" i="65"/>
  <c r="FB27" i="65"/>
  <c r="FA27" i="65"/>
  <c r="EZ27" i="65"/>
  <c r="EY27" i="65"/>
  <c r="EX27" i="65"/>
  <c r="EW27" i="65"/>
  <c r="EV27" i="65"/>
  <c r="EU27" i="65"/>
  <c r="ET27" i="65"/>
  <c r="ES27" i="65"/>
  <c r="ER27" i="65"/>
  <c r="EQ27" i="65"/>
  <c r="EP27" i="65"/>
  <c r="EO27" i="65"/>
  <c r="EN27" i="65"/>
  <c r="EM27" i="65"/>
  <c r="EL27" i="65"/>
  <c r="EK27" i="65"/>
  <c r="EJ27" i="65"/>
  <c r="EI27" i="65"/>
  <c r="EH27" i="65"/>
  <c r="EG27" i="65"/>
  <c r="EF27" i="65"/>
  <c r="EE27" i="65"/>
  <c r="ED27" i="65"/>
  <c r="EC27" i="65"/>
  <c r="DV27" i="65"/>
  <c r="DU27" i="65"/>
  <c r="DT27" i="65"/>
  <c r="DS27" i="65"/>
  <c r="DR27" i="65"/>
  <c r="DQ27" i="65"/>
  <c r="DP27" i="65"/>
  <c r="GC26" i="65"/>
  <c r="GB26" i="65"/>
  <c r="GA26" i="65"/>
  <c r="FZ26" i="65"/>
  <c r="FY26" i="65"/>
  <c r="FX26" i="65"/>
  <c r="FW26" i="65"/>
  <c r="FV26" i="65"/>
  <c r="FT26" i="65"/>
  <c r="FS26" i="65"/>
  <c r="FR26" i="65"/>
  <c r="FQ26" i="65"/>
  <c r="FP26" i="65"/>
  <c r="FO26" i="65"/>
  <c r="FN26" i="65"/>
  <c r="FM26" i="65"/>
  <c r="FK26" i="65"/>
  <c r="FI26" i="65"/>
  <c r="FH26" i="65"/>
  <c r="FG26" i="65"/>
  <c r="FF26" i="65"/>
  <c r="FE26" i="65"/>
  <c r="FD26" i="65"/>
  <c r="FC26" i="65"/>
  <c r="FB26" i="65"/>
  <c r="FA26" i="65"/>
  <c r="EZ26" i="65"/>
  <c r="EY26" i="65"/>
  <c r="EX26" i="65"/>
  <c r="EW26" i="65"/>
  <c r="EV26" i="65"/>
  <c r="EU26" i="65"/>
  <c r="ET26" i="65"/>
  <c r="ES26" i="65"/>
  <c r="ER26" i="65"/>
  <c r="EQ26" i="65"/>
  <c r="EP26" i="65"/>
  <c r="EO26" i="65"/>
  <c r="EN26" i="65"/>
  <c r="EM26" i="65"/>
  <c r="EL26" i="65"/>
  <c r="EK26" i="65"/>
  <c r="EJ26" i="65"/>
  <c r="EI26" i="65"/>
  <c r="EH26" i="65"/>
  <c r="EG26" i="65"/>
  <c r="EF26" i="65"/>
  <c r="EE26" i="65"/>
  <c r="ED26" i="65"/>
  <c r="EC26" i="65"/>
  <c r="DV26" i="65"/>
  <c r="DU26" i="65"/>
  <c r="DT26" i="65"/>
  <c r="DS26" i="65"/>
  <c r="DR26" i="65"/>
  <c r="DQ26" i="65"/>
  <c r="DP26" i="65"/>
  <c r="GC25" i="65"/>
  <c r="GB25" i="65"/>
  <c r="GA25" i="65"/>
  <c r="FZ25" i="65"/>
  <c r="FY25" i="65"/>
  <c r="FX25" i="65"/>
  <c r="FW25" i="65"/>
  <c r="FV25" i="65"/>
  <c r="FT25" i="65"/>
  <c r="FS25" i="65"/>
  <c r="FR25" i="65"/>
  <c r="FQ25" i="65"/>
  <c r="FP25" i="65"/>
  <c r="FO25" i="65"/>
  <c r="FN25" i="65"/>
  <c r="FM25" i="65"/>
  <c r="FK25" i="65"/>
  <c r="FI25" i="65"/>
  <c r="FH25" i="65"/>
  <c r="FG25" i="65"/>
  <c r="FF25" i="65"/>
  <c r="FE25" i="65"/>
  <c r="FD25" i="65"/>
  <c r="FC25" i="65"/>
  <c r="FB25" i="65"/>
  <c r="FA25" i="65"/>
  <c r="EZ25" i="65"/>
  <c r="EY25" i="65"/>
  <c r="EX25" i="65"/>
  <c r="EW25" i="65"/>
  <c r="EV25" i="65"/>
  <c r="EU25" i="65"/>
  <c r="ET25" i="65"/>
  <c r="ES25" i="65"/>
  <c r="ER25" i="65"/>
  <c r="EQ25" i="65"/>
  <c r="EP25" i="65"/>
  <c r="EO25" i="65"/>
  <c r="EN25" i="65"/>
  <c r="EM25" i="65"/>
  <c r="EL25" i="65"/>
  <c r="EK25" i="65"/>
  <c r="EJ25" i="65"/>
  <c r="EI25" i="65"/>
  <c r="EH25" i="65"/>
  <c r="EG25" i="65"/>
  <c r="EF25" i="65"/>
  <c r="EE25" i="65"/>
  <c r="ED25" i="65"/>
  <c r="EC25" i="65"/>
  <c r="DV25" i="65"/>
  <c r="DU25" i="65"/>
  <c r="DT25" i="65"/>
  <c r="DS25" i="65"/>
  <c r="DR25" i="65"/>
  <c r="DQ25" i="65"/>
  <c r="DP25" i="65"/>
  <c r="GC24" i="65"/>
  <c r="GB24" i="65"/>
  <c r="GA24" i="65"/>
  <c r="FZ24" i="65"/>
  <c r="FY24" i="65"/>
  <c r="FX24" i="65"/>
  <c r="FW24" i="65"/>
  <c r="FV24" i="65"/>
  <c r="FT24" i="65"/>
  <c r="FS24" i="65"/>
  <c r="FQ24" i="65"/>
  <c r="FO24" i="65"/>
  <c r="FN24" i="65"/>
  <c r="FM24" i="65"/>
  <c r="FK24" i="65"/>
  <c r="FI24" i="65"/>
  <c r="FH24" i="65"/>
  <c r="FG24" i="65"/>
  <c r="FF24" i="65"/>
  <c r="FE24" i="65"/>
  <c r="FD24" i="65"/>
  <c r="FC24" i="65"/>
  <c r="FB24" i="65"/>
  <c r="FA24" i="65"/>
  <c r="EZ24" i="65"/>
  <c r="EY24" i="65"/>
  <c r="EX24" i="65"/>
  <c r="EW24" i="65"/>
  <c r="EV24" i="65"/>
  <c r="EU24" i="65"/>
  <c r="ET24" i="65"/>
  <c r="ES24" i="65"/>
  <c r="ER24" i="65"/>
  <c r="EQ24" i="65"/>
  <c r="EP24" i="65"/>
  <c r="EO24" i="65"/>
  <c r="EN24" i="65"/>
  <c r="EM24" i="65"/>
  <c r="EL24" i="65"/>
  <c r="EK24" i="65"/>
  <c r="EJ24" i="65"/>
  <c r="EI24" i="65"/>
  <c r="EH24" i="65"/>
  <c r="EG24" i="65"/>
  <c r="EF24" i="65"/>
  <c r="EE24" i="65"/>
  <c r="ED24" i="65"/>
  <c r="EC24" i="65"/>
  <c r="DV24" i="65"/>
  <c r="DU24" i="65"/>
  <c r="DT24" i="65"/>
  <c r="DS24" i="65"/>
  <c r="DR24" i="65"/>
  <c r="DQ24" i="65"/>
  <c r="DP24" i="65"/>
  <c r="GC23" i="65"/>
  <c r="GB23" i="65"/>
  <c r="GA23" i="65"/>
  <c r="FZ23" i="65"/>
  <c r="FY23" i="65"/>
  <c r="FX23" i="65"/>
  <c r="FW23" i="65"/>
  <c r="FV23" i="65"/>
  <c r="FT23" i="65"/>
  <c r="FS23" i="65"/>
  <c r="FQ23" i="65"/>
  <c r="FO23" i="65"/>
  <c r="FN23" i="65"/>
  <c r="FM23" i="65"/>
  <c r="FK23" i="65"/>
  <c r="FI23" i="65"/>
  <c r="FH23" i="65"/>
  <c r="FG23" i="65"/>
  <c r="FF23" i="65"/>
  <c r="FE23" i="65"/>
  <c r="FD23" i="65"/>
  <c r="FC23" i="65"/>
  <c r="FB23" i="65"/>
  <c r="FA23" i="65"/>
  <c r="EZ23" i="65"/>
  <c r="EY23" i="65"/>
  <c r="EX23" i="65"/>
  <c r="EW23" i="65"/>
  <c r="EV23" i="65"/>
  <c r="EU23" i="65"/>
  <c r="ET23" i="65"/>
  <c r="ES23" i="65"/>
  <c r="ER23" i="65"/>
  <c r="EQ23" i="65"/>
  <c r="EP23" i="65"/>
  <c r="EO23" i="65"/>
  <c r="EN23" i="65"/>
  <c r="EM23" i="65"/>
  <c r="EL23" i="65"/>
  <c r="EK23" i="65"/>
  <c r="EJ23" i="65"/>
  <c r="EI23" i="65"/>
  <c r="EH23" i="65"/>
  <c r="EG23" i="65"/>
  <c r="EF23" i="65"/>
  <c r="EE23" i="65"/>
  <c r="ED23" i="65"/>
  <c r="EC23" i="65"/>
  <c r="DV23" i="65"/>
  <c r="DU23" i="65"/>
  <c r="DT23" i="65"/>
  <c r="DS23" i="65"/>
  <c r="DR23" i="65"/>
  <c r="DQ23" i="65"/>
  <c r="DP23" i="65"/>
  <c r="GC22" i="65"/>
  <c r="GB22" i="65"/>
  <c r="GA22" i="65"/>
  <c r="FZ22" i="65"/>
  <c r="FY22" i="65"/>
  <c r="FX22" i="65"/>
  <c r="FW22" i="65"/>
  <c r="FV22" i="65"/>
  <c r="FT22" i="65"/>
  <c r="FS22" i="65"/>
  <c r="FR22" i="65"/>
  <c r="FQ22" i="65"/>
  <c r="FP22" i="65"/>
  <c r="FO22" i="65"/>
  <c r="FN22" i="65"/>
  <c r="FM22" i="65"/>
  <c r="FK22" i="65"/>
  <c r="FI22" i="65"/>
  <c r="FH22" i="65"/>
  <c r="FG22" i="65"/>
  <c r="FF22" i="65"/>
  <c r="FE22" i="65"/>
  <c r="FD22" i="65"/>
  <c r="FC22" i="65"/>
  <c r="FB22" i="65"/>
  <c r="FA22" i="65"/>
  <c r="EZ22" i="65"/>
  <c r="EY22" i="65"/>
  <c r="EX22" i="65"/>
  <c r="EW22" i="65"/>
  <c r="EV22" i="65"/>
  <c r="EU22" i="65"/>
  <c r="ET22" i="65"/>
  <c r="ES22" i="65"/>
  <c r="ER22" i="65"/>
  <c r="EQ22" i="65"/>
  <c r="EP22" i="65"/>
  <c r="EO22" i="65"/>
  <c r="EN22" i="65"/>
  <c r="EM22" i="65"/>
  <c r="EL22" i="65"/>
  <c r="EK22" i="65"/>
  <c r="EJ22" i="65"/>
  <c r="EI22" i="65"/>
  <c r="EH22" i="65"/>
  <c r="EG22" i="65"/>
  <c r="EF22" i="65"/>
  <c r="EE22" i="65"/>
  <c r="ED22" i="65"/>
  <c r="EC22" i="65"/>
  <c r="DV22" i="65"/>
  <c r="DU22" i="65"/>
  <c r="DT22" i="65"/>
  <c r="DS22" i="65"/>
  <c r="DR22" i="65"/>
  <c r="DQ22" i="65"/>
  <c r="DP22" i="65"/>
  <c r="GC21" i="65"/>
  <c r="GB21" i="65"/>
  <c r="GA21" i="65"/>
  <c r="FZ21" i="65"/>
  <c r="FY21" i="65"/>
  <c r="FX21" i="65"/>
  <c r="FW21" i="65"/>
  <c r="FV21" i="65"/>
  <c r="FT21" i="65"/>
  <c r="FS21" i="65"/>
  <c r="FQ21" i="65"/>
  <c r="FO21" i="65"/>
  <c r="FN21" i="65"/>
  <c r="FM21" i="65"/>
  <c r="FK21" i="65"/>
  <c r="FI21" i="65"/>
  <c r="FH21" i="65"/>
  <c r="FG21" i="65"/>
  <c r="FF21" i="65"/>
  <c r="FE21" i="65"/>
  <c r="FD21" i="65"/>
  <c r="FC21" i="65"/>
  <c r="FB21" i="65"/>
  <c r="FA21" i="65"/>
  <c r="EZ21" i="65"/>
  <c r="EY21" i="65"/>
  <c r="EX21" i="65"/>
  <c r="EW21" i="65"/>
  <c r="EV21" i="65"/>
  <c r="EU21" i="65"/>
  <c r="ET21" i="65"/>
  <c r="ES21" i="65"/>
  <c r="ER21" i="65"/>
  <c r="EQ21" i="65"/>
  <c r="EP21" i="65"/>
  <c r="EO21" i="65"/>
  <c r="EN21" i="65"/>
  <c r="EM21" i="65"/>
  <c r="EL21" i="65"/>
  <c r="EK21" i="65"/>
  <c r="EJ21" i="65"/>
  <c r="EI21" i="65"/>
  <c r="EH21" i="65"/>
  <c r="EG21" i="65"/>
  <c r="EF21" i="65"/>
  <c r="EE21" i="65"/>
  <c r="ED21" i="65"/>
  <c r="EC21" i="65"/>
  <c r="DV21" i="65"/>
  <c r="DU21" i="65"/>
  <c r="DT21" i="65"/>
  <c r="DS21" i="65"/>
  <c r="DR21" i="65"/>
  <c r="DQ21" i="65"/>
  <c r="DP21" i="65"/>
  <c r="GC20" i="65"/>
  <c r="GB20" i="65"/>
  <c r="GA20" i="65"/>
  <c r="FZ20" i="65"/>
  <c r="FY20" i="65"/>
  <c r="FX20" i="65"/>
  <c r="FW20" i="65"/>
  <c r="FV20" i="65"/>
  <c r="FT20" i="65"/>
  <c r="FS20" i="65"/>
  <c r="FR20" i="65"/>
  <c r="FQ20" i="65"/>
  <c r="FP20" i="65"/>
  <c r="FO20" i="65"/>
  <c r="FN20" i="65"/>
  <c r="FM20" i="65"/>
  <c r="FK20" i="65"/>
  <c r="FI20" i="65"/>
  <c r="FH20" i="65"/>
  <c r="FG20" i="65"/>
  <c r="FF20" i="65"/>
  <c r="FE20" i="65"/>
  <c r="FD20" i="65"/>
  <c r="FC20" i="65"/>
  <c r="FB20" i="65"/>
  <c r="FA20" i="65"/>
  <c r="EZ20" i="65"/>
  <c r="EY20" i="65"/>
  <c r="EX20" i="65"/>
  <c r="EW20" i="65"/>
  <c r="EV20" i="65"/>
  <c r="EU20" i="65"/>
  <c r="ET20" i="65"/>
  <c r="ES20" i="65"/>
  <c r="ER20" i="65"/>
  <c r="EQ20" i="65"/>
  <c r="EP20" i="65"/>
  <c r="EO20" i="65"/>
  <c r="EN20" i="65"/>
  <c r="EM20" i="65"/>
  <c r="EL20" i="65"/>
  <c r="EK20" i="65"/>
  <c r="EJ20" i="65"/>
  <c r="EI20" i="65"/>
  <c r="EH20" i="65"/>
  <c r="EG20" i="65"/>
  <c r="EF20" i="65"/>
  <c r="EE20" i="65"/>
  <c r="ED20" i="65"/>
  <c r="EC20" i="65"/>
  <c r="DV20" i="65"/>
  <c r="DU20" i="65"/>
  <c r="DT20" i="65"/>
  <c r="DS20" i="65"/>
  <c r="DR20" i="65"/>
  <c r="DQ20" i="65"/>
  <c r="DP20" i="65"/>
  <c r="GC19" i="65"/>
  <c r="GB19" i="65"/>
  <c r="GA19" i="65"/>
  <c r="FZ19" i="65"/>
  <c r="FY19" i="65"/>
  <c r="FX19" i="65"/>
  <c r="FW19" i="65"/>
  <c r="FV19" i="65"/>
  <c r="FT19" i="65"/>
  <c r="FS19" i="65"/>
  <c r="FR19" i="65"/>
  <c r="FQ19" i="65"/>
  <c r="FP19" i="65"/>
  <c r="FO19" i="65"/>
  <c r="FN19" i="65"/>
  <c r="FM19" i="65"/>
  <c r="FK19" i="65"/>
  <c r="FI19" i="65"/>
  <c r="FH19" i="65"/>
  <c r="FG19" i="65"/>
  <c r="FF19" i="65"/>
  <c r="FE19" i="65"/>
  <c r="FD19" i="65"/>
  <c r="FC19" i="65"/>
  <c r="FB19" i="65"/>
  <c r="FA19" i="65"/>
  <c r="EZ19" i="65"/>
  <c r="EY19" i="65"/>
  <c r="EX19" i="65"/>
  <c r="EW19" i="65"/>
  <c r="EV19" i="65"/>
  <c r="EU19" i="65"/>
  <c r="ET19" i="65"/>
  <c r="ES19" i="65"/>
  <c r="ER19" i="65"/>
  <c r="EQ19" i="65"/>
  <c r="EP19" i="65"/>
  <c r="EO19" i="65"/>
  <c r="EN19" i="65"/>
  <c r="EM19" i="65"/>
  <c r="EL19" i="65"/>
  <c r="EK19" i="65"/>
  <c r="EJ19" i="65"/>
  <c r="EI19" i="65"/>
  <c r="EH19" i="65"/>
  <c r="EG19" i="65"/>
  <c r="EF19" i="65"/>
  <c r="EE19" i="65"/>
  <c r="ED19" i="65"/>
  <c r="EC19" i="65"/>
  <c r="DV19" i="65"/>
  <c r="DU19" i="65"/>
  <c r="DT19" i="65"/>
  <c r="DS19" i="65"/>
  <c r="DR19" i="65"/>
  <c r="DQ19" i="65"/>
  <c r="DP19" i="65"/>
  <c r="GC18" i="65"/>
  <c r="GB18" i="65"/>
  <c r="GA18" i="65"/>
  <c r="FZ18" i="65"/>
  <c r="FY18" i="65"/>
  <c r="FX18" i="65"/>
  <c r="FW18" i="65"/>
  <c r="FV18" i="65"/>
  <c r="FT18" i="65"/>
  <c r="FS18" i="65"/>
  <c r="FR18" i="65"/>
  <c r="FQ18" i="65"/>
  <c r="FP18" i="65"/>
  <c r="FO18" i="65"/>
  <c r="FN18" i="65"/>
  <c r="FM18" i="65"/>
  <c r="FK18" i="65"/>
  <c r="FI18" i="65"/>
  <c r="FH18" i="65"/>
  <c r="FG18" i="65"/>
  <c r="FF18" i="65"/>
  <c r="FE18" i="65"/>
  <c r="FD18" i="65"/>
  <c r="FC18" i="65"/>
  <c r="FB18" i="65"/>
  <c r="FA18" i="65"/>
  <c r="EZ18" i="65"/>
  <c r="EY18" i="65"/>
  <c r="EX18" i="65"/>
  <c r="EW18" i="65"/>
  <c r="EV18" i="65"/>
  <c r="EU18" i="65"/>
  <c r="ET18" i="65"/>
  <c r="ES18" i="65"/>
  <c r="ER18" i="65"/>
  <c r="EQ18" i="65"/>
  <c r="EP18" i="65"/>
  <c r="EO18" i="65"/>
  <c r="EN18" i="65"/>
  <c r="EM18" i="65"/>
  <c r="EL18" i="65"/>
  <c r="EK18" i="65"/>
  <c r="EJ18" i="65"/>
  <c r="EI18" i="65"/>
  <c r="EH18" i="65"/>
  <c r="EG18" i="65"/>
  <c r="EF18" i="65"/>
  <c r="EE18" i="65"/>
  <c r="ED18" i="65"/>
  <c r="EC18" i="65"/>
  <c r="DV18" i="65"/>
  <c r="DU18" i="65"/>
  <c r="DT18" i="65"/>
  <c r="DS18" i="65"/>
  <c r="DR18" i="65"/>
  <c r="DQ18" i="65"/>
  <c r="DP18" i="65"/>
  <c r="GC17" i="65"/>
  <c r="GB17" i="65"/>
  <c r="GA17" i="65"/>
  <c r="FZ17" i="65"/>
  <c r="FY17" i="65"/>
  <c r="FX17" i="65"/>
  <c r="FW17" i="65"/>
  <c r="FV17" i="65"/>
  <c r="FT17" i="65"/>
  <c r="FS17" i="65"/>
  <c r="FR17" i="65"/>
  <c r="FQ17" i="65"/>
  <c r="FP17" i="65"/>
  <c r="FO17" i="65"/>
  <c r="FN17" i="65"/>
  <c r="FM17" i="65"/>
  <c r="FK17" i="65"/>
  <c r="FI17" i="65"/>
  <c r="FH17" i="65"/>
  <c r="FG17" i="65"/>
  <c r="FF17" i="65"/>
  <c r="FE17" i="65"/>
  <c r="FD17" i="65"/>
  <c r="FC17" i="65"/>
  <c r="FB17" i="65"/>
  <c r="FA17" i="65"/>
  <c r="EZ17" i="65"/>
  <c r="EY17" i="65"/>
  <c r="EX17" i="65"/>
  <c r="EW17" i="65"/>
  <c r="EV17" i="65"/>
  <c r="EU17" i="65"/>
  <c r="ET17" i="65"/>
  <c r="ES17" i="65"/>
  <c r="ER17" i="65"/>
  <c r="EQ17" i="65"/>
  <c r="EP17" i="65"/>
  <c r="EO17" i="65"/>
  <c r="EN17" i="65"/>
  <c r="EM17" i="65"/>
  <c r="EL17" i="65"/>
  <c r="EK17" i="65"/>
  <c r="EJ17" i="65"/>
  <c r="EI17" i="65"/>
  <c r="EH17" i="65"/>
  <c r="EG17" i="65"/>
  <c r="EF17" i="65"/>
  <c r="EE17" i="65"/>
  <c r="ED17" i="65"/>
  <c r="EC17" i="65"/>
  <c r="DV17" i="65"/>
  <c r="DU17" i="65"/>
  <c r="DT17" i="65"/>
  <c r="DS17" i="65"/>
  <c r="DR17" i="65"/>
  <c r="DQ17" i="65"/>
  <c r="DP17" i="65"/>
  <c r="GC16" i="65"/>
  <c r="GB16" i="65"/>
  <c r="GA16" i="65"/>
  <c r="FZ16" i="65"/>
  <c r="FY16" i="65"/>
  <c r="FX16" i="65"/>
  <c r="FW16" i="65"/>
  <c r="FV16" i="65"/>
  <c r="FT16" i="65"/>
  <c r="FS16" i="65"/>
  <c r="FR16" i="65"/>
  <c r="FQ16" i="65"/>
  <c r="FP16" i="65"/>
  <c r="FO16" i="65"/>
  <c r="FN16" i="65"/>
  <c r="FM16" i="65"/>
  <c r="FK16" i="65"/>
  <c r="FI16" i="65"/>
  <c r="FH16" i="65"/>
  <c r="FG16" i="65"/>
  <c r="FF16" i="65"/>
  <c r="FE16" i="65"/>
  <c r="FD16" i="65"/>
  <c r="FC16" i="65"/>
  <c r="FB16" i="65"/>
  <c r="FA16" i="65"/>
  <c r="EZ16" i="65"/>
  <c r="EY16" i="65"/>
  <c r="EX16" i="65"/>
  <c r="EW16" i="65"/>
  <c r="EV16" i="65"/>
  <c r="EU16" i="65"/>
  <c r="ET16" i="65"/>
  <c r="ES16" i="65"/>
  <c r="ER16" i="65"/>
  <c r="EQ16" i="65"/>
  <c r="EP16" i="65"/>
  <c r="EO16" i="65"/>
  <c r="EN16" i="65"/>
  <c r="EM16" i="65"/>
  <c r="EL16" i="65"/>
  <c r="EK16" i="65"/>
  <c r="EJ16" i="65"/>
  <c r="EI16" i="65"/>
  <c r="EH16" i="65"/>
  <c r="EG16" i="65"/>
  <c r="EF16" i="65"/>
  <c r="EE16" i="65"/>
  <c r="ED16" i="65"/>
  <c r="EC16" i="65"/>
  <c r="DV16" i="65"/>
  <c r="DU16" i="65"/>
  <c r="DT16" i="65"/>
  <c r="DS16" i="65"/>
  <c r="DR16" i="65"/>
  <c r="DQ16" i="65"/>
  <c r="DP16" i="65"/>
  <c r="GC15" i="65"/>
  <c r="GB15" i="65"/>
  <c r="GA15" i="65"/>
  <c r="FZ15" i="65"/>
  <c r="FY15" i="65"/>
  <c r="FX15" i="65"/>
  <c r="FW15" i="65"/>
  <c r="FV15" i="65"/>
  <c r="FT15" i="65"/>
  <c r="FS15" i="65"/>
  <c r="FR15" i="65"/>
  <c r="FQ15" i="65"/>
  <c r="FP15" i="65"/>
  <c r="FO15" i="65"/>
  <c r="FN15" i="65"/>
  <c r="FM15" i="65"/>
  <c r="FK15" i="65"/>
  <c r="FI15" i="65"/>
  <c r="FH15" i="65"/>
  <c r="FG15" i="65"/>
  <c r="FF15" i="65"/>
  <c r="FE15" i="65"/>
  <c r="FD15" i="65"/>
  <c r="FC15" i="65"/>
  <c r="FB15" i="65"/>
  <c r="FA15" i="65"/>
  <c r="EZ15" i="65"/>
  <c r="EY15" i="65"/>
  <c r="EX15" i="65"/>
  <c r="EW15" i="65"/>
  <c r="EV15" i="65"/>
  <c r="EU15" i="65"/>
  <c r="ET15" i="65"/>
  <c r="ES15" i="65"/>
  <c r="ER15" i="65"/>
  <c r="EQ15" i="65"/>
  <c r="EP15" i="65"/>
  <c r="EO15" i="65"/>
  <c r="EN15" i="65"/>
  <c r="EM15" i="65"/>
  <c r="EL15" i="65"/>
  <c r="EK15" i="65"/>
  <c r="EJ15" i="65"/>
  <c r="EI15" i="65"/>
  <c r="EH15" i="65"/>
  <c r="EG15" i="65"/>
  <c r="EF15" i="65"/>
  <c r="EE15" i="65"/>
  <c r="ED15" i="65"/>
  <c r="EC15" i="65"/>
  <c r="DV15" i="65"/>
  <c r="DU15" i="65"/>
  <c r="DT15" i="65"/>
  <c r="DS15" i="65"/>
  <c r="DR15" i="65"/>
  <c r="DQ15" i="65"/>
  <c r="DP15" i="65"/>
  <c r="GC14" i="65"/>
  <c r="GB14" i="65"/>
  <c r="GA14" i="65"/>
  <c r="FZ14" i="65"/>
  <c r="FY14" i="65"/>
  <c r="FX14" i="65"/>
  <c r="FW14" i="65"/>
  <c r="FV14" i="65"/>
  <c r="FT14" i="65"/>
  <c r="FS14" i="65"/>
  <c r="FR14" i="65"/>
  <c r="FQ14" i="65"/>
  <c r="FP14" i="65"/>
  <c r="FO14" i="65"/>
  <c r="FN14" i="65"/>
  <c r="FM14" i="65"/>
  <c r="FK14" i="65"/>
  <c r="FI14" i="65"/>
  <c r="FH14" i="65"/>
  <c r="FG14" i="65"/>
  <c r="FF14" i="65"/>
  <c r="FE14" i="65"/>
  <c r="FD14" i="65"/>
  <c r="FC14" i="65"/>
  <c r="FB14" i="65"/>
  <c r="FA14" i="65"/>
  <c r="EZ14" i="65"/>
  <c r="EY14" i="65"/>
  <c r="EX14" i="65"/>
  <c r="EW14" i="65"/>
  <c r="EV14" i="65"/>
  <c r="EU14" i="65"/>
  <c r="ET14" i="65"/>
  <c r="ES14" i="65"/>
  <c r="ER14" i="65"/>
  <c r="EQ14" i="65"/>
  <c r="EP14" i="65"/>
  <c r="EO14" i="65"/>
  <c r="EN14" i="65"/>
  <c r="EM14" i="65"/>
  <c r="EL14" i="65"/>
  <c r="EK14" i="65"/>
  <c r="EJ14" i="65"/>
  <c r="EI14" i="65"/>
  <c r="EH14" i="65"/>
  <c r="EG14" i="65"/>
  <c r="EF14" i="65"/>
  <c r="EE14" i="65"/>
  <c r="ED14" i="65"/>
  <c r="EC14" i="65"/>
  <c r="DV14" i="65"/>
  <c r="DU14" i="65"/>
  <c r="DT14" i="65"/>
  <c r="DS14" i="65"/>
  <c r="DR14" i="65"/>
  <c r="DQ14" i="65"/>
  <c r="DP14" i="65"/>
  <c r="GC13" i="65"/>
  <c r="GB13" i="65"/>
  <c r="GA13" i="65"/>
  <c r="FZ13" i="65"/>
  <c r="FY13" i="65"/>
  <c r="FX13" i="65"/>
  <c r="FW13" i="65"/>
  <c r="FV13" i="65"/>
  <c r="FT13" i="65"/>
  <c r="FS13" i="65"/>
  <c r="FR13" i="65"/>
  <c r="FQ13" i="65"/>
  <c r="FP13" i="65"/>
  <c r="FO13" i="65"/>
  <c r="FN13" i="65"/>
  <c r="FM13" i="65"/>
  <c r="FK13" i="65"/>
  <c r="FI13" i="65"/>
  <c r="FH13" i="65"/>
  <c r="FG13" i="65"/>
  <c r="FF13" i="65"/>
  <c r="FE13" i="65"/>
  <c r="FD13" i="65"/>
  <c r="FC13" i="65"/>
  <c r="FB13" i="65"/>
  <c r="FA13" i="65"/>
  <c r="EZ13" i="65"/>
  <c r="EY13" i="65"/>
  <c r="EX13" i="65"/>
  <c r="EW13" i="65"/>
  <c r="EV13" i="65"/>
  <c r="EU13" i="65"/>
  <c r="ET13" i="65"/>
  <c r="ES13" i="65"/>
  <c r="ER13" i="65"/>
  <c r="EQ13" i="65"/>
  <c r="EP13" i="65"/>
  <c r="EO13" i="65"/>
  <c r="EN13" i="65"/>
  <c r="EM13" i="65"/>
  <c r="EL13" i="65"/>
  <c r="EK13" i="65"/>
  <c r="EJ13" i="65"/>
  <c r="EI13" i="65"/>
  <c r="EH13" i="65"/>
  <c r="EG13" i="65"/>
  <c r="EF13" i="65"/>
  <c r="EE13" i="65"/>
  <c r="ED13" i="65"/>
  <c r="EC13" i="65"/>
  <c r="DV13" i="65"/>
  <c r="DU13" i="65"/>
  <c r="DT13" i="65"/>
  <c r="DS13" i="65"/>
  <c r="DR13" i="65"/>
  <c r="DQ13" i="65"/>
  <c r="DP13" i="65"/>
  <c r="GC12" i="65"/>
  <c r="GB12" i="65"/>
  <c r="GA12" i="65"/>
  <c r="FZ12" i="65"/>
  <c r="FY12" i="65"/>
  <c r="FX12" i="65"/>
  <c r="FW12" i="65"/>
  <c r="FV12" i="65"/>
  <c r="FT12" i="65"/>
  <c r="FS12" i="65"/>
  <c r="FR12" i="65"/>
  <c r="FQ12" i="65"/>
  <c r="FP12" i="65"/>
  <c r="FO12" i="65"/>
  <c r="FN12" i="65"/>
  <c r="FM12" i="65"/>
  <c r="FK12" i="65"/>
  <c r="FI12" i="65"/>
  <c r="FH12" i="65"/>
  <c r="FG12" i="65"/>
  <c r="FF12" i="65"/>
  <c r="FE12" i="65"/>
  <c r="FD12" i="65"/>
  <c r="FC12" i="65"/>
  <c r="FB12" i="65"/>
  <c r="FA12" i="65"/>
  <c r="EZ12" i="65"/>
  <c r="EY12" i="65"/>
  <c r="EX12" i="65"/>
  <c r="EW12" i="65"/>
  <c r="EV12" i="65"/>
  <c r="EU12" i="65"/>
  <c r="ET12" i="65"/>
  <c r="ES12" i="65"/>
  <c r="ER12" i="65"/>
  <c r="EQ12" i="65"/>
  <c r="EP12" i="65"/>
  <c r="EO12" i="65"/>
  <c r="EN12" i="65"/>
  <c r="EM12" i="65"/>
  <c r="EL12" i="65"/>
  <c r="EK12" i="65"/>
  <c r="EJ12" i="65"/>
  <c r="EI12" i="65"/>
  <c r="EH12" i="65"/>
  <c r="EG12" i="65"/>
  <c r="EF12" i="65"/>
  <c r="EE12" i="65"/>
  <c r="ED12" i="65"/>
  <c r="EC12" i="65"/>
  <c r="DV12" i="65"/>
  <c r="DU12" i="65"/>
  <c r="DT12" i="65"/>
  <c r="DS12" i="65"/>
  <c r="DR12" i="65"/>
  <c r="DQ12" i="65"/>
  <c r="DP12" i="65"/>
  <c r="GC11" i="65"/>
  <c r="GB11" i="65"/>
  <c r="GA11" i="65"/>
  <c r="FZ11" i="65"/>
  <c r="FY11" i="65"/>
  <c r="FX11" i="65"/>
  <c r="FW11" i="65"/>
  <c r="FV11" i="65"/>
  <c r="FT11" i="65"/>
  <c r="FS11" i="65"/>
  <c r="FR11" i="65"/>
  <c r="FQ11" i="65"/>
  <c r="FP11" i="65"/>
  <c r="FO11" i="65"/>
  <c r="FN11" i="65"/>
  <c r="FM11" i="65"/>
  <c r="FK11" i="65"/>
  <c r="FI11" i="65"/>
  <c r="FH11" i="65"/>
  <c r="FG11" i="65"/>
  <c r="FF11" i="65"/>
  <c r="FE11" i="65"/>
  <c r="FD11" i="65"/>
  <c r="FC11" i="65"/>
  <c r="FB11" i="65"/>
  <c r="FA11" i="65"/>
  <c r="EZ11" i="65"/>
  <c r="EY11" i="65"/>
  <c r="EX11" i="65"/>
  <c r="EW11" i="65"/>
  <c r="EV11" i="65"/>
  <c r="EU11" i="65"/>
  <c r="ET11" i="65"/>
  <c r="ES11" i="65"/>
  <c r="ER11" i="65"/>
  <c r="EQ11" i="65"/>
  <c r="EP11" i="65"/>
  <c r="EO11" i="65"/>
  <c r="EN11" i="65"/>
  <c r="EM11" i="65"/>
  <c r="EL11" i="65"/>
  <c r="EK11" i="65"/>
  <c r="EJ11" i="65"/>
  <c r="EI11" i="65"/>
  <c r="EH11" i="65"/>
  <c r="EG11" i="65"/>
  <c r="EF11" i="65"/>
  <c r="EE11" i="65"/>
  <c r="ED11" i="65"/>
  <c r="EC11" i="65"/>
  <c r="DV11" i="65"/>
  <c r="DU11" i="65"/>
  <c r="DT11" i="65"/>
  <c r="DS11" i="65"/>
  <c r="DR11" i="65"/>
  <c r="DQ11" i="65"/>
  <c r="DP11" i="65"/>
  <c r="GC10" i="65"/>
  <c r="GB10" i="65"/>
  <c r="GA10" i="65"/>
  <c r="FZ10" i="65"/>
  <c r="FY10" i="65"/>
  <c r="FX10" i="65"/>
  <c r="FW10" i="65"/>
  <c r="FV10" i="65"/>
  <c r="FT10" i="65"/>
  <c r="FS10" i="65"/>
  <c r="FR10" i="65"/>
  <c r="FQ10" i="65"/>
  <c r="FP10" i="65"/>
  <c r="FO10" i="65"/>
  <c r="FN10" i="65"/>
  <c r="FM10" i="65"/>
  <c r="FK10" i="65"/>
  <c r="FI10" i="65"/>
  <c r="FH10" i="65"/>
  <c r="FG10" i="65"/>
  <c r="FF10" i="65"/>
  <c r="FE10" i="65"/>
  <c r="FD10" i="65"/>
  <c r="FC10" i="65"/>
  <c r="FB10" i="65"/>
  <c r="FA10" i="65"/>
  <c r="EZ10" i="65"/>
  <c r="EY10" i="65"/>
  <c r="EX10" i="65"/>
  <c r="EW10" i="65"/>
  <c r="EV10" i="65"/>
  <c r="EU10" i="65"/>
  <c r="ET10" i="65"/>
  <c r="ES10" i="65"/>
  <c r="ER10" i="65"/>
  <c r="EQ10" i="65"/>
  <c r="EP10" i="65"/>
  <c r="EO10" i="65"/>
  <c r="EN10" i="65"/>
  <c r="EM10" i="65"/>
  <c r="EL10" i="65"/>
  <c r="EK10" i="65"/>
  <c r="EJ10" i="65"/>
  <c r="EI10" i="65"/>
  <c r="EH10" i="65"/>
  <c r="EG10" i="65"/>
  <c r="EF10" i="65"/>
  <c r="EE10" i="65"/>
  <c r="ED10" i="65"/>
  <c r="EC10" i="65"/>
  <c r="DV10" i="65"/>
  <c r="DU10" i="65"/>
  <c r="DT10" i="65"/>
  <c r="DS10" i="65"/>
  <c r="DR10" i="65"/>
  <c r="DQ10" i="65"/>
  <c r="DP10" i="65"/>
  <c r="GC9" i="65"/>
  <c r="GB9" i="65"/>
  <c r="GA9" i="65"/>
  <c r="FZ9" i="65"/>
  <c r="FY9" i="65"/>
  <c r="FX9" i="65"/>
  <c r="FW9" i="65"/>
  <c r="FV9" i="65"/>
  <c r="FU40" i="65"/>
  <c r="FT9" i="65"/>
  <c r="FS9" i="65"/>
  <c r="FR9" i="65"/>
  <c r="FQ9" i="65"/>
  <c r="FP9" i="65"/>
  <c r="FO9" i="65"/>
  <c r="FN9" i="65"/>
  <c r="FM9" i="65"/>
  <c r="FL9" i="65"/>
  <c r="FK9" i="65"/>
  <c r="FJ9" i="65"/>
  <c r="FI9" i="65"/>
  <c r="FH9" i="65"/>
  <c r="FG9" i="65"/>
  <c r="FF9" i="65"/>
  <c r="FE9" i="65"/>
  <c r="FD9" i="65"/>
  <c r="FC9" i="65"/>
  <c r="FB9" i="65"/>
  <c r="FA9" i="65"/>
  <c r="EZ9" i="65"/>
  <c r="EY9" i="65"/>
  <c r="EX9" i="65"/>
  <c r="EW9" i="65"/>
  <c r="EV9" i="65"/>
  <c r="EU9" i="65"/>
  <c r="ET9" i="65"/>
  <c r="ES9" i="65"/>
  <c r="ER9" i="65"/>
  <c r="EQ9" i="65"/>
  <c r="EP9" i="65"/>
  <c r="EO9" i="65"/>
  <c r="EN9" i="65"/>
  <c r="EM9" i="65"/>
  <c r="EL9" i="65"/>
  <c r="EK9" i="65"/>
  <c r="EJ9" i="65"/>
  <c r="EI9" i="65"/>
  <c r="EH9" i="65"/>
  <c r="EG9" i="65"/>
  <c r="EF9" i="65"/>
  <c r="EE9" i="65"/>
  <c r="ED9" i="65"/>
  <c r="EC9" i="65"/>
  <c r="DV9" i="65"/>
  <c r="DU9" i="65"/>
  <c r="DT9" i="65"/>
  <c r="DS9" i="65"/>
  <c r="DR9" i="65"/>
  <c r="DQ9" i="65"/>
  <c r="DP9" i="65"/>
  <c r="FE7" i="65"/>
  <c r="EJ7" i="65"/>
  <c r="EH7" i="65"/>
  <c r="EB7" i="65"/>
  <c r="EA7" i="65"/>
  <c r="DZ7" i="65"/>
  <c r="DV7" i="65"/>
  <c r="DT7" i="65"/>
  <c r="EB40" i="69"/>
  <c r="EA40" i="69"/>
  <c r="DZ40" i="69"/>
  <c r="DY40" i="69"/>
  <c r="DX40" i="69"/>
  <c r="DW40" i="69"/>
  <c r="DV39" i="69"/>
  <c r="DU39" i="69"/>
  <c r="DT39" i="69"/>
  <c r="DS39" i="69"/>
  <c r="DR39" i="69"/>
  <c r="DQ39" i="69"/>
  <c r="DP39" i="69"/>
  <c r="DV38" i="69"/>
  <c r="DU38" i="69"/>
  <c r="DT38" i="69"/>
  <c r="DS38" i="69"/>
  <c r="DR38" i="69"/>
  <c r="DQ38" i="69"/>
  <c r="DP38" i="69"/>
  <c r="DV37" i="69"/>
  <c r="DU37" i="69"/>
  <c r="DT37" i="69"/>
  <c r="DS37" i="69"/>
  <c r="DR37" i="69"/>
  <c r="DQ37" i="69"/>
  <c r="DP37" i="69"/>
  <c r="GC36" i="69"/>
  <c r="GB36" i="69"/>
  <c r="GA36" i="69"/>
  <c r="FZ36" i="69"/>
  <c r="FY36" i="69"/>
  <c r="FX36" i="69"/>
  <c r="FW36" i="69"/>
  <c r="FV36" i="69"/>
  <c r="FT36" i="69"/>
  <c r="FS36" i="69"/>
  <c r="FQ36" i="69"/>
  <c r="FO36" i="69"/>
  <c r="FN36" i="69"/>
  <c r="FM36" i="69"/>
  <c r="FK36" i="69"/>
  <c r="FI36" i="69"/>
  <c r="FH36" i="69"/>
  <c r="FG36" i="69"/>
  <c r="FF36" i="69"/>
  <c r="FE36" i="69"/>
  <c r="FD36" i="69"/>
  <c r="FC36" i="69"/>
  <c r="FB36" i="69"/>
  <c r="FA36" i="69"/>
  <c r="EZ36" i="69"/>
  <c r="EY36" i="69"/>
  <c r="EX36" i="69"/>
  <c r="EW36" i="69"/>
  <c r="EV36" i="69"/>
  <c r="EU36" i="69"/>
  <c r="ET36" i="69"/>
  <c r="ES36" i="69"/>
  <c r="ER36" i="69"/>
  <c r="EQ36" i="69"/>
  <c r="EP36" i="69"/>
  <c r="EO36" i="69"/>
  <c r="EN36" i="69"/>
  <c r="EM36" i="69"/>
  <c r="EL36" i="69"/>
  <c r="EK36" i="69"/>
  <c r="EJ36" i="69"/>
  <c r="EI36" i="69"/>
  <c r="EH36" i="69"/>
  <c r="EG36" i="69"/>
  <c r="EF36" i="69"/>
  <c r="EE36" i="69"/>
  <c r="ED36" i="69"/>
  <c r="EC36" i="69"/>
  <c r="DV36" i="69"/>
  <c r="DU36" i="69"/>
  <c r="DT36" i="69"/>
  <c r="DS36" i="69"/>
  <c r="DR36" i="69"/>
  <c r="DQ36" i="69"/>
  <c r="DP36" i="69"/>
  <c r="GC35" i="69"/>
  <c r="GB35" i="69"/>
  <c r="GA35" i="69"/>
  <c r="FZ35" i="69"/>
  <c r="FY35" i="69"/>
  <c r="FX35" i="69"/>
  <c r="FW35" i="69"/>
  <c r="FV35" i="69"/>
  <c r="FT35" i="69"/>
  <c r="FS35" i="69"/>
  <c r="FQ35" i="69"/>
  <c r="FO35" i="69"/>
  <c r="FN35" i="69"/>
  <c r="FM35" i="69"/>
  <c r="FK35" i="69"/>
  <c r="FI35" i="69"/>
  <c r="FH35" i="69"/>
  <c r="FG35" i="69"/>
  <c r="FF35" i="69"/>
  <c r="FE35" i="69"/>
  <c r="FD35" i="69"/>
  <c r="FC35" i="69"/>
  <c r="FB35" i="69"/>
  <c r="FA35" i="69"/>
  <c r="EZ35" i="69"/>
  <c r="EY35" i="69"/>
  <c r="EX35" i="69"/>
  <c r="EW35" i="69"/>
  <c r="EV35" i="69"/>
  <c r="EU35" i="69"/>
  <c r="ET35" i="69"/>
  <c r="ES35" i="69"/>
  <c r="ER35" i="69"/>
  <c r="EQ35" i="69"/>
  <c r="EP35" i="69"/>
  <c r="EO35" i="69"/>
  <c r="EN35" i="69"/>
  <c r="EM35" i="69"/>
  <c r="EL35" i="69"/>
  <c r="EK35" i="69"/>
  <c r="EJ35" i="69"/>
  <c r="EI35" i="69"/>
  <c r="EH35" i="69"/>
  <c r="EG35" i="69"/>
  <c r="EF35" i="69"/>
  <c r="EE35" i="69"/>
  <c r="ED35" i="69"/>
  <c r="EC35" i="69"/>
  <c r="DV35" i="69"/>
  <c r="DU35" i="69"/>
  <c r="DT35" i="69"/>
  <c r="DS35" i="69"/>
  <c r="DR35" i="69"/>
  <c r="DQ35" i="69"/>
  <c r="DP35" i="69"/>
  <c r="GC34" i="69"/>
  <c r="GB34" i="69"/>
  <c r="GA34" i="69"/>
  <c r="FZ34" i="69"/>
  <c r="FY34" i="69"/>
  <c r="FX34" i="69"/>
  <c r="FW34" i="69"/>
  <c r="FV34" i="69"/>
  <c r="FT34" i="69"/>
  <c r="FS34" i="69"/>
  <c r="FQ34" i="69"/>
  <c r="FO34" i="69"/>
  <c r="FN34" i="69"/>
  <c r="FM34" i="69"/>
  <c r="FK34" i="69"/>
  <c r="FI34" i="69"/>
  <c r="FH34" i="69"/>
  <c r="FG34" i="69"/>
  <c r="FF34" i="69"/>
  <c r="FE34" i="69"/>
  <c r="FD34" i="69"/>
  <c r="FC34" i="69"/>
  <c r="FB34" i="69"/>
  <c r="FA34" i="69"/>
  <c r="EZ34" i="69"/>
  <c r="EY34" i="69"/>
  <c r="EX34" i="69"/>
  <c r="EW34" i="69"/>
  <c r="EV34" i="69"/>
  <c r="EU34" i="69"/>
  <c r="ET34" i="69"/>
  <c r="ES34" i="69"/>
  <c r="ER34" i="69"/>
  <c r="EQ34" i="69"/>
  <c r="EP34" i="69"/>
  <c r="EO34" i="69"/>
  <c r="EN34" i="69"/>
  <c r="EM34" i="69"/>
  <c r="EL34" i="69"/>
  <c r="EK34" i="69"/>
  <c r="EJ34" i="69"/>
  <c r="EI34" i="69"/>
  <c r="EH34" i="69"/>
  <c r="EG34" i="69"/>
  <c r="EF34" i="69"/>
  <c r="EE34" i="69"/>
  <c r="ED34" i="69"/>
  <c r="EC34" i="69"/>
  <c r="DV34" i="69"/>
  <c r="DU34" i="69"/>
  <c r="DT34" i="69"/>
  <c r="DS34" i="69"/>
  <c r="DR34" i="69"/>
  <c r="DQ34" i="69"/>
  <c r="DP34" i="69"/>
  <c r="GC33" i="69"/>
  <c r="GB33" i="69"/>
  <c r="GA33" i="69"/>
  <c r="FZ33" i="69"/>
  <c r="FY33" i="69"/>
  <c r="FX33" i="69"/>
  <c r="FW33" i="69"/>
  <c r="FV33" i="69"/>
  <c r="FT33" i="69"/>
  <c r="FS33" i="69"/>
  <c r="FQ33" i="69"/>
  <c r="FO33" i="69"/>
  <c r="FN33" i="69"/>
  <c r="FM33" i="69"/>
  <c r="FK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DV33" i="69"/>
  <c r="DU33" i="69"/>
  <c r="DT33" i="69"/>
  <c r="DS33" i="69"/>
  <c r="DR33" i="69"/>
  <c r="DQ33" i="69"/>
  <c r="DP33" i="69"/>
  <c r="GC32" i="69"/>
  <c r="GB32" i="69"/>
  <c r="GA32" i="69"/>
  <c r="FZ32" i="69"/>
  <c r="FY32" i="69"/>
  <c r="FX32" i="69"/>
  <c r="FW32" i="69"/>
  <c r="FV32" i="69"/>
  <c r="FT32" i="69"/>
  <c r="FS32" i="69"/>
  <c r="FQ32" i="69"/>
  <c r="FO32" i="69"/>
  <c r="FN32" i="69"/>
  <c r="FM32" i="69"/>
  <c r="FK32" i="69"/>
  <c r="FI32" i="69"/>
  <c r="FH32" i="69"/>
  <c r="FG32" i="69"/>
  <c r="FF32" i="69"/>
  <c r="FE32" i="69"/>
  <c r="FD32" i="69"/>
  <c r="FC32" i="69"/>
  <c r="FB32" i="69"/>
  <c r="FA32" i="69"/>
  <c r="EZ32" i="69"/>
  <c r="EY32" i="69"/>
  <c r="EX32" i="69"/>
  <c r="EW32" i="69"/>
  <c r="EV32" i="69"/>
  <c r="EU32" i="69"/>
  <c r="ET32" i="69"/>
  <c r="ES32" i="69"/>
  <c r="ER32" i="69"/>
  <c r="EQ32" i="69"/>
  <c r="EP32" i="69"/>
  <c r="EO32" i="69"/>
  <c r="EN32" i="69"/>
  <c r="EM32" i="69"/>
  <c r="EL32" i="69"/>
  <c r="EK32" i="69"/>
  <c r="EJ32" i="69"/>
  <c r="EI32" i="69"/>
  <c r="EH32" i="69"/>
  <c r="EG32" i="69"/>
  <c r="EF32" i="69"/>
  <c r="EE32" i="69"/>
  <c r="ED32" i="69"/>
  <c r="EC32" i="69"/>
  <c r="DV32" i="69"/>
  <c r="DU32" i="69"/>
  <c r="DT32" i="69"/>
  <c r="DS32" i="69"/>
  <c r="DR32" i="69"/>
  <c r="DQ32" i="69"/>
  <c r="DP32" i="69"/>
  <c r="GC31" i="69"/>
  <c r="GB31" i="69"/>
  <c r="GA31" i="69"/>
  <c r="FZ31" i="69"/>
  <c r="FY31" i="69"/>
  <c r="FX31" i="69"/>
  <c r="FW31" i="69"/>
  <c r="FV31" i="69"/>
  <c r="FT31" i="69"/>
  <c r="FS31" i="69"/>
  <c r="FQ31" i="69"/>
  <c r="FO31" i="69"/>
  <c r="FN31" i="69"/>
  <c r="FM31" i="69"/>
  <c r="FK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DV31" i="69"/>
  <c r="DU31" i="69"/>
  <c r="DT31" i="69"/>
  <c r="DS31" i="69"/>
  <c r="DR31" i="69"/>
  <c r="DQ31" i="69"/>
  <c r="DP31" i="69"/>
  <c r="GC30" i="69"/>
  <c r="GB30" i="69"/>
  <c r="GA30" i="69"/>
  <c r="FZ30" i="69"/>
  <c r="FY30" i="69"/>
  <c r="FX30" i="69"/>
  <c r="FW30" i="69"/>
  <c r="FV30" i="69"/>
  <c r="FT30" i="69"/>
  <c r="FS30" i="69"/>
  <c r="FQ30" i="69"/>
  <c r="FO30" i="69"/>
  <c r="FN30" i="69"/>
  <c r="FM30" i="69"/>
  <c r="FK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DV30" i="69"/>
  <c r="DU30" i="69"/>
  <c r="DT30" i="69"/>
  <c r="DS30" i="69"/>
  <c r="DR30" i="69"/>
  <c r="DQ30" i="69"/>
  <c r="DP30" i="69"/>
  <c r="GC29" i="69"/>
  <c r="GB29" i="69"/>
  <c r="GA29" i="69"/>
  <c r="FZ29" i="69"/>
  <c r="FY29" i="69"/>
  <c r="FX29" i="69"/>
  <c r="FW29" i="69"/>
  <c r="FV29" i="69"/>
  <c r="FT29" i="69"/>
  <c r="FS29" i="69"/>
  <c r="FQ29" i="69"/>
  <c r="FO29" i="69"/>
  <c r="FN29" i="69"/>
  <c r="FM29" i="69"/>
  <c r="FK29" i="69"/>
  <c r="FI29" i="69"/>
  <c r="FH29" i="69"/>
  <c r="FG29" i="69"/>
  <c r="FF29" i="69"/>
  <c r="FE29" i="69"/>
  <c r="FD29" i="69"/>
  <c r="FC29" i="69"/>
  <c r="FB29" i="69"/>
  <c r="FA29" i="69"/>
  <c r="EZ29" i="69"/>
  <c r="EY29" i="69"/>
  <c r="EX29" i="69"/>
  <c r="EW29" i="69"/>
  <c r="EV29" i="69"/>
  <c r="EU29" i="69"/>
  <c r="ET29" i="69"/>
  <c r="ES29" i="69"/>
  <c r="ER29" i="69"/>
  <c r="EQ29" i="69"/>
  <c r="EP29" i="69"/>
  <c r="EO29" i="69"/>
  <c r="EN29" i="69"/>
  <c r="EM29" i="69"/>
  <c r="EL29" i="69"/>
  <c r="EK29" i="69"/>
  <c r="EJ29" i="69"/>
  <c r="EI29" i="69"/>
  <c r="EH29" i="69"/>
  <c r="EG29" i="69"/>
  <c r="EF29" i="69"/>
  <c r="EE29" i="69"/>
  <c r="ED29" i="69"/>
  <c r="EC29" i="69"/>
  <c r="DV29" i="69"/>
  <c r="DU29" i="69"/>
  <c r="DT29" i="69"/>
  <c r="DS29" i="69"/>
  <c r="DR29" i="69"/>
  <c r="DQ29" i="69"/>
  <c r="DP29" i="69"/>
  <c r="GC28" i="69"/>
  <c r="GB28" i="69"/>
  <c r="GA28" i="69"/>
  <c r="FZ28" i="69"/>
  <c r="FY28" i="69"/>
  <c r="FX28" i="69"/>
  <c r="FW28" i="69"/>
  <c r="FV28" i="69"/>
  <c r="FT28" i="69"/>
  <c r="FS28" i="69"/>
  <c r="FQ28" i="69"/>
  <c r="FO28" i="69"/>
  <c r="FN28" i="69"/>
  <c r="FM28" i="69"/>
  <c r="FK28" i="69"/>
  <c r="FI28" i="69"/>
  <c r="FH28" i="69"/>
  <c r="FG28" i="69"/>
  <c r="FF28" i="69"/>
  <c r="FE28" i="69"/>
  <c r="FD28" i="69"/>
  <c r="FC28" i="69"/>
  <c r="FB28" i="69"/>
  <c r="FA28" i="69"/>
  <c r="EZ28" i="69"/>
  <c r="EY28" i="69"/>
  <c r="EX28" i="69"/>
  <c r="EW28" i="69"/>
  <c r="EV28" i="69"/>
  <c r="EU28" i="69"/>
  <c r="ET28" i="69"/>
  <c r="ES28" i="69"/>
  <c r="ER28" i="69"/>
  <c r="EQ28" i="69"/>
  <c r="EP28" i="69"/>
  <c r="EO28" i="69"/>
  <c r="EN28" i="69"/>
  <c r="EM28" i="69"/>
  <c r="EL28" i="69"/>
  <c r="EK28" i="69"/>
  <c r="EJ28" i="69"/>
  <c r="EI28" i="69"/>
  <c r="EH28" i="69"/>
  <c r="EG28" i="69"/>
  <c r="EF28" i="69"/>
  <c r="EE28" i="69"/>
  <c r="ED28" i="69"/>
  <c r="EC28" i="69"/>
  <c r="DV28" i="69"/>
  <c r="DU28" i="69"/>
  <c r="DT28" i="69"/>
  <c r="DS28" i="69"/>
  <c r="DR28" i="69"/>
  <c r="DQ28" i="69"/>
  <c r="DP28" i="69"/>
  <c r="GC27" i="69"/>
  <c r="GB27" i="69"/>
  <c r="GA27" i="69"/>
  <c r="FZ27" i="69"/>
  <c r="FY27" i="69"/>
  <c r="FX27" i="69"/>
  <c r="FW27" i="69"/>
  <c r="FV27" i="69"/>
  <c r="FT27" i="69"/>
  <c r="FS27" i="69"/>
  <c r="FQ27" i="69"/>
  <c r="FO27" i="69"/>
  <c r="FN27" i="69"/>
  <c r="FM27" i="69"/>
  <c r="FK27" i="69"/>
  <c r="FI27" i="69"/>
  <c r="FH27" i="69"/>
  <c r="FG27" i="69"/>
  <c r="FF27" i="69"/>
  <c r="FE27" i="69"/>
  <c r="FD27" i="69"/>
  <c r="FC27" i="69"/>
  <c r="FB27" i="69"/>
  <c r="FA27" i="69"/>
  <c r="EZ27" i="69"/>
  <c r="EY27" i="69"/>
  <c r="EX27" i="69"/>
  <c r="EW27" i="69"/>
  <c r="EV27" i="69"/>
  <c r="EU27" i="69"/>
  <c r="ET27" i="69"/>
  <c r="ES27" i="69"/>
  <c r="ER27" i="69"/>
  <c r="EQ27" i="69"/>
  <c r="EP27" i="69"/>
  <c r="EO27" i="69"/>
  <c r="EN27" i="69"/>
  <c r="EM27" i="69"/>
  <c r="EL27" i="69"/>
  <c r="EK27" i="69"/>
  <c r="EJ27" i="69"/>
  <c r="EI27" i="69"/>
  <c r="EH27" i="69"/>
  <c r="EG27" i="69"/>
  <c r="EF27" i="69"/>
  <c r="EE27" i="69"/>
  <c r="ED27" i="69"/>
  <c r="EC27" i="69"/>
  <c r="DV27" i="69"/>
  <c r="DU27" i="69"/>
  <c r="DT27" i="69"/>
  <c r="DS27" i="69"/>
  <c r="DR27" i="69"/>
  <c r="DQ27" i="69"/>
  <c r="DP27" i="69"/>
  <c r="GC26" i="69"/>
  <c r="GB26" i="69"/>
  <c r="GA26" i="69"/>
  <c r="FZ26" i="69"/>
  <c r="FY26" i="69"/>
  <c r="FX26" i="69"/>
  <c r="FW26" i="69"/>
  <c r="FV26" i="69"/>
  <c r="FT26" i="69"/>
  <c r="FS26" i="69"/>
  <c r="FQ26" i="69"/>
  <c r="FO26" i="69"/>
  <c r="FN26" i="69"/>
  <c r="FM26" i="69"/>
  <c r="FK26" i="69"/>
  <c r="FI26"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DV26" i="69"/>
  <c r="DU26" i="69"/>
  <c r="DT26" i="69"/>
  <c r="DS26" i="69"/>
  <c r="DR26" i="69"/>
  <c r="DQ26" i="69"/>
  <c r="DP26" i="69"/>
  <c r="GC25" i="69"/>
  <c r="GB25" i="69"/>
  <c r="GA25" i="69"/>
  <c r="FZ25" i="69"/>
  <c r="FY25" i="69"/>
  <c r="FX25" i="69"/>
  <c r="FW25" i="69"/>
  <c r="FV25" i="69"/>
  <c r="FT25" i="69"/>
  <c r="FS25" i="69"/>
  <c r="FQ25" i="69"/>
  <c r="FO25" i="69"/>
  <c r="FN25" i="69"/>
  <c r="FM25" i="69"/>
  <c r="FK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DV25" i="69"/>
  <c r="DU25" i="69"/>
  <c r="DT25" i="69"/>
  <c r="DS25" i="69"/>
  <c r="DR25" i="69"/>
  <c r="DQ25" i="69"/>
  <c r="DP25" i="69"/>
  <c r="GC24" i="69"/>
  <c r="GB24" i="69"/>
  <c r="GA24" i="69"/>
  <c r="FZ24" i="69"/>
  <c r="FY24" i="69"/>
  <c r="FX24" i="69"/>
  <c r="FW24" i="69"/>
  <c r="FV24" i="69"/>
  <c r="FT24" i="69"/>
  <c r="FS24" i="69"/>
  <c r="FQ24" i="69"/>
  <c r="FO24" i="69"/>
  <c r="FN24" i="69"/>
  <c r="FM24" i="69"/>
  <c r="FK24" i="69"/>
  <c r="FI24" i="69"/>
  <c r="FH24" i="69"/>
  <c r="FG24" i="69"/>
  <c r="FF24" i="69"/>
  <c r="FE24" i="69"/>
  <c r="FD24" i="69"/>
  <c r="FC24" i="69"/>
  <c r="FB24" i="69"/>
  <c r="FA24" i="69"/>
  <c r="EZ24" i="69"/>
  <c r="EY24" i="69"/>
  <c r="EX24" i="69"/>
  <c r="EW24" i="69"/>
  <c r="EV24" i="69"/>
  <c r="EU24" i="69"/>
  <c r="ET24" i="69"/>
  <c r="ES24" i="69"/>
  <c r="ER24" i="69"/>
  <c r="EQ24" i="69"/>
  <c r="EP24" i="69"/>
  <c r="EO24" i="69"/>
  <c r="EN24" i="69"/>
  <c r="EM24" i="69"/>
  <c r="EL24" i="69"/>
  <c r="EK24" i="69"/>
  <c r="EJ24" i="69"/>
  <c r="EI24" i="69"/>
  <c r="EH24" i="69"/>
  <c r="EG24" i="69"/>
  <c r="EF24" i="69"/>
  <c r="EE24" i="69"/>
  <c r="ED24" i="69"/>
  <c r="EC24" i="69"/>
  <c r="DV24" i="69"/>
  <c r="DU24" i="69"/>
  <c r="DT24" i="69"/>
  <c r="DS24" i="69"/>
  <c r="DR24" i="69"/>
  <c r="DQ24" i="69"/>
  <c r="DP24" i="69"/>
  <c r="GC23" i="69"/>
  <c r="GB23" i="69"/>
  <c r="GA23" i="69"/>
  <c r="FZ23" i="69"/>
  <c r="FY23" i="69"/>
  <c r="FX23" i="69"/>
  <c r="FW23" i="69"/>
  <c r="FV23" i="69"/>
  <c r="FT23" i="69"/>
  <c r="FS23" i="69"/>
  <c r="FQ23" i="69"/>
  <c r="FO23" i="69"/>
  <c r="FN23" i="69"/>
  <c r="FM23" i="69"/>
  <c r="FK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DV23" i="69"/>
  <c r="DU23" i="69"/>
  <c r="DT23" i="69"/>
  <c r="DS23" i="69"/>
  <c r="DR23" i="69"/>
  <c r="DQ23" i="69"/>
  <c r="DP23" i="69"/>
  <c r="GC22" i="69"/>
  <c r="GB22" i="69"/>
  <c r="GA22" i="69"/>
  <c r="FZ22" i="69"/>
  <c r="FY22" i="69"/>
  <c r="FX22" i="69"/>
  <c r="FW22" i="69"/>
  <c r="FV22" i="69"/>
  <c r="FT22" i="69"/>
  <c r="FS22" i="69"/>
  <c r="FQ22" i="69"/>
  <c r="FO22" i="69"/>
  <c r="FN22" i="69"/>
  <c r="FM22" i="69"/>
  <c r="FK22" i="69"/>
  <c r="FI22" i="69"/>
  <c r="FH22" i="69"/>
  <c r="FG22" i="69"/>
  <c r="FF22" i="69"/>
  <c r="FE22" i="69"/>
  <c r="FD22" i="69"/>
  <c r="FC22" i="69"/>
  <c r="FB22" i="69"/>
  <c r="FA22" i="69"/>
  <c r="EZ22" i="69"/>
  <c r="EY22" i="69"/>
  <c r="EX22" i="69"/>
  <c r="EW22" i="69"/>
  <c r="EV22" i="69"/>
  <c r="EU22" i="69"/>
  <c r="ET22" i="69"/>
  <c r="ES22" i="69"/>
  <c r="ER22" i="69"/>
  <c r="EQ22" i="69"/>
  <c r="EP22" i="69"/>
  <c r="EO22" i="69"/>
  <c r="EN22" i="69"/>
  <c r="EM22" i="69"/>
  <c r="EL22" i="69"/>
  <c r="EK22" i="69"/>
  <c r="EJ22" i="69"/>
  <c r="EI22" i="69"/>
  <c r="EH22" i="69"/>
  <c r="EG22" i="69"/>
  <c r="EF22" i="69"/>
  <c r="EE22" i="69"/>
  <c r="ED22" i="69"/>
  <c r="EC22" i="69"/>
  <c r="DV22" i="69"/>
  <c r="DU22" i="69"/>
  <c r="DT22" i="69"/>
  <c r="DS22" i="69"/>
  <c r="DR22" i="69"/>
  <c r="DQ22" i="69"/>
  <c r="DP22" i="69"/>
  <c r="GC21" i="69"/>
  <c r="GB21" i="69"/>
  <c r="GA21" i="69"/>
  <c r="FZ21" i="69"/>
  <c r="FY21" i="69"/>
  <c r="FX21" i="69"/>
  <c r="FW21" i="69"/>
  <c r="FV21" i="69"/>
  <c r="FT21" i="69"/>
  <c r="FS21" i="69"/>
  <c r="FQ21" i="69"/>
  <c r="FO21" i="69"/>
  <c r="FN21" i="69"/>
  <c r="FM21" i="69"/>
  <c r="FK21" i="69"/>
  <c r="FI21" i="69"/>
  <c r="FH21" i="69"/>
  <c r="FG21" i="69"/>
  <c r="FF21" i="69"/>
  <c r="FE21" i="69"/>
  <c r="FD21" i="69"/>
  <c r="FC21" i="69"/>
  <c r="FB21" i="69"/>
  <c r="FA21" i="69"/>
  <c r="EZ21" i="69"/>
  <c r="EY21" i="69"/>
  <c r="EX21" i="69"/>
  <c r="EW21" i="69"/>
  <c r="EV21" i="69"/>
  <c r="EU21" i="69"/>
  <c r="ET21" i="69"/>
  <c r="ES21" i="69"/>
  <c r="ER21" i="69"/>
  <c r="EQ21" i="69"/>
  <c r="EP21" i="69"/>
  <c r="EO21" i="69"/>
  <c r="EN21" i="69"/>
  <c r="EM21" i="69"/>
  <c r="EL21" i="69"/>
  <c r="EK21" i="69"/>
  <c r="EJ21" i="69"/>
  <c r="EI21" i="69"/>
  <c r="EH21" i="69"/>
  <c r="EG21" i="69"/>
  <c r="EF21" i="69"/>
  <c r="EE21" i="69"/>
  <c r="ED21" i="69"/>
  <c r="EC21" i="69"/>
  <c r="DV21" i="69"/>
  <c r="DU21" i="69"/>
  <c r="DT21" i="69"/>
  <c r="DS21" i="69"/>
  <c r="DR21" i="69"/>
  <c r="DQ21" i="69"/>
  <c r="DP21" i="69"/>
  <c r="GC20" i="69"/>
  <c r="GB20" i="69"/>
  <c r="GA20" i="69"/>
  <c r="FZ20" i="69"/>
  <c r="FY20" i="69"/>
  <c r="FX20" i="69"/>
  <c r="FW20" i="69"/>
  <c r="FV20" i="69"/>
  <c r="FT20" i="69"/>
  <c r="FS20" i="69"/>
  <c r="FQ20" i="69"/>
  <c r="FO20" i="69"/>
  <c r="FN20" i="69"/>
  <c r="FM20" i="69"/>
  <c r="FK20" i="69"/>
  <c r="FI20" i="69"/>
  <c r="FH20" i="69"/>
  <c r="FG20" i="69"/>
  <c r="FF20" i="69"/>
  <c r="FE20" i="69"/>
  <c r="FD20" i="69"/>
  <c r="FC20" i="69"/>
  <c r="FB20" i="69"/>
  <c r="FA20" i="69"/>
  <c r="EZ20" i="69"/>
  <c r="EY20" i="69"/>
  <c r="EX20" i="69"/>
  <c r="EW20" i="69"/>
  <c r="EV20" i="69"/>
  <c r="EU20" i="69"/>
  <c r="ET20" i="69"/>
  <c r="ES20" i="69"/>
  <c r="ER20" i="69"/>
  <c r="EQ20" i="69"/>
  <c r="EP20" i="69"/>
  <c r="EO20" i="69"/>
  <c r="EN20" i="69"/>
  <c r="EM20" i="69"/>
  <c r="EL20" i="69"/>
  <c r="EK20" i="69"/>
  <c r="EJ20" i="69"/>
  <c r="EI20" i="69"/>
  <c r="EH20" i="69"/>
  <c r="EG20" i="69"/>
  <c r="EF20" i="69"/>
  <c r="EE20" i="69"/>
  <c r="ED20" i="69"/>
  <c r="EC20" i="69"/>
  <c r="DV20" i="69"/>
  <c r="DU20" i="69"/>
  <c r="DT20" i="69"/>
  <c r="DS20" i="69"/>
  <c r="DR20" i="69"/>
  <c r="DQ20" i="69"/>
  <c r="DP20" i="69"/>
  <c r="GC19" i="69"/>
  <c r="GB19" i="69"/>
  <c r="GA19" i="69"/>
  <c r="FZ19" i="69"/>
  <c r="FY19" i="69"/>
  <c r="FX19" i="69"/>
  <c r="FW19" i="69"/>
  <c r="FV19" i="69"/>
  <c r="FT19" i="69"/>
  <c r="FS19" i="69"/>
  <c r="FQ19" i="69"/>
  <c r="FO19" i="69"/>
  <c r="FN19" i="69"/>
  <c r="FM19" i="69"/>
  <c r="FK19" i="69"/>
  <c r="FI19" i="69"/>
  <c r="FH19" i="69"/>
  <c r="FG19" i="69"/>
  <c r="FF19" i="69"/>
  <c r="FE19" i="69"/>
  <c r="FD19" i="69"/>
  <c r="FC19" i="69"/>
  <c r="FB19" i="69"/>
  <c r="FA19" i="69"/>
  <c r="EZ19" i="69"/>
  <c r="EY19" i="69"/>
  <c r="EX19" i="69"/>
  <c r="EW19" i="69"/>
  <c r="EV19" i="69"/>
  <c r="EU19" i="69"/>
  <c r="ET19" i="69"/>
  <c r="ES19" i="69"/>
  <c r="ER19" i="69"/>
  <c r="EQ19" i="69"/>
  <c r="EP19" i="69"/>
  <c r="EO19" i="69"/>
  <c r="EN19" i="69"/>
  <c r="EM19" i="69"/>
  <c r="EL19" i="69"/>
  <c r="EK19" i="69"/>
  <c r="EJ19" i="69"/>
  <c r="EI19" i="69"/>
  <c r="EH19" i="69"/>
  <c r="EG19" i="69"/>
  <c r="EF19" i="69"/>
  <c r="EE19" i="69"/>
  <c r="ED19" i="69"/>
  <c r="EC19" i="69"/>
  <c r="DV19" i="69"/>
  <c r="DU19" i="69"/>
  <c r="DT19" i="69"/>
  <c r="DS19" i="69"/>
  <c r="DR19" i="69"/>
  <c r="DQ19" i="69"/>
  <c r="DP19" i="69"/>
  <c r="GC18" i="69"/>
  <c r="GB18" i="69"/>
  <c r="GA18" i="69"/>
  <c r="FZ18" i="69"/>
  <c r="FY18" i="69"/>
  <c r="FX18" i="69"/>
  <c r="FW18" i="69"/>
  <c r="FV18" i="69"/>
  <c r="FT18" i="69"/>
  <c r="FS18" i="69"/>
  <c r="FQ18" i="69"/>
  <c r="FO18" i="69"/>
  <c r="FN18" i="69"/>
  <c r="FM18" i="69"/>
  <c r="FK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DV18" i="69"/>
  <c r="DU18" i="69"/>
  <c r="DT18" i="69"/>
  <c r="DS18" i="69"/>
  <c r="DR18" i="69"/>
  <c r="DQ18" i="69"/>
  <c r="DP18" i="69"/>
  <c r="GC17" i="69"/>
  <c r="GB17" i="69"/>
  <c r="GA17" i="69"/>
  <c r="FZ17" i="69"/>
  <c r="FY17" i="69"/>
  <c r="FX17" i="69"/>
  <c r="FW17" i="69"/>
  <c r="FV17" i="69"/>
  <c r="FT17" i="69"/>
  <c r="FS17" i="69"/>
  <c r="FQ17" i="69"/>
  <c r="FO17" i="69"/>
  <c r="FN17" i="69"/>
  <c r="FM17" i="69"/>
  <c r="FK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DV17" i="69"/>
  <c r="DU17" i="69"/>
  <c r="DT17" i="69"/>
  <c r="DS17" i="69"/>
  <c r="DR17" i="69"/>
  <c r="DQ17" i="69"/>
  <c r="DP17" i="69"/>
  <c r="GC16" i="69"/>
  <c r="GB16" i="69"/>
  <c r="GA16" i="69"/>
  <c r="FZ16" i="69"/>
  <c r="FY16" i="69"/>
  <c r="FX16" i="69"/>
  <c r="FW16" i="69"/>
  <c r="FV16" i="69"/>
  <c r="FT16" i="69"/>
  <c r="FS16" i="69"/>
  <c r="FQ16" i="69"/>
  <c r="FO16" i="69"/>
  <c r="FN16" i="69"/>
  <c r="FM16" i="69"/>
  <c r="FK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DV16" i="69"/>
  <c r="DU16" i="69"/>
  <c r="DT16" i="69"/>
  <c r="DS16" i="69"/>
  <c r="DR16" i="69"/>
  <c r="DQ16" i="69"/>
  <c r="DP16" i="69"/>
  <c r="GC15" i="69"/>
  <c r="GB15" i="69"/>
  <c r="GA15" i="69"/>
  <c r="FZ15" i="69"/>
  <c r="FY15" i="69"/>
  <c r="FX15" i="69"/>
  <c r="FW15" i="69"/>
  <c r="FV15" i="69"/>
  <c r="FT15" i="69"/>
  <c r="FS15" i="69"/>
  <c r="FQ15" i="69"/>
  <c r="FO15" i="69"/>
  <c r="FN15" i="69"/>
  <c r="FM15" i="69"/>
  <c r="FK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DV15" i="69"/>
  <c r="DU15" i="69"/>
  <c r="DT15" i="69"/>
  <c r="DS15" i="69"/>
  <c r="DR15" i="69"/>
  <c r="DQ15" i="69"/>
  <c r="DP15" i="69"/>
  <c r="GC14" i="69"/>
  <c r="GB14" i="69"/>
  <c r="GA14" i="69"/>
  <c r="FZ14" i="69"/>
  <c r="FY14" i="69"/>
  <c r="FX14" i="69"/>
  <c r="FW14" i="69"/>
  <c r="FV14" i="69"/>
  <c r="FT14" i="69"/>
  <c r="FS14" i="69"/>
  <c r="FQ14" i="69"/>
  <c r="FO14" i="69"/>
  <c r="FN14" i="69"/>
  <c r="FM14" i="69"/>
  <c r="FK14" i="69"/>
  <c r="FI14" i="69"/>
  <c r="FH14" i="69"/>
  <c r="FG14" i="69"/>
  <c r="FF14" i="69"/>
  <c r="FE14" i="69"/>
  <c r="FD14" i="69"/>
  <c r="FC14" i="69"/>
  <c r="FB14" i="69"/>
  <c r="FA14" i="69"/>
  <c r="EZ14" i="69"/>
  <c r="EY14" i="69"/>
  <c r="EX14" i="69"/>
  <c r="EW14" i="69"/>
  <c r="EV14" i="69"/>
  <c r="EU14" i="69"/>
  <c r="ET14" i="69"/>
  <c r="ES14" i="69"/>
  <c r="ER14" i="69"/>
  <c r="EQ14" i="69"/>
  <c r="EP14" i="69"/>
  <c r="EO14" i="69"/>
  <c r="EN14" i="69"/>
  <c r="EM14" i="69"/>
  <c r="EL14" i="69"/>
  <c r="EK14" i="69"/>
  <c r="EJ14" i="69"/>
  <c r="EI14" i="69"/>
  <c r="EH14" i="69"/>
  <c r="EG14" i="69"/>
  <c r="EF14" i="69"/>
  <c r="EE14" i="69"/>
  <c r="ED14" i="69"/>
  <c r="EC14" i="69"/>
  <c r="DV14" i="69"/>
  <c r="DU14" i="69"/>
  <c r="DT14" i="69"/>
  <c r="DS14" i="69"/>
  <c r="DR14" i="69"/>
  <c r="DQ14" i="69"/>
  <c r="DP14" i="69"/>
  <c r="GC13" i="69"/>
  <c r="GB13" i="69"/>
  <c r="GA13" i="69"/>
  <c r="FZ13" i="69"/>
  <c r="FY13" i="69"/>
  <c r="FX13" i="69"/>
  <c r="FW13" i="69"/>
  <c r="FV13" i="69"/>
  <c r="FT13" i="69"/>
  <c r="FS13" i="69"/>
  <c r="FQ13" i="69"/>
  <c r="FO13" i="69"/>
  <c r="FN13" i="69"/>
  <c r="FM13" i="69"/>
  <c r="FK13" i="69"/>
  <c r="FI13" i="69"/>
  <c r="FH13" i="69"/>
  <c r="FG13" i="69"/>
  <c r="FF13" i="69"/>
  <c r="FE13" i="69"/>
  <c r="FD13" i="69"/>
  <c r="FC13" i="69"/>
  <c r="FB13" i="69"/>
  <c r="FA13" i="69"/>
  <c r="EZ13" i="69"/>
  <c r="EY13" i="69"/>
  <c r="EX13" i="69"/>
  <c r="EW13" i="69"/>
  <c r="EV13" i="69"/>
  <c r="EU13" i="69"/>
  <c r="ET13" i="69"/>
  <c r="ES13" i="69"/>
  <c r="ER13" i="69"/>
  <c r="EQ13" i="69"/>
  <c r="EP13" i="69"/>
  <c r="EO13" i="69"/>
  <c r="EN13" i="69"/>
  <c r="EM13" i="69"/>
  <c r="EL13" i="69"/>
  <c r="EK13" i="69"/>
  <c r="EJ13" i="69"/>
  <c r="EI13" i="69"/>
  <c r="EH13" i="69"/>
  <c r="EG13" i="69"/>
  <c r="EF13" i="69"/>
  <c r="EE13" i="69"/>
  <c r="ED13" i="69"/>
  <c r="EC13" i="69"/>
  <c r="DV13" i="69"/>
  <c r="DU13" i="69"/>
  <c r="DT13" i="69"/>
  <c r="DS13" i="69"/>
  <c r="DR13" i="69"/>
  <c r="DQ13" i="69"/>
  <c r="DP13" i="69"/>
  <c r="GC12" i="69"/>
  <c r="GB12" i="69"/>
  <c r="GA12" i="69"/>
  <c r="FZ12" i="69"/>
  <c r="FY12" i="69"/>
  <c r="FX12" i="69"/>
  <c r="FW12" i="69"/>
  <c r="FV12" i="69"/>
  <c r="FT12" i="69"/>
  <c r="FS12" i="69"/>
  <c r="FQ12" i="69"/>
  <c r="FO12" i="69"/>
  <c r="FN12" i="69"/>
  <c r="FM12" i="69"/>
  <c r="FK12" i="69"/>
  <c r="FI12" i="69"/>
  <c r="FH12" i="69"/>
  <c r="FG12" i="69"/>
  <c r="FF12" i="69"/>
  <c r="FE12" i="69"/>
  <c r="FD12" i="69"/>
  <c r="FC12" i="69"/>
  <c r="FB12" i="69"/>
  <c r="FA12" i="69"/>
  <c r="EZ12" i="69"/>
  <c r="EY12" i="69"/>
  <c r="EX12" i="69"/>
  <c r="EW12" i="69"/>
  <c r="EV12" i="69"/>
  <c r="EU12" i="69"/>
  <c r="ET12" i="69"/>
  <c r="ES12" i="69"/>
  <c r="ER12" i="69"/>
  <c r="EQ12" i="69"/>
  <c r="EP12" i="69"/>
  <c r="EO12" i="69"/>
  <c r="EN12" i="69"/>
  <c r="EM12" i="69"/>
  <c r="EL12" i="69"/>
  <c r="EK12" i="69"/>
  <c r="EJ12" i="69"/>
  <c r="EI12" i="69"/>
  <c r="EH12" i="69"/>
  <c r="EG12" i="69"/>
  <c r="EF12" i="69"/>
  <c r="EE12" i="69"/>
  <c r="ED12" i="69"/>
  <c r="EC12" i="69"/>
  <c r="DV12" i="69"/>
  <c r="DU12" i="69"/>
  <c r="DT12" i="69"/>
  <c r="DS12" i="69"/>
  <c r="DR12" i="69"/>
  <c r="DQ12" i="69"/>
  <c r="DP12" i="69"/>
  <c r="GC11" i="69"/>
  <c r="GB11" i="69"/>
  <c r="GA11" i="69"/>
  <c r="FZ11" i="69"/>
  <c r="FY11" i="69"/>
  <c r="FX11" i="69"/>
  <c r="FW11" i="69"/>
  <c r="FV11" i="69"/>
  <c r="FT11" i="69"/>
  <c r="FS11" i="69"/>
  <c r="FQ11" i="69"/>
  <c r="FO11" i="69"/>
  <c r="FN11" i="69"/>
  <c r="FM11" i="69"/>
  <c r="FK11" i="69"/>
  <c r="FI11" i="69"/>
  <c r="FH11" i="69"/>
  <c r="FG11" i="69"/>
  <c r="FF11" i="69"/>
  <c r="FE11" i="69"/>
  <c r="FD11" i="69"/>
  <c r="FC11" i="69"/>
  <c r="FB11" i="69"/>
  <c r="FA11" i="69"/>
  <c r="EZ11" i="69"/>
  <c r="EY11" i="69"/>
  <c r="EX11" i="69"/>
  <c r="EW11" i="69"/>
  <c r="EV11" i="69"/>
  <c r="EU11" i="69"/>
  <c r="ET11" i="69"/>
  <c r="ES11" i="69"/>
  <c r="ER11" i="69"/>
  <c r="EQ11" i="69"/>
  <c r="EP11" i="69"/>
  <c r="EO11" i="69"/>
  <c r="EN11" i="69"/>
  <c r="EM11" i="69"/>
  <c r="EL11" i="69"/>
  <c r="EK11" i="69"/>
  <c r="EJ11" i="69"/>
  <c r="EI11" i="69"/>
  <c r="EH11" i="69"/>
  <c r="EG11" i="69"/>
  <c r="EF11" i="69"/>
  <c r="EE11" i="69"/>
  <c r="ED11" i="69"/>
  <c r="EC11" i="69"/>
  <c r="DV11" i="69"/>
  <c r="DU11" i="69"/>
  <c r="DT11" i="69"/>
  <c r="DS11" i="69"/>
  <c r="DR11" i="69"/>
  <c r="DQ11" i="69"/>
  <c r="DP11" i="69"/>
  <c r="GC10" i="69"/>
  <c r="GB10" i="69"/>
  <c r="GA10" i="69"/>
  <c r="FZ10" i="69"/>
  <c r="FY10" i="69"/>
  <c r="FX10" i="69"/>
  <c r="FW10" i="69"/>
  <c r="FV10" i="69"/>
  <c r="FT10" i="69"/>
  <c r="FS10" i="69"/>
  <c r="FQ10" i="69"/>
  <c r="FO10" i="69"/>
  <c r="FN10" i="69"/>
  <c r="FM10" i="69"/>
  <c r="FK10" i="69"/>
  <c r="FI10" i="69"/>
  <c r="FH10" i="69"/>
  <c r="FG10" i="69"/>
  <c r="FF10" i="69"/>
  <c r="FE10" i="69"/>
  <c r="FD10" i="69"/>
  <c r="FC10" i="69"/>
  <c r="FB10" i="69"/>
  <c r="FA10" i="69"/>
  <c r="EZ10" i="69"/>
  <c r="EY10" i="69"/>
  <c r="EX10" i="69"/>
  <c r="EW10" i="69"/>
  <c r="EV10" i="69"/>
  <c r="EU10" i="69"/>
  <c r="ET10" i="69"/>
  <c r="ES10" i="69"/>
  <c r="ER10" i="69"/>
  <c r="EQ10" i="69"/>
  <c r="EP10" i="69"/>
  <c r="EO10" i="69"/>
  <c r="EN10" i="69"/>
  <c r="EM10" i="69"/>
  <c r="EL10" i="69"/>
  <c r="EK10" i="69"/>
  <c r="EJ10" i="69"/>
  <c r="EI10" i="69"/>
  <c r="EH10" i="69"/>
  <c r="EG10" i="69"/>
  <c r="EF10" i="69"/>
  <c r="EE10" i="69"/>
  <c r="ED10" i="69"/>
  <c r="EC10" i="69"/>
  <c r="DV10" i="69"/>
  <c r="DU10" i="69"/>
  <c r="DT10" i="69"/>
  <c r="DS10" i="69"/>
  <c r="DR10" i="69"/>
  <c r="DQ10" i="69"/>
  <c r="DP10" i="69"/>
  <c r="GC9" i="69"/>
  <c r="GB9" i="69"/>
  <c r="GA9" i="69"/>
  <c r="FZ9" i="69"/>
  <c r="FY9" i="69"/>
  <c r="FX9" i="69"/>
  <c r="FW9" i="69"/>
  <c r="FV9" i="69"/>
  <c r="FU40" i="69"/>
  <c r="FT9" i="69"/>
  <c r="FS9" i="69"/>
  <c r="FQ9" i="69"/>
  <c r="FO9" i="69"/>
  <c r="FN9" i="69"/>
  <c r="FM9" i="69"/>
  <c r="FL9" i="69"/>
  <c r="FK9" i="69"/>
  <c r="FJ9" i="69"/>
  <c r="FI9" i="69"/>
  <c r="FH9" i="69"/>
  <c r="FG9" i="69"/>
  <c r="FF9" i="69"/>
  <c r="FE9" i="69"/>
  <c r="FD9" i="69"/>
  <c r="FC9" i="69"/>
  <c r="FB9" i="69"/>
  <c r="FA9" i="69"/>
  <c r="EZ9" i="69"/>
  <c r="EY9" i="69"/>
  <c r="EX9" i="69"/>
  <c r="EW9" i="69"/>
  <c r="EV9" i="69"/>
  <c r="EU9" i="69"/>
  <c r="ET9" i="69"/>
  <c r="ES9" i="69"/>
  <c r="ER9" i="69"/>
  <c r="EQ9" i="69"/>
  <c r="EP9" i="69"/>
  <c r="EO9" i="69"/>
  <c r="EN9" i="69"/>
  <c r="EM9" i="69"/>
  <c r="EL9" i="69"/>
  <c r="EK9" i="69"/>
  <c r="EJ9" i="69"/>
  <c r="EI9" i="69"/>
  <c r="EH9" i="69"/>
  <c r="EG9" i="69"/>
  <c r="EF9" i="69"/>
  <c r="EE9" i="69"/>
  <c r="ED9" i="69"/>
  <c r="EC9" i="69"/>
  <c r="DV9" i="69"/>
  <c r="DU9" i="69"/>
  <c r="DT9" i="69"/>
  <c r="DS9" i="69"/>
  <c r="DR9" i="69"/>
  <c r="DQ9" i="69"/>
  <c r="DP9" i="69"/>
  <c r="FE7" i="69"/>
  <c r="EJ7" i="69"/>
  <c r="EH7" i="69"/>
  <c r="EB7" i="69"/>
  <c r="EA7" i="69"/>
  <c r="DZ7" i="69"/>
  <c r="DV7" i="69"/>
  <c r="DT7" i="69"/>
  <c r="EB40" i="64"/>
  <c r="EA40" i="64"/>
  <c r="DZ40" i="64"/>
  <c r="DY40" i="64"/>
  <c r="DX40" i="64"/>
  <c r="DW40" i="64"/>
  <c r="GC36" i="64"/>
  <c r="GB36" i="64"/>
  <c r="GA36" i="64"/>
  <c r="FZ36" i="64"/>
  <c r="FY36" i="64"/>
  <c r="FX36" i="64"/>
  <c r="FW36" i="64"/>
  <c r="FV36" i="64"/>
  <c r="FT36" i="64"/>
  <c r="FS36" i="64"/>
  <c r="FR36" i="64"/>
  <c r="FQ36" i="64"/>
  <c r="FP36" i="64"/>
  <c r="FO36" i="64"/>
  <c r="FN36" i="64"/>
  <c r="FM36" i="64"/>
  <c r="FK36" i="64"/>
  <c r="FI36" i="64"/>
  <c r="FH36" i="64"/>
  <c r="FG36" i="64"/>
  <c r="FF36" i="64"/>
  <c r="FE36" i="64"/>
  <c r="FD36" i="64"/>
  <c r="FC36" i="64"/>
  <c r="FB36" i="64"/>
  <c r="FA36" i="64"/>
  <c r="EZ36" i="64"/>
  <c r="EY36" i="64"/>
  <c r="EX36" i="64"/>
  <c r="EW36" i="64"/>
  <c r="EV36" i="64"/>
  <c r="EU36" i="64"/>
  <c r="ET36" i="64"/>
  <c r="ES36" i="64"/>
  <c r="ER36" i="64"/>
  <c r="EQ36" i="64"/>
  <c r="EP36" i="64"/>
  <c r="EO36" i="64"/>
  <c r="EN36" i="64"/>
  <c r="EM36" i="64"/>
  <c r="EL36" i="64"/>
  <c r="EK36" i="64"/>
  <c r="EJ36" i="64"/>
  <c r="EI36" i="64"/>
  <c r="EH36" i="64"/>
  <c r="EG36" i="64"/>
  <c r="EF36" i="64"/>
  <c r="EE36" i="64"/>
  <c r="ED36" i="64"/>
  <c r="EC36" i="64"/>
  <c r="DV36" i="64"/>
  <c r="DU36" i="64"/>
  <c r="DT36" i="64"/>
  <c r="DS36" i="64"/>
  <c r="DR36" i="64"/>
  <c r="DQ36" i="64"/>
  <c r="DP36" i="64"/>
  <c r="GC35" i="64"/>
  <c r="GB35" i="64"/>
  <c r="GA35" i="64"/>
  <c r="FZ35" i="64"/>
  <c r="FY35" i="64"/>
  <c r="FX35" i="64"/>
  <c r="FW35" i="64"/>
  <c r="FV35" i="64"/>
  <c r="FT35" i="64"/>
  <c r="FS35" i="64"/>
  <c r="FR35" i="64"/>
  <c r="FQ35" i="64"/>
  <c r="FP35" i="64"/>
  <c r="FO35" i="64"/>
  <c r="FN35" i="64"/>
  <c r="FM35" i="64"/>
  <c r="FK35" i="64"/>
  <c r="FI35" i="64"/>
  <c r="FH35" i="64"/>
  <c r="FG35" i="64"/>
  <c r="FF35" i="64"/>
  <c r="FE35" i="64"/>
  <c r="FD35" i="64"/>
  <c r="FC35" i="64"/>
  <c r="FB35" i="64"/>
  <c r="FA35" i="64"/>
  <c r="EZ35" i="64"/>
  <c r="EY35" i="64"/>
  <c r="EX35" i="64"/>
  <c r="EW35" i="64"/>
  <c r="EV35" i="64"/>
  <c r="EU35" i="64"/>
  <c r="ET35" i="64"/>
  <c r="ES35" i="64"/>
  <c r="ER35" i="64"/>
  <c r="EQ35" i="64"/>
  <c r="EP35" i="64"/>
  <c r="EO35" i="64"/>
  <c r="EN35" i="64"/>
  <c r="EM35" i="64"/>
  <c r="EL35" i="64"/>
  <c r="EK35" i="64"/>
  <c r="EJ35" i="64"/>
  <c r="EI35" i="64"/>
  <c r="EH35" i="64"/>
  <c r="EG35" i="64"/>
  <c r="EF35" i="64"/>
  <c r="EE35" i="64"/>
  <c r="ED35" i="64"/>
  <c r="EC35" i="64"/>
  <c r="DV35" i="64"/>
  <c r="DU35" i="64"/>
  <c r="DT35" i="64"/>
  <c r="DS35" i="64"/>
  <c r="DR35" i="64"/>
  <c r="DQ35" i="64"/>
  <c r="DP35" i="64"/>
  <c r="GC34" i="64"/>
  <c r="GB34" i="64"/>
  <c r="GA34" i="64"/>
  <c r="FZ34" i="64"/>
  <c r="FY34" i="64"/>
  <c r="FX34" i="64"/>
  <c r="FW34" i="64"/>
  <c r="FV34" i="64"/>
  <c r="FT34" i="64"/>
  <c r="FS34" i="64"/>
  <c r="FR34" i="64"/>
  <c r="FQ34" i="64"/>
  <c r="FP34" i="64"/>
  <c r="FO34" i="64"/>
  <c r="FN34" i="64"/>
  <c r="FM34" i="64"/>
  <c r="FK34" i="64"/>
  <c r="FI34" i="64"/>
  <c r="FH34" i="64"/>
  <c r="FG34" i="64"/>
  <c r="FF34" i="64"/>
  <c r="FE34" i="64"/>
  <c r="FD34" i="64"/>
  <c r="FC34" i="64"/>
  <c r="FB34" i="64"/>
  <c r="FA34" i="64"/>
  <c r="EZ34" i="64"/>
  <c r="EY34" i="64"/>
  <c r="EX34" i="64"/>
  <c r="EW34" i="64"/>
  <c r="EV34" i="64"/>
  <c r="EU34" i="64"/>
  <c r="ET34" i="64"/>
  <c r="ES34" i="64"/>
  <c r="ER34" i="64"/>
  <c r="EQ34" i="64"/>
  <c r="EP34" i="64"/>
  <c r="EO34" i="64"/>
  <c r="EN34" i="64"/>
  <c r="EM34" i="64"/>
  <c r="EL34" i="64"/>
  <c r="EK34" i="64"/>
  <c r="EJ34" i="64"/>
  <c r="EI34" i="64"/>
  <c r="EH34" i="64"/>
  <c r="EG34" i="64"/>
  <c r="EF34" i="64"/>
  <c r="EE34" i="64"/>
  <c r="ED34" i="64"/>
  <c r="EC34" i="64"/>
  <c r="DV34" i="64"/>
  <c r="DU34" i="64"/>
  <c r="DT34" i="64"/>
  <c r="DS34" i="64"/>
  <c r="DR34" i="64"/>
  <c r="DQ34" i="64"/>
  <c r="DP34" i="64"/>
  <c r="GC33" i="64"/>
  <c r="GB33" i="64"/>
  <c r="GA33" i="64"/>
  <c r="FZ33" i="64"/>
  <c r="FY33" i="64"/>
  <c r="FX33" i="64"/>
  <c r="FW33" i="64"/>
  <c r="FV33" i="64"/>
  <c r="FT33" i="64"/>
  <c r="FS33" i="64"/>
  <c r="FR33" i="64"/>
  <c r="FQ33" i="64"/>
  <c r="FP33" i="64"/>
  <c r="FO33" i="64"/>
  <c r="FN33" i="64"/>
  <c r="FM33" i="64"/>
  <c r="FK33" i="64"/>
  <c r="FI33" i="64"/>
  <c r="FH33" i="64"/>
  <c r="FG33" i="64"/>
  <c r="FF33" i="64"/>
  <c r="FE33" i="64"/>
  <c r="FD33" i="64"/>
  <c r="FC33" i="64"/>
  <c r="FB33" i="64"/>
  <c r="FA33" i="64"/>
  <c r="EZ33" i="64"/>
  <c r="EY33" i="64"/>
  <c r="EX33" i="64"/>
  <c r="EW33" i="64"/>
  <c r="EV33" i="64"/>
  <c r="EU33" i="64"/>
  <c r="ET33" i="64"/>
  <c r="ES33" i="64"/>
  <c r="ER33" i="64"/>
  <c r="EQ33" i="64"/>
  <c r="EP33" i="64"/>
  <c r="EO33" i="64"/>
  <c r="EN33" i="64"/>
  <c r="EM33" i="64"/>
  <c r="EL33" i="64"/>
  <c r="EK33" i="64"/>
  <c r="EJ33" i="64"/>
  <c r="EI33" i="64"/>
  <c r="EH33" i="64"/>
  <c r="EG33" i="64"/>
  <c r="EF33" i="64"/>
  <c r="EE33" i="64"/>
  <c r="ED33" i="64"/>
  <c r="EC33" i="64"/>
  <c r="DV33" i="64"/>
  <c r="DU33" i="64"/>
  <c r="DT33" i="64"/>
  <c r="DS33" i="64"/>
  <c r="DR33" i="64"/>
  <c r="DQ33" i="64"/>
  <c r="DP33" i="64"/>
  <c r="GC32" i="64"/>
  <c r="GB32" i="64"/>
  <c r="GA32" i="64"/>
  <c r="FZ32" i="64"/>
  <c r="FY32" i="64"/>
  <c r="FX32" i="64"/>
  <c r="FW32" i="64"/>
  <c r="FV32" i="64"/>
  <c r="FT32" i="64"/>
  <c r="FS32" i="64"/>
  <c r="FR32" i="64"/>
  <c r="FQ32" i="64"/>
  <c r="FP32" i="64"/>
  <c r="FO32" i="64"/>
  <c r="FN32" i="64"/>
  <c r="FM32" i="64"/>
  <c r="FK32" i="64"/>
  <c r="FI32" i="64"/>
  <c r="FH32" i="64"/>
  <c r="FG32" i="64"/>
  <c r="FF32" i="64"/>
  <c r="FE32" i="64"/>
  <c r="FD32" i="64"/>
  <c r="FC32" i="64"/>
  <c r="FB32" i="64"/>
  <c r="FA32" i="64"/>
  <c r="EZ32" i="64"/>
  <c r="EY32" i="64"/>
  <c r="EX32" i="64"/>
  <c r="EW32" i="64"/>
  <c r="EV32" i="64"/>
  <c r="EU32" i="64"/>
  <c r="ET32" i="64"/>
  <c r="ES32" i="64"/>
  <c r="ER32" i="64"/>
  <c r="EQ32" i="64"/>
  <c r="EP32" i="64"/>
  <c r="EO32" i="64"/>
  <c r="EN32" i="64"/>
  <c r="EM32" i="64"/>
  <c r="EL32" i="64"/>
  <c r="EK32" i="64"/>
  <c r="EJ32" i="64"/>
  <c r="EI32" i="64"/>
  <c r="EH32" i="64"/>
  <c r="EG32" i="64"/>
  <c r="EF32" i="64"/>
  <c r="EE32" i="64"/>
  <c r="ED32" i="64"/>
  <c r="EC32" i="64"/>
  <c r="DV32" i="64"/>
  <c r="DU32" i="64"/>
  <c r="DT32" i="64"/>
  <c r="DS32" i="64"/>
  <c r="DR32" i="64"/>
  <c r="DQ32" i="64"/>
  <c r="DP32" i="64"/>
  <c r="GC31" i="64"/>
  <c r="GB31" i="64"/>
  <c r="GA31" i="64"/>
  <c r="FZ31" i="64"/>
  <c r="FY31" i="64"/>
  <c r="FX31" i="64"/>
  <c r="FW31" i="64"/>
  <c r="FV31" i="64"/>
  <c r="FT31" i="64"/>
  <c r="FS31" i="64"/>
  <c r="FR31" i="64"/>
  <c r="FQ31" i="64"/>
  <c r="FP31" i="64"/>
  <c r="FO31" i="64"/>
  <c r="FN31" i="64"/>
  <c r="FM31" i="64"/>
  <c r="FK31" i="64"/>
  <c r="FI31" i="64"/>
  <c r="FH31" i="64"/>
  <c r="FG31" i="64"/>
  <c r="FF31" i="64"/>
  <c r="FE31" i="64"/>
  <c r="FD31" i="64"/>
  <c r="FC31" i="64"/>
  <c r="FB31" i="64"/>
  <c r="FA31" i="64"/>
  <c r="EZ31" i="64"/>
  <c r="EY31" i="64"/>
  <c r="EX31" i="64"/>
  <c r="EW31" i="64"/>
  <c r="EV31" i="64"/>
  <c r="EU31" i="64"/>
  <c r="ET31" i="64"/>
  <c r="ES31" i="64"/>
  <c r="ER31" i="64"/>
  <c r="EQ31" i="64"/>
  <c r="EP31" i="64"/>
  <c r="EO31" i="64"/>
  <c r="EN31" i="64"/>
  <c r="EM31" i="64"/>
  <c r="EL31" i="64"/>
  <c r="EK31" i="64"/>
  <c r="EJ31" i="64"/>
  <c r="EI31" i="64"/>
  <c r="EH31" i="64"/>
  <c r="EG31" i="64"/>
  <c r="EF31" i="64"/>
  <c r="EE31" i="64"/>
  <c r="ED31" i="64"/>
  <c r="EC31" i="64"/>
  <c r="DV31" i="64"/>
  <c r="DU31" i="64"/>
  <c r="DT31" i="64"/>
  <c r="DS31" i="64"/>
  <c r="DR31" i="64"/>
  <c r="DQ31" i="64"/>
  <c r="DP31" i="64"/>
  <c r="GC30" i="64"/>
  <c r="GB30" i="64"/>
  <c r="GA30" i="64"/>
  <c r="FZ30" i="64"/>
  <c r="FY30" i="64"/>
  <c r="FX30" i="64"/>
  <c r="FW30" i="64"/>
  <c r="FV30" i="64"/>
  <c r="FT30" i="64"/>
  <c r="FS30" i="64"/>
  <c r="FR30" i="64"/>
  <c r="FQ30" i="64"/>
  <c r="FP30" i="64"/>
  <c r="FO30" i="64"/>
  <c r="FN30" i="64"/>
  <c r="FM30" i="64"/>
  <c r="FK30" i="64"/>
  <c r="FI30" i="64"/>
  <c r="FH30" i="64"/>
  <c r="FG30" i="64"/>
  <c r="FF30" i="64"/>
  <c r="FE30" i="64"/>
  <c r="FD30" i="64"/>
  <c r="FC30" i="64"/>
  <c r="FB30" i="64"/>
  <c r="FA30" i="64"/>
  <c r="EZ30" i="64"/>
  <c r="EY30" i="64"/>
  <c r="EX30" i="64"/>
  <c r="EW30" i="64"/>
  <c r="EV30" i="64"/>
  <c r="EU30" i="64"/>
  <c r="ET30" i="64"/>
  <c r="ES30" i="64"/>
  <c r="ER30" i="64"/>
  <c r="EQ30" i="64"/>
  <c r="EP30" i="64"/>
  <c r="EO30" i="64"/>
  <c r="EN30" i="64"/>
  <c r="EM30" i="64"/>
  <c r="EL30" i="64"/>
  <c r="EK30" i="64"/>
  <c r="EJ30" i="64"/>
  <c r="EI30" i="64"/>
  <c r="EH30" i="64"/>
  <c r="EG30" i="64"/>
  <c r="EF30" i="64"/>
  <c r="EE30" i="64"/>
  <c r="ED30" i="64"/>
  <c r="EC30" i="64"/>
  <c r="DV30" i="64"/>
  <c r="DU30" i="64"/>
  <c r="DT30" i="64"/>
  <c r="DS30" i="64"/>
  <c r="DR30" i="64"/>
  <c r="DQ30" i="64"/>
  <c r="DP30" i="64"/>
  <c r="GC29" i="64"/>
  <c r="GB29" i="64"/>
  <c r="GA29" i="64"/>
  <c r="FZ29" i="64"/>
  <c r="FY29" i="64"/>
  <c r="FX29" i="64"/>
  <c r="FW29" i="64"/>
  <c r="FV29" i="64"/>
  <c r="FT29" i="64"/>
  <c r="FS29" i="64"/>
  <c r="FR29" i="64"/>
  <c r="FQ29" i="64"/>
  <c r="FP29" i="64"/>
  <c r="FO29" i="64"/>
  <c r="FN29" i="64"/>
  <c r="FM29" i="64"/>
  <c r="FK29" i="64"/>
  <c r="FI29" i="64"/>
  <c r="FH29" i="64"/>
  <c r="FG29" i="64"/>
  <c r="FF29" i="64"/>
  <c r="FE29" i="64"/>
  <c r="FD29" i="64"/>
  <c r="FC29" i="64"/>
  <c r="FB29" i="64"/>
  <c r="FA29" i="64"/>
  <c r="EZ29" i="64"/>
  <c r="EY29" i="64"/>
  <c r="EX29" i="64"/>
  <c r="EW29" i="64"/>
  <c r="EV29" i="64"/>
  <c r="EU29" i="64"/>
  <c r="ET29" i="64"/>
  <c r="ES29" i="64"/>
  <c r="ER29" i="64"/>
  <c r="EQ29" i="64"/>
  <c r="EP29" i="64"/>
  <c r="EO29" i="64"/>
  <c r="EN29" i="64"/>
  <c r="EM29" i="64"/>
  <c r="EL29" i="64"/>
  <c r="EK29" i="64"/>
  <c r="EJ29" i="64"/>
  <c r="EI29" i="64"/>
  <c r="EH29" i="64"/>
  <c r="EG29" i="64"/>
  <c r="EF29" i="64"/>
  <c r="EE29" i="64"/>
  <c r="ED29" i="64"/>
  <c r="EC29" i="64"/>
  <c r="DV29" i="64"/>
  <c r="DU29" i="64"/>
  <c r="DT29" i="64"/>
  <c r="DS29" i="64"/>
  <c r="DR29" i="64"/>
  <c r="DQ29" i="64"/>
  <c r="DP29" i="64"/>
  <c r="GC28" i="64"/>
  <c r="GB28" i="64"/>
  <c r="GA28" i="64"/>
  <c r="FZ28" i="64"/>
  <c r="FY28" i="64"/>
  <c r="FX28" i="64"/>
  <c r="FW28" i="64"/>
  <c r="FV28" i="64"/>
  <c r="FT28" i="64"/>
  <c r="FS28" i="64"/>
  <c r="FR28" i="64"/>
  <c r="FQ28" i="64"/>
  <c r="FP28" i="64"/>
  <c r="FO28" i="64"/>
  <c r="FN28" i="64"/>
  <c r="FM28" i="64"/>
  <c r="FK28" i="64"/>
  <c r="FI28" i="64"/>
  <c r="FH28" i="64"/>
  <c r="FG28" i="64"/>
  <c r="FF28" i="64"/>
  <c r="FE28" i="64"/>
  <c r="FD28" i="64"/>
  <c r="FC28" i="64"/>
  <c r="FB28" i="64"/>
  <c r="FA28" i="64"/>
  <c r="EZ28" i="64"/>
  <c r="EY28" i="64"/>
  <c r="EX28" i="64"/>
  <c r="EW28" i="64"/>
  <c r="EV28" i="64"/>
  <c r="EU28" i="64"/>
  <c r="ET28" i="64"/>
  <c r="ES28" i="64"/>
  <c r="ER28" i="64"/>
  <c r="EQ28" i="64"/>
  <c r="EP28" i="64"/>
  <c r="EO28" i="64"/>
  <c r="EN28" i="64"/>
  <c r="EM28" i="64"/>
  <c r="EL28" i="64"/>
  <c r="EK28" i="64"/>
  <c r="EJ28" i="64"/>
  <c r="EI28" i="64"/>
  <c r="EH28" i="64"/>
  <c r="EG28" i="64"/>
  <c r="EF28" i="64"/>
  <c r="EE28" i="64"/>
  <c r="ED28" i="64"/>
  <c r="EC28" i="64"/>
  <c r="DV28" i="64"/>
  <c r="DU28" i="64"/>
  <c r="DT28" i="64"/>
  <c r="DS28" i="64"/>
  <c r="DR28" i="64"/>
  <c r="DQ28" i="64"/>
  <c r="DP28" i="64"/>
  <c r="GC27" i="64"/>
  <c r="GB27" i="64"/>
  <c r="GA27" i="64"/>
  <c r="FZ27" i="64"/>
  <c r="FY27" i="64"/>
  <c r="FX27" i="64"/>
  <c r="FW27" i="64"/>
  <c r="FV27" i="64"/>
  <c r="FT27" i="64"/>
  <c r="FS27" i="64"/>
  <c r="FQ27" i="64"/>
  <c r="FO27" i="64"/>
  <c r="FN27" i="64"/>
  <c r="FM27" i="64"/>
  <c r="FK27" i="64"/>
  <c r="FI27" i="64"/>
  <c r="FH27" i="64"/>
  <c r="FG27" i="64"/>
  <c r="FF27" i="64"/>
  <c r="FE27" i="64"/>
  <c r="FD27" i="64"/>
  <c r="FC27" i="64"/>
  <c r="FB27" i="64"/>
  <c r="FA27" i="64"/>
  <c r="EZ27" i="64"/>
  <c r="EY27" i="64"/>
  <c r="EX27" i="64"/>
  <c r="EW27" i="64"/>
  <c r="EV27" i="64"/>
  <c r="EU27" i="64"/>
  <c r="ET27" i="64"/>
  <c r="ES27" i="64"/>
  <c r="ER27" i="64"/>
  <c r="EQ27" i="64"/>
  <c r="EP27" i="64"/>
  <c r="EO27" i="64"/>
  <c r="EN27" i="64"/>
  <c r="EM27" i="64"/>
  <c r="EL27" i="64"/>
  <c r="EK27" i="64"/>
  <c r="EJ27" i="64"/>
  <c r="EI27" i="64"/>
  <c r="EH27" i="64"/>
  <c r="EG27" i="64"/>
  <c r="EF27" i="64"/>
  <c r="EE27" i="64"/>
  <c r="ED27" i="64"/>
  <c r="EC27" i="64"/>
  <c r="DV27" i="64"/>
  <c r="DU27" i="64"/>
  <c r="DT27" i="64"/>
  <c r="DS27" i="64"/>
  <c r="DR27" i="64"/>
  <c r="DQ27" i="64"/>
  <c r="DP27" i="64"/>
  <c r="GC26" i="64"/>
  <c r="GB26" i="64"/>
  <c r="GA26" i="64"/>
  <c r="FZ26" i="64"/>
  <c r="FY26" i="64"/>
  <c r="FX26" i="64"/>
  <c r="FW26" i="64"/>
  <c r="FV26" i="64"/>
  <c r="FT26" i="64"/>
  <c r="FS26" i="64"/>
  <c r="FR26" i="64"/>
  <c r="FQ26" i="64"/>
  <c r="FP26" i="64"/>
  <c r="FO26" i="64"/>
  <c r="FN26" i="64"/>
  <c r="FM26" i="64"/>
  <c r="FK26" i="64"/>
  <c r="FI26" i="64"/>
  <c r="FH26" i="64"/>
  <c r="FG26" i="64"/>
  <c r="FF26" i="64"/>
  <c r="FE26" i="64"/>
  <c r="FD26" i="64"/>
  <c r="FC26" i="64"/>
  <c r="FB26" i="64"/>
  <c r="FA26" i="64"/>
  <c r="EZ26" i="64"/>
  <c r="EY26" i="64"/>
  <c r="EX26" i="64"/>
  <c r="EW26" i="64"/>
  <c r="EV26" i="64"/>
  <c r="EU26" i="64"/>
  <c r="ET26" i="64"/>
  <c r="ES26" i="64"/>
  <c r="ER26" i="64"/>
  <c r="EQ26" i="64"/>
  <c r="EP26" i="64"/>
  <c r="EO26" i="64"/>
  <c r="EN26" i="64"/>
  <c r="EM26" i="64"/>
  <c r="EL26" i="64"/>
  <c r="EK26" i="64"/>
  <c r="EJ26" i="64"/>
  <c r="EI26" i="64"/>
  <c r="EH26" i="64"/>
  <c r="EG26" i="64"/>
  <c r="EF26" i="64"/>
  <c r="EE26" i="64"/>
  <c r="ED26" i="64"/>
  <c r="EC26" i="64"/>
  <c r="DV26" i="64"/>
  <c r="DU26" i="64"/>
  <c r="DT26" i="64"/>
  <c r="DS26" i="64"/>
  <c r="DR26" i="64"/>
  <c r="DQ26" i="64"/>
  <c r="DP26" i="64"/>
  <c r="GC25" i="64"/>
  <c r="GB25" i="64"/>
  <c r="GA25" i="64"/>
  <c r="FZ25" i="64"/>
  <c r="FY25" i="64"/>
  <c r="FX25" i="64"/>
  <c r="FW25" i="64"/>
  <c r="FV25" i="64"/>
  <c r="FT25" i="64"/>
  <c r="FS25" i="64"/>
  <c r="FR25" i="64"/>
  <c r="FQ25" i="64"/>
  <c r="FP25" i="64"/>
  <c r="FO25" i="64"/>
  <c r="FN25" i="64"/>
  <c r="FM25" i="64"/>
  <c r="FK25" i="64"/>
  <c r="FI25" i="64"/>
  <c r="FH25" i="64"/>
  <c r="FG25" i="64"/>
  <c r="FF25" i="64"/>
  <c r="FE25" i="64"/>
  <c r="FD25" i="64"/>
  <c r="FC25" i="64"/>
  <c r="FB25" i="64"/>
  <c r="FA25" i="64"/>
  <c r="EZ25" i="64"/>
  <c r="EY25" i="64"/>
  <c r="EX25" i="64"/>
  <c r="EW25" i="64"/>
  <c r="EV25" i="64"/>
  <c r="EU25" i="64"/>
  <c r="ET25" i="64"/>
  <c r="ES25" i="64"/>
  <c r="ER25" i="64"/>
  <c r="EQ25" i="64"/>
  <c r="EP25" i="64"/>
  <c r="EO25" i="64"/>
  <c r="EN25" i="64"/>
  <c r="EM25" i="64"/>
  <c r="EL25" i="64"/>
  <c r="EK25" i="64"/>
  <c r="EJ25" i="64"/>
  <c r="EI25" i="64"/>
  <c r="EH25" i="64"/>
  <c r="EG25" i="64"/>
  <c r="EF25" i="64"/>
  <c r="EE25" i="64"/>
  <c r="ED25" i="64"/>
  <c r="EC25" i="64"/>
  <c r="DV25" i="64"/>
  <c r="DU25" i="64"/>
  <c r="DT25" i="64"/>
  <c r="DS25" i="64"/>
  <c r="DR25" i="64"/>
  <c r="DQ25" i="64"/>
  <c r="DP25" i="64"/>
  <c r="GC24" i="64"/>
  <c r="GB24" i="64"/>
  <c r="GA24" i="64"/>
  <c r="FZ24" i="64"/>
  <c r="FY24" i="64"/>
  <c r="FX24" i="64"/>
  <c r="FW24" i="64"/>
  <c r="FV24" i="64"/>
  <c r="FT24" i="64"/>
  <c r="FS24" i="64"/>
  <c r="FR24" i="64"/>
  <c r="FQ24" i="64"/>
  <c r="FP24" i="64"/>
  <c r="FO24" i="64"/>
  <c r="FN24" i="64"/>
  <c r="FM24" i="64"/>
  <c r="FK24" i="64"/>
  <c r="FI24" i="64"/>
  <c r="FH24" i="64"/>
  <c r="FG24" i="64"/>
  <c r="FF24" i="64"/>
  <c r="FE24" i="64"/>
  <c r="FD24" i="64"/>
  <c r="FC24" i="64"/>
  <c r="FB24" i="64"/>
  <c r="FA24" i="64"/>
  <c r="EZ24" i="64"/>
  <c r="EY24" i="64"/>
  <c r="EX24" i="64"/>
  <c r="EW24" i="64"/>
  <c r="EV24" i="64"/>
  <c r="EU24" i="64"/>
  <c r="ET24" i="64"/>
  <c r="ES24" i="64"/>
  <c r="ER24" i="64"/>
  <c r="EQ24" i="64"/>
  <c r="EP24" i="64"/>
  <c r="EO24" i="64"/>
  <c r="EN24" i="64"/>
  <c r="EM24" i="64"/>
  <c r="EL24" i="64"/>
  <c r="EK24" i="64"/>
  <c r="EJ24" i="64"/>
  <c r="EI24" i="64"/>
  <c r="EH24" i="64"/>
  <c r="EG24" i="64"/>
  <c r="EF24" i="64"/>
  <c r="EE24" i="64"/>
  <c r="ED24" i="64"/>
  <c r="EC24" i="64"/>
  <c r="DV24" i="64"/>
  <c r="DU24" i="64"/>
  <c r="DT24" i="64"/>
  <c r="DS24" i="64"/>
  <c r="DR24" i="64"/>
  <c r="DQ24" i="64"/>
  <c r="DP24" i="64"/>
  <c r="GC23" i="64"/>
  <c r="GB23" i="64"/>
  <c r="GA23" i="64"/>
  <c r="FZ23" i="64"/>
  <c r="FY23" i="64"/>
  <c r="FX23" i="64"/>
  <c r="FW23" i="64"/>
  <c r="FV23" i="64"/>
  <c r="FT23" i="64"/>
  <c r="FS23" i="64"/>
  <c r="FR23" i="64"/>
  <c r="FQ23" i="64"/>
  <c r="FP23" i="64"/>
  <c r="FO23" i="64"/>
  <c r="FN23" i="64"/>
  <c r="FM23" i="64"/>
  <c r="FK23" i="64"/>
  <c r="FI23" i="64"/>
  <c r="FH23" i="64"/>
  <c r="FG23" i="64"/>
  <c r="FF23" i="64"/>
  <c r="FE23" i="64"/>
  <c r="FD23" i="64"/>
  <c r="FC23" i="64"/>
  <c r="FB23" i="64"/>
  <c r="FA23" i="64"/>
  <c r="EZ23" i="64"/>
  <c r="EY23" i="64"/>
  <c r="EX23" i="64"/>
  <c r="EW23" i="64"/>
  <c r="EV23" i="64"/>
  <c r="EU23" i="64"/>
  <c r="ET23" i="64"/>
  <c r="ES23" i="64"/>
  <c r="ER23" i="64"/>
  <c r="EQ23" i="64"/>
  <c r="EP23" i="64"/>
  <c r="EO23" i="64"/>
  <c r="EN23" i="64"/>
  <c r="EM23" i="64"/>
  <c r="EL23" i="64"/>
  <c r="EK23" i="64"/>
  <c r="EJ23" i="64"/>
  <c r="EI23" i="64"/>
  <c r="EH23" i="64"/>
  <c r="EG23" i="64"/>
  <c r="EF23" i="64"/>
  <c r="EE23" i="64"/>
  <c r="ED23" i="64"/>
  <c r="EC23" i="64"/>
  <c r="DV23" i="64"/>
  <c r="DU23" i="64"/>
  <c r="DT23" i="64"/>
  <c r="DS23" i="64"/>
  <c r="DR23" i="64"/>
  <c r="DQ23" i="64"/>
  <c r="DP23" i="64"/>
  <c r="GC22" i="64"/>
  <c r="GB22" i="64"/>
  <c r="GA22" i="64"/>
  <c r="FZ22" i="64"/>
  <c r="FY22" i="64"/>
  <c r="FX22" i="64"/>
  <c r="FW22" i="64"/>
  <c r="FV22" i="64"/>
  <c r="FT22" i="64"/>
  <c r="FS22" i="64"/>
  <c r="FR22" i="64"/>
  <c r="FQ22" i="64"/>
  <c r="FP22" i="64"/>
  <c r="FO22" i="64"/>
  <c r="FN22" i="64"/>
  <c r="FM22" i="64"/>
  <c r="FK22" i="64"/>
  <c r="FI22" i="64"/>
  <c r="FH22" i="64"/>
  <c r="FG22" i="64"/>
  <c r="FF22" i="64"/>
  <c r="FE22" i="64"/>
  <c r="FD22" i="64"/>
  <c r="FC22" i="64"/>
  <c r="FB22" i="64"/>
  <c r="FA22" i="64"/>
  <c r="EZ22" i="64"/>
  <c r="EY22" i="64"/>
  <c r="EX22" i="64"/>
  <c r="EW22" i="64"/>
  <c r="EV22" i="64"/>
  <c r="EU22" i="64"/>
  <c r="ET22" i="64"/>
  <c r="ES22" i="64"/>
  <c r="ER22" i="64"/>
  <c r="EQ22" i="64"/>
  <c r="EP22" i="64"/>
  <c r="EO22" i="64"/>
  <c r="EN22" i="64"/>
  <c r="EM22" i="64"/>
  <c r="EL22" i="64"/>
  <c r="EK22" i="64"/>
  <c r="EJ22" i="64"/>
  <c r="EI22" i="64"/>
  <c r="EH22" i="64"/>
  <c r="EG22" i="64"/>
  <c r="EF22" i="64"/>
  <c r="EE22" i="64"/>
  <c r="ED22" i="64"/>
  <c r="EC22" i="64"/>
  <c r="DV22" i="64"/>
  <c r="DU22" i="64"/>
  <c r="DT22" i="64"/>
  <c r="DS22" i="64"/>
  <c r="DR22" i="64"/>
  <c r="DQ22" i="64"/>
  <c r="DP22" i="64"/>
  <c r="GC21" i="64"/>
  <c r="GB21" i="64"/>
  <c r="GA21" i="64"/>
  <c r="FZ21" i="64"/>
  <c r="FY21" i="64"/>
  <c r="FX21" i="64"/>
  <c r="FW21" i="64"/>
  <c r="FV21" i="64"/>
  <c r="FT21" i="64"/>
  <c r="FS21" i="64"/>
  <c r="FR21" i="64"/>
  <c r="FQ21" i="64"/>
  <c r="FP21" i="64"/>
  <c r="FO21" i="64"/>
  <c r="FN21" i="64"/>
  <c r="FM21" i="64"/>
  <c r="FK21" i="64"/>
  <c r="FI21" i="64"/>
  <c r="FH21" i="64"/>
  <c r="FG21" i="64"/>
  <c r="FF21" i="64"/>
  <c r="FE21" i="64"/>
  <c r="FD21" i="64"/>
  <c r="FC21" i="64"/>
  <c r="FB21" i="64"/>
  <c r="FA21" i="64"/>
  <c r="EZ21" i="64"/>
  <c r="EY21" i="64"/>
  <c r="EX21" i="64"/>
  <c r="EW21" i="64"/>
  <c r="EV21" i="64"/>
  <c r="EU21" i="64"/>
  <c r="ET21" i="64"/>
  <c r="ES21" i="64"/>
  <c r="ER21" i="64"/>
  <c r="EQ21" i="64"/>
  <c r="EP21" i="64"/>
  <c r="EO21" i="64"/>
  <c r="EN21" i="64"/>
  <c r="EM21" i="64"/>
  <c r="EL21" i="64"/>
  <c r="EK21" i="64"/>
  <c r="EJ21" i="64"/>
  <c r="EI21" i="64"/>
  <c r="EH21" i="64"/>
  <c r="EG21" i="64"/>
  <c r="EF21" i="64"/>
  <c r="EE21" i="64"/>
  <c r="ED21" i="64"/>
  <c r="EC21" i="64"/>
  <c r="DV21" i="64"/>
  <c r="DU21" i="64"/>
  <c r="DT21" i="64"/>
  <c r="DS21" i="64"/>
  <c r="DR21" i="64"/>
  <c r="DQ21" i="64"/>
  <c r="DP21" i="64"/>
  <c r="GC20" i="64"/>
  <c r="GB20" i="64"/>
  <c r="GA20" i="64"/>
  <c r="FZ20" i="64"/>
  <c r="FY20" i="64"/>
  <c r="FX20" i="64"/>
  <c r="FW20" i="64"/>
  <c r="FV20" i="64"/>
  <c r="FT20" i="64"/>
  <c r="FS20" i="64"/>
  <c r="FQ20" i="64"/>
  <c r="FO20" i="64"/>
  <c r="FN20" i="64"/>
  <c r="FM20" i="64"/>
  <c r="FK20" i="64"/>
  <c r="FI20" i="64"/>
  <c r="FH20" i="64"/>
  <c r="FG20" i="64"/>
  <c r="FF20" i="64"/>
  <c r="FE20" i="64"/>
  <c r="FD20" i="64"/>
  <c r="FC20" i="64"/>
  <c r="FB20" i="64"/>
  <c r="FA20" i="64"/>
  <c r="EZ20" i="64"/>
  <c r="EY20" i="64"/>
  <c r="EX20" i="64"/>
  <c r="EW20" i="64"/>
  <c r="EV20" i="64"/>
  <c r="EU20" i="64"/>
  <c r="ET20" i="64"/>
  <c r="ES20" i="64"/>
  <c r="ER20" i="64"/>
  <c r="EQ20" i="64"/>
  <c r="EP20" i="64"/>
  <c r="EO20" i="64"/>
  <c r="EN20" i="64"/>
  <c r="EM20" i="64"/>
  <c r="EL20" i="64"/>
  <c r="EK20" i="64"/>
  <c r="EJ20" i="64"/>
  <c r="EI20" i="64"/>
  <c r="EH20" i="64"/>
  <c r="EG20" i="64"/>
  <c r="EF20" i="64"/>
  <c r="EE20" i="64"/>
  <c r="ED20" i="64"/>
  <c r="EC20" i="64"/>
  <c r="DV20" i="64"/>
  <c r="DU20" i="64"/>
  <c r="DT20" i="64"/>
  <c r="DS20" i="64"/>
  <c r="DR20" i="64"/>
  <c r="DQ20" i="64"/>
  <c r="DP20" i="64"/>
  <c r="GC19" i="64"/>
  <c r="GB19" i="64"/>
  <c r="GA19" i="64"/>
  <c r="FZ19" i="64"/>
  <c r="FY19" i="64"/>
  <c r="FX19" i="64"/>
  <c r="FW19" i="64"/>
  <c r="FV19" i="64"/>
  <c r="FT19" i="64"/>
  <c r="FS19" i="64"/>
  <c r="FQ19" i="64"/>
  <c r="FO19" i="64"/>
  <c r="FN19" i="64"/>
  <c r="FM19" i="64"/>
  <c r="FK19" i="64"/>
  <c r="FI19" i="64"/>
  <c r="FH19" i="64"/>
  <c r="FG19" i="64"/>
  <c r="FF19" i="64"/>
  <c r="FE19" i="64"/>
  <c r="FD19" i="64"/>
  <c r="FC19" i="64"/>
  <c r="FB19" i="64"/>
  <c r="FA19" i="64"/>
  <c r="EZ19" i="64"/>
  <c r="EY19" i="64"/>
  <c r="EX19" i="64"/>
  <c r="EW19" i="64"/>
  <c r="EV19" i="64"/>
  <c r="EU19" i="64"/>
  <c r="ET19" i="64"/>
  <c r="ES19" i="64"/>
  <c r="ER19" i="64"/>
  <c r="EQ19" i="64"/>
  <c r="EP19" i="64"/>
  <c r="EO19" i="64"/>
  <c r="EN19" i="64"/>
  <c r="EM19" i="64"/>
  <c r="EL19" i="64"/>
  <c r="EK19" i="64"/>
  <c r="EJ19" i="64"/>
  <c r="EI19" i="64"/>
  <c r="EH19" i="64"/>
  <c r="EG19" i="64"/>
  <c r="EF19" i="64"/>
  <c r="EE19" i="64"/>
  <c r="ED19" i="64"/>
  <c r="EC19" i="64"/>
  <c r="DV19" i="64"/>
  <c r="DU19" i="64"/>
  <c r="DT19" i="64"/>
  <c r="DS19" i="64"/>
  <c r="DR19" i="64"/>
  <c r="DQ19" i="64"/>
  <c r="DP19" i="64"/>
  <c r="GC18" i="64"/>
  <c r="GB18" i="64"/>
  <c r="GA18" i="64"/>
  <c r="FZ18" i="64"/>
  <c r="FY18" i="64"/>
  <c r="FX18" i="64"/>
  <c r="FW18" i="64"/>
  <c r="FV18" i="64"/>
  <c r="FT18" i="64"/>
  <c r="FS18" i="64"/>
  <c r="FQ18" i="64"/>
  <c r="FO18" i="64"/>
  <c r="FN18" i="64"/>
  <c r="FM18" i="64"/>
  <c r="FK18" i="64"/>
  <c r="FI18" i="64"/>
  <c r="FH18" i="64"/>
  <c r="FG18" i="64"/>
  <c r="FF18" i="64"/>
  <c r="FE18" i="64"/>
  <c r="FD18" i="64"/>
  <c r="FC18" i="64"/>
  <c r="FB18" i="64"/>
  <c r="FA18" i="64"/>
  <c r="EZ18" i="64"/>
  <c r="EY18" i="64"/>
  <c r="EX18" i="64"/>
  <c r="EW18" i="64"/>
  <c r="EV18" i="64"/>
  <c r="EU18" i="64"/>
  <c r="ET18" i="64"/>
  <c r="ES18" i="64"/>
  <c r="ER18" i="64"/>
  <c r="EQ18" i="64"/>
  <c r="EP18" i="64"/>
  <c r="EO18" i="64"/>
  <c r="EN18" i="64"/>
  <c r="EM18" i="64"/>
  <c r="EL18" i="64"/>
  <c r="EK18" i="64"/>
  <c r="EJ18" i="64"/>
  <c r="EI18" i="64"/>
  <c r="EH18" i="64"/>
  <c r="EG18" i="64"/>
  <c r="EF18" i="64"/>
  <c r="EE18" i="64"/>
  <c r="ED18" i="64"/>
  <c r="EC18" i="64"/>
  <c r="DV18" i="64"/>
  <c r="DU18" i="64"/>
  <c r="DT18" i="64"/>
  <c r="DS18" i="64"/>
  <c r="DR18" i="64"/>
  <c r="DQ18" i="64"/>
  <c r="DP18" i="64"/>
  <c r="GC17" i="64"/>
  <c r="GB17" i="64"/>
  <c r="GA17" i="64"/>
  <c r="FZ17" i="64"/>
  <c r="FY17" i="64"/>
  <c r="FX17" i="64"/>
  <c r="FW17" i="64"/>
  <c r="FV17" i="64"/>
  <c r="FT17" i="64"/>
  <c r="FS17" i="64"/>
  <c r="FQ17" i="64"/>
  <c r="FO17" i="64"/>
  <c r="FN17" i="64"/>
  <c r="FM17" i="64"/>
  <c r="FK17" i="64"/>
  <c r="FI17" i="64"/>
  <c r="FH17" i="64"/>
  <c r="FG17" i="64"/>
  <c r="FF17" i="64"/>
  <c r="FE17" i="64"/>
  <c r="FD17" i="64"/>
  <c r="FC17" i="64"/>
  <c r="FB17" i="64"/>
  <c r="FA17" i="64"/>
  <c r="EZ17" i="64"/>
  <c r="EY17" i="64"/>
  <c r="EX17" i="64"/>
  <c r="EW17" i="64"/>
  <c r="EV17" i="64"/>
  <c r="EU17" i="64"/>
  <c r="ET17" i="64"/>
  <c r="ES17" i="64"/>
  <c r="ER17" i="64"/>
  <c r="EQ17" i="64"/>
  <c r="EP17" i="64"/>
  <c r="EO17" i="64"/>
  <c r="EN17" i="64"/>
  <c r="EM17" i="64"/>
  <c r="EL17" i="64"/>
  <c r="EK17" i="64"/>
  <c r="EJ17" i="64"/>
  <c r="EI17" i="64"/>
  <c r="EH17" i="64"/>
  <c r="EG17" i="64"/>
  <c r="EF17" i="64"/>
  <c r="EE17" i="64"/>
  <c r="ED17" i="64"/>
  <c r="EC17" i="64"/>
  <c r="DV17" i="64"/>
  <c r="DU17" i="64"/>
  <c r="DT17" i="64"/>
  <c r="DS17" i="64"/>
  <c r="DR17" i="64"/>
  <c r="DQ17" i="64"/>
  <c r="DP17" i="64"/>
  <c r="GC16" i="64"/>
  <c r="GB16" i="64"/>
  <c r="GA16" i="64"/>
  <c r="FZ16" i="64"/>
  <c r="FY16" i="64"/>
  <c r="FX16" i="64"/>
  <c r="FW16" i="64"/>
  <c r="FV16" i="64"/>
  <c r="FT16" i="64"/>
  <c r="FS16" i="64"/>
  <c r="FQ16" i="64"/>
  <c r="FO16" i="64"/>
  <c r="FN16" i="64"/>
  <c r="FM16" i="64"/>
  <c r="FK16" i="64"/>
  <c r="FI16" i="64"/>
  <c r="FH16" i="64"/>
  <c r="FG16" i="64"/>
  <c r="FF16" i="64"/>
  <c r="FE16" i="64"/>
  <c r="FD16" i="64"/>
  <c r="FC16" i="64"/>
  <c r="FB16" i="64"/>
  <c r="FA16" i="64"/>
  <c r="EZ16" i="64"/>
  <c r="EY16" i="64"/>
  <c r="EX16" i="64"/>
  <c r="EW16" i="64"/>
  <c r="EV16" i="64"/>
  <c r="EU16" i="64"/>
  <c r="ET16" i="64"/>
  <c r="ES16" i="64"/>
  <c r="ER16" i="64"/>
  <c r="EQ16" i="64"/>
  <c r="EP16" i="64"/>
  <c r="EO16" i="64"/>
  <c r="EN16" i="64"/>
  <c r="EM16" i="64"/>
  <c r="EL16" i="64"/>
  <c r="EK16" i="64"/>
  <c r="EJ16" i="64"/>
  <c r="EI16" i="64"/>
  <c r="EH16" i="64"/>
  <c r="EG16" i="64"/>
  <c r="EF16" i="64"/>
  <c r="EE16" i="64"/>
  <c r="ED16" i="64"/>
  <c r="EC16" i="64"/>
  <c r="DV16" i="64"/>
  <c r="DU16" i="64"/>
  <c r="DT16" i="64"/>
  <c r="DS16" i="64"/>
  <c r="DR16" i="64"/>
  <c r="DQ16" i="64"/>
  <c r="DP16" i="64"/>
  <c r="GC15" i="64"/>
  <c r="GB15" i="64"/>
  <c r="GA15" i="64"/>
  <c r="FZ15" i="64"/>
  <c r="FY15" i="64"/>
  <c r="FX15" i="64"/>
  <c r="FW15" i="64"/>
  <c r="FV15" i="64"/>
  <c r="FT15" i="64"/>
  <c r="FS15" i="64"/>
  <c r="FQ15" i="64"/>
  <c r="FO15" i="64"/>
  <c r="FN15" i="64"/>
  <c r="FM15" i="64"/>
  <c r="FK15" i="64"/>
  <c r="FI15" i="64"/>
  <c r="FH15" i="64"/>
  <c r="FG15" i="64"/>
  <c r="FF15" i="64"/>
  <c r="FE15" i="64"/>
  <c r="FD15" i="64"/>
  <c r="FC15" i="64"/>
  <c r="FB15" i="64"/>
  <c r="FA15" i="64"/>
  <c r="EZ15" i="64"/>
  <c r="EY15" i="64"/>
  <c r="EX15" i="64"/>
  <c r="EW15" i="64"/>
  <c r="EV15" i="64"/>
  <c r="EU15" i="64"/>
  <c r="ET15" i="64"/>
  <c r="ES15" i="64"/>
  <c r="ER15" i="64"/>
  <c r="EQ15" i="64"/>
  <c r="EP15" i="64"/>
  <c r="EO15" i="64"/>
  <c r="EN15" i="64"/>
  <c r="EM15" i="64"/>
  <c r="EL15" i="64"/>
  <c r="EK15" i="64"/>
  <c r="EJ15" i="64"/>
  <c r="EI15" i="64"/>
  <c r="EH15" i="64"/>
  <c r="EG15" i="64"/>
  <c r="EF15" i="64"/>
  <c r="EE15" i="64"/>
  <c r="ED15" i="64"/>
  <c r="EC15" i="64"/>
  <c r="DV15" i="64"/>
  <c r="DU15" i="64"/>
  <c r="DT15" i="64"/>
  <c r="DS15" i="64"/>
  <c r="DR15" i="64"/>
  <c r="DQ15" i="64"/>
  <c r="DP15" i="64"/>
  <c r="GC14" i="64"/>
  <c r="GB14" i="64"/>
  <c r="GA14" i="64"/>
  <c r="FZ14" i="64"/>
  <c r="FY14" i="64"/>
  <c r="FX14" i="64"/>
  <c r="FW14" i="64"/>
  <c r="FV14" i="64"/>
  <c r="FT14" i="64"/>
  <c r="FS14" i="64"/>
  <c r="FR14" i="64"/>
  <c r="FQ14" i="64"/>
  <c r="FP14" i="64"/>
  <c r="FO14" i="64"/>
  <c r="FN14" i="64"/>
  <c r="FM14" i="64"/>
  <c r="FK14" i="64"/>
  <c r="FI14" i="64"/>
  <c r="FH14" i="64"/>
  <c r="FG14" i="64"/>
  <c r="FF14" i="64"/>
  <c r="FE14" i="64"/>
  <c r="FD14" i="64"/>
  <c r="FC14" i="64"/>
  <c r="FB14" i="64"/>
  <c r="FA14" i="64"/>
  <c r="EZ14" i="64"/>
  <c r="EY14" i="64"/>
  <c r="EX14" i="64"/>
  <c r="EW14" i="64"/>
  <c r="EV14" i="64"/>
  <c r="EU14" i="64"/>
  <c r="ET14" i="64"/>
  <c r="ES14" i="64"/>
  <c r="ER14" i="64"/>
  <c r="EQ14" i="64"/>
  <c r="EP14" i="64"/>
  <c r="EO14" i="64"/>
  <c r="EN14" i="64"/>
  <c r="EM14" i="64"/>
  <c r="EL14" i="64"/>
  <c r="EK14" i="64"/>
  <c r="EJ14" i="64"/>
  <c r="EI14" i="64"/>
  <c r="EH14" i="64"/>
  <c r="EG14" i="64"/>
  <c r="EF14" i="64"/>
  <c r="EE14" i="64"/>
  <c r="ED14" i="64"/>
  <c r="EC14" i="64"/>
  <c r="DV14" i="64"/>
  <c r="DU14" i="64"/>
  <c r="DT14" i="64"/>
  <c r="DS14" i="64"/>
  <c r="DR14" i="64"/>
  <c r="DQ14" i="64"/>
  <c r="DP14" i="64"/>
  <c r="GC13" i="64"/>
  <c r="GB13" i="64"/>
  <c r="GA13" i="64"/>
  <c r="FZ13" i="64"/>
  <c r="FY13" i="64"/>
  <c r="FX13" i="64"/>
  <c r="FW13" i="64"/>
  <c r="FV13" i="64"/>
  <c r="FT13" i="64"/>
  <c r="FS13" i="64"/>
  <c r="FR13" i="64"/>
  <c r="FQ13" i="64"/>
  <c r="FP13" i="64"/>
  <c r="FO13" i="64"/>
  <c r="FN13" i="64"/>
  <c r="FM13" i="64"/>
  <c r="FK13" i="64"/>
  <c r="FI13" i="64"/>
  <c r="FH13" i="64"/>
  <c r="FG13" i="64"/>
  <c r="FF13" i="64"/>
  <c r="FE13" i="64"/>
  <c r="FD13" i="64"/>
  <c r="FC13" i="64"/>
  <c r="FB13" i="64"/>
  <c r="FA13" i="64"/>
  <c r="EZ13" i="64"/>
  <c r="EY13" i="64"/>
  <c r="EX13" i="64"/>
  <c r="EW13" i="64"/>
  <c r="EV13" i="64"/>
  <c r="EU13" i="64"/>
  <c r="ET13" i="64"/>
  <c r="ES13" i="64"/>
  <c r="ER13" i="64"/>
  <c r="EQ13" i="64"/>
  <c r="EP13" i="64"/>
  <c r="EO13" i="64"/>
  <c r="EN13" i="64"/>
  <c r="EM13" i="64"/>
  <c r="EL13" i="64"/>
  <c r="EK13" i="64"/>
  <c r="EJ13" i="64"/>
  <c r="EI13" i="64"/>
  <c r="EH13" i="64"/>
  <c r="EG13" i="64"/>
  <c r="EF13" i="64"/>
  <c r="EE13" i="64"/>
  <c r="ED13" i="64"/>
  <c r="EC13" i="64"/>
  <c r="DV13" i="64"/>
  <c r="DU13" i="64"/>
  <c r="DT13" i="64"/>
  <c r="DS13" i="64"/>
  <c r="DR13" i="64"/>
  <c r="DQ13" i="64"/>
  <c r="DP13" i="64"/>
  <c r="GC12" i="64"/>
  <c r="GB12" i="64"/>
  <c r="GA12" i="64"/>
  <c r="FZ12" i="64"/>
  <c r="FY12" i="64"/>
  <c r="FX12" i="64"/>
  <c r="FW12" i="64"/>
  <c r="FV12" i="64"/>
  <c r="FT12" i="64"/>
  <c r="FS12" i="64"/>
  <c r="FR12" i="64"/>
  <c r="FQ12" i="64"/>
  <c r="FP12" i="64"/>
  <c r="FO12" i="64"/>
  <c r="FN12" i="64"/>
  <c r="FM12" i="64"/>
  <c r="FK12" i="64"/>
  <c r="FI12" i="64"/>
  <c r="FH12" i="64"/>
  <c r="FG12" i="64"/>
  <c r="FF12" i="64"/>
  <c r="FE12" i="64"/>
  <c r="FD12" i="64"/>
  <c r="FC12" i="64"/>
  <c r="FB12" i="64"/>
  <c r="FA12" i="64"/>
  <c r="EZ12" i="64"/>
  <c r="EY12" i="64"/>
  <c r="EX12" i="64"/>
  <c r="EW12" i="64"/>
  <c r="EV12" i="64"/>
  <c r="EU12" i="64"/>
  <c r="ET12" i="64"/>
  <c r="ES12" i="64"/>
  <c r="ER12" i="64"/>
  <c r="EQ12" i="64"/>
  <c r="EP12" i="64"/>
  <c r="EO12" i="64"/>
  <c r="EN12" i="64"/>
  <c r="EM12" i="64"/>
  <c r="EL12" i="64"/>
  <c r="EK12" i="64"/>
  <c r="EJ12" i="64"/>
  <c r="EI12" i="64"/>
  <c r="EH12" i="64"/>
  <c r="EG12" i="64"/>
  <c r="EF12" i="64"/>
  <c r="EE12" i="64"/>
  <c r="ED12" i="64"/>
  <c r="EC12" i="64"/>
  <c r="DV12" i="64"/>
  <c r="DU12" i="64"/>
  <c r="DT12" i="64"/>
  <c r="DS12" i="64"/>
  <c r="DR12" i="64"/>
  <c r="DQ12" i="64"/>
  <c r="DP12" i="64"/>
  <c r="GC11" i="64"/>
  <c r="GB11" i="64"/>
  <c r="GA11" i="64"/>
  <c r="FZ11" i="64"/>
  <c r="FY11" i="64"/>
  <c r="FX11" i="64"/>
  <c r="FW11" i="64"/>
  <c r="FV11" i="64"/>
  <c r="FT11" i="64"/>
  <c r="FS11" i="64"/>
  <c r="FR11" i="64"/>
  <c r="FQ11" i="64"/>
  <c r="FP11" i="64"/>
  <c r="FO11" i="64"/>
  <c r="FN11" i="64"/>
  <c r="FM11" i="64"/>
  <c r="FK11" i="64"/>
  <c r="FI11" i="64"/>
  <c r="FH11" i="64"/>
  <c r="FG11" i="64"/>
  <c r="FF11" i="64"/>
  <c r="FE11" i="64"/>
  <c r="FD11" i="64"/>
  <c r="FC11" i="64"/>
  <c r="FB11" i="64"/>
  <c r="FA11" i="64"/>
  <c r="EZ11" i="64"/>
  <c r="EY11" i="64"/>
  <c r="EX11" i="64"/>
  <c r="EW11" i="64"/>
  <c r="EV11" i="64"/>
  <c r="EU11" i="64"/>
  <c r="ET11" i="64"/>
  <c r="ES11" i="64"/>
  <c r="ER11" i="64"/>
  <c r="EQ11" i="64"/>
  <c r="EP11" i="64"/>
  <c r="EO11" i="64"/>
  <c r="EN11" i="64"/>
  <c r="EM11" i="64"/>
  <c r="EL11" i="64"/>
  <c r="EK11" i="64"/>
  <c r="EJ11" i="64"/>
  <c r="EI11" i="64"/>
  <c r="EH11" i="64"/>
  <c r="EG11" i="64"/>
  <c r="EF11" i="64"/>
  <c r="EE11" i="64"/>
  <c r="ED11" i="64"/>
  <c r="EC11" i="64"/>
  <c r="DV11" i="64"/>
  <c r="DU11" i="64"/>
  <c r="DT11" i="64"/>
  <c r="DS11" i="64"/>
  <c r="DR11" i="64"/>
  <c r="DQ11" i="64"/>
  <c r="DP11" i="64"/>
  <c r="GC10" i="64"/>
  <c r="GB10" i="64"/>
  <c r="GA10" i="64"/>
  <c r="FZ10" i="64"/>
  <c r="FY10" i="64"/>
  <c r="FX10" i="64"/>
  <c r="FW10" i="64"/>
  <c r="FV10" i="64"/>
  <c r="FT10" i="64"/>
  <c r="FS10" i="64"/>
  <c r="FR10" i="64"/>
  <c r="FQ10" i="64"/>
  <c r="FP10" i="64"/>
  <c r="FO10" i="64"/>
  <c r="FN10" i="64"/>
  <c r="FM10" i="64"/>
  <c r="FK10" i="64"/>
  <c r="FI10" i="64"/>
  <c r="FH10" i="64"/>
  <c r="FG10" i="64"/>
  <c r="FF10" i="64"/>
  <c r="FE10" i="64"/>
  <c r="FD10" i="64"/>
  <c r="FC10" i="64"/>
  <c r="FB10" i="64"/>
  <c r="FA10" i="64"/>
  <c r="EZ10" i="64"/>
  <c r="EY10" i="64"/>
  <c r="EX10" i="64"/>
  <c r="EW10" i="64"/>
  <c r="EV10" i="64"/>
  <c r="EU10" i="64"/>
  <c r="ET10" i="64"/>
  <c r="ES10" i="64"/>
  <c r="ER10" i="64"/>
  <c r="EQ10" i="64"/>
  <c r="EP10" i="64"/>
  <c r="EO10" i="64"/>
  <c r="EN10" i="64"/>
  <c r="EM10" i="64"/>
  <c r="EL10" i="64"/>
  <c r="EK10" i="64"/>
  <c r="EJ10" i="64"/>
  <c r="EI10" i="64"/>
  <c r="EH10" i="64"/>
  <c r="EG10" i="64"/>
  <c r="EF10" i="64"/>
  <c r="EE10" i="64"/>
  <c r="ED10" i="64"/>
  <c r="EC10" i="64"/>
  <c r="DV10" i="64"/>
  <c r="DU10" i="64"/>
  <c r="DT10" i="64"/>
  <c r="DS10" i="64"/>
  <c r="DR10" i="64"/>
  <c r="DQ10" i="64"/>
  <c r="DP10" i="64"/>
  <c r="GC9" i="64"/>
  <c r="GB9" i="64"/>
  <c r="GA9" i="64"/>
  <c r="FZ9" i="64"/>
  <c r="FY9" i="64"/>
  <c r="FX9" i="64"/>
  <c r="FW9" i="64"/>
  <c r="FV9" i="64"/>
  <c r="FU40" i="64"/>
  <c r="FT9" i="64"/>
  <c r="FS9" i="64"/>
  <c r="FS40" i="64" s="1"/>
  <c r="FR9" i="64"/>
  <c r="FQ9" i="64"/>
  <c r="FP9" i="64"/>
  <c r="FO9" i="64"/>
  <c r="FN9" i="64"/>
  <c r="FM9" i="64"/>
  <c r="FL9" i="64"/>
  <c r="FK9" i="64"/>
  <c r="FJ9" i="64"/>
  <c r="FI9" i="64"/>
  <c r="FH9" i="64"/>
  <c r="FG9" i="64"/>
  <c r="FF9" i="64"/>
  <c r="FE9" i="64"/>
  <c r="FD9" i="64"/>
  <c r="FC9" i="64"/>
  <c r="FB9" i="64"/>
  <c r="FA9" i="64"/>
  <c r="EZ9" i="64"/>
  <c r="EY9" i="64"/>
  <c r="EX9" i="64"/>
  <c r="EW9" i="64"/>
  <c r="EV9" i="64"/>
  <c r="EU9" i="64"/>
  <c r="ET9" i="64"/>
  <c r="ES9" i="64"/>
  <c r="ER9" i="64"/>
  <c r="EQ9" i="64"/>
  <c r="EP9" i="64"/>
  <c r="EO9" i="64"/>
  <c r="EN9" i="64"/>
  <c r="EM9" i="64"/>
  <c r="EL9" i="64"/>
  <c r="EK9" i="64"/>
  <c r="EJ9" i="64"/>
  <c r="EI9" i="64"/>
  <c r="EH9" i="64"/>
  <c r="EG9" i="64"/>
  <c r="EF9" i="64"/>
  <c r="EE9" i="64"/>
  <c r="ED9" i="64"/>
  <c r="ED40" i="64" s="1"/>
  <c r="EC9" i="64"/>
  <c r="DV9" i="64"/>
  <c r="DU9" i="64"/>
  <c r="DT9" i="64"/>
  <c r="DS9" i="64"/>
  <c r="DR9" i="64"/>
  <c r="DQ9" i="64"/>
  <c r="DP9" i="64"/>
  <c r="DP40" i="64" s="1"/>
  <c r="FE7" i="64"/>
  <c r="EJ7" i="64"/>
  <c r="EH7" i="64"/>
  <c r="EB7" i="64"/>
  <c r="EA7" i="64"/>
  <c r="DZ7" i="64"/>
  <c r="DV7" i="64"/>
  <c r="DT7" i="64"/>
  <c r="EB40" i="66"/>
  <c r="EA40" i="66"/>
  <c r="DZ40" i="66"/>
  <c r="DY40" i="66"/>
  <c r="DX40" i="66"/>
  <c r="DW40" i="66"/>
  <c r="DV39" i="66"/>
  <c r="DU39" i="66"/>
  <c r="DT39" i="66"/>
  <c r="DS39" i="66"/>
  <c r="DR39" i="66"/>
  <c r="DQ39" i="66"/>
  <c r="DP39" i="66"/>
  <c r="DV38" i="66"/>
  <c r="DU38" i="66"/>
  <c r="DT38" i="66"/>
  <c r="DS38" i="66"/>
  <c r="DR38" i="66"/>
  <c r="DQ38" i="66"/>
  <c r="DP38" i="66"/>
  <c r="DV37" i="66"/>
  <c r="DU37" i="66"/>
  <c r="DT37" i="66"/>
  <c r="DS37" i="66"/>
  <c r="DR37" i="66"/>
  <c r="DQ37" i="66"/>
  <c r="DP37" i="66"/>
  <c r="GC36" i="66"/>
  <c r="GB36" i="66"/>
  <c r="GA36" i="66"/>
  <c r="FZ36" i="66"/>
  <c r="FY36" i="66"/>
  <c r="FX36" i="66"/>
  <c r="FW36" i="66"/>
  <c r="FV36" i="66"/>
  <c r="FT36" i="66"/>
  <c r="FS36" i="66"/>
  <c r="FR36" i="66"/>
  <c r="FQ36" i="66"/>
  <c r="FP36" i="66"/>
  <c r="FO36" i="66"/>
  <c r="FN36" i="66"/>
  <c r="FM36" i="66"/>
  <c r="FK36" i="66"/>
  <c r="FI36" i="66"/>
  <c r="FH36" i="66"/>
  <c r="FG36" i="66"/>
  <c r="FF36" i="66"/>
  <c r="FE36" i="66"/>
  <c r="FD36" i="66"/>
  <c r="FC36" i="66"/>
  <c r="FB36" i="66"/>
  <c r="FA36" i="66"/>
  <c r="EZ36" i="66"/>
  <c r="EY36" i="66"/>
  <c r="EX36" i="66"/>
  <c r="EW36" i="66"/>
  <c r="EV36" i="66"/>
  <c r="EU36" i="66"/>
  <c r="ET36" i="66"/>
  <c r="ES36" i="66"/>
  <c r="ER36" i="66"/>
  <c r="EQ36" i="66"/>
  <c r="EP36" i="66"/>
  <c r="EO36" i="66"/>
  <c r="EN36" i="66"/>
  <c r="EM36" i="66"/>
  <c r="EL36" i="66"/>
  <c r="EK36" i="66"/>
  <c r="EJ36" i="66"/>
  <c r="EI36" i="66"/>
  <c r="EH36" i="66"/>
  <c r="EG36" i="66"/>
  <c r="EF36" i="66"/>
  <c r="EE36" i="66"/>
  <c r="ED36" i="66"/>
  <c r="EC36" i="66"/>
  <c r="DV36" i="66"/>
  <c r="DU36" i="66"/>
  <c r="DT36" i="66"/>
  <c r="DS36" i="66"/>
  <c r="DR36" i="66"/>
  <c r="DQ36" i="66"/>
  <c r="DP36" i="66"/>
  <c r="GC35" i="66"/>
  <c r="GB35" i="66"/>
  <c r="GA35" i="66"/>
  <c r="FZ35" i="66"/>
  <c r="FY35" i="66"/>
  <c r="FX35" i="66"/>
  <c r="FW35" i="66"/>
  <c r="FV35" i="66"/>
  <c r="FT35" i="66"/>
  <c r="FS35" i="66"/>
  <c r="FR35" i="66"/>
  <c r="FQ35" i="66"/>
  <c r="FP35" i="66"/>
  <c r="FO35" i="66"/>
  <c r="FN35" i="66"/>
  <c r="FM35" i="66"/>
  <c r="FK35" i="66"/>
  <c r="FI35" i="66"/>
  <c r="FH35" i="66"/>
  <c r="FG35" i="66"/>
  <c r="FF35" i="66"/>
  <c r="FE35" i="66"/>
  <c r="FD35" i="66"/>
  <c r="FC35" i="66"/>
  <c r="FB35" i="66"/>
  <c r="FA35" i="66"/>
  <c r="EZ35" i="66"/>
  <c r="EY35" i="66"/>
  <c r="EX35" i="66"/>
  <c r="EW35" i="66"/>
  <c r="EV35" i="66"/>
  <c r="EU35" i="66"/>
  <c r="ET35" i="66"/>
  <c r="ES35" i="66"/>
  <c r="ER35" i="66"/>
  <c r="EQ35" i="66"/>
  <c r="EP35" i="66"/>
  <c r="EO35" i="66"/>
  <c r="EN35" i="66"/>
  <c r="EM35" i="66"/>
  <c r="EL35" i="66"/>
  <c r="EK35" i="66"/>
  <c r="EJ35" i="66"/>
  <c r="EI35" i="66"/>
  <c r="EH35" i="66"/>
  <c r="EG35" i="66"/>
  <c r="EF35" i="66"/>
  <c r="EE35" i="66"/>
  <c r="ED35" i="66"/>
  <c r="EC35" i="66"/>
  <c r="DV35" i="66"/>
  <c r="DU35" i="66"/>
  <c r="DT35" i="66"/>
  <c r="DS35" i="66"/>
  <c r="DR35" i="66"/>
  <c r="DQ35" i="66"/>
  <c r="DP35" i="66"/>
  <c r="GC34" i="66"/>
  <c r="GB34" i="66"/>
  <c r="GA34" i="66"/>
  <c r="FZ34" i="66"/>
  <c r="FY34" i="66"/>
  <c r="FX34" i="66"/>
  <c r="FW34" i="66"/>
  <c r="FV34" i="66"/>
  <c r="FT34" i="66"/>
  <c r="FS34" i="66"/>
  <c r="FR34" i="66"/>
  <c r="FQ34" i="66"/>
  <c r="FP34" i="66"/>
  <c r="FO34" i="66"/>
  <c r="FN34" i="66"/>
  <c r="FM34" i="66"/>
  <c r="FK34" i="66"/>
  <c r="FI34" i="66"/>
  <c r="FH34" i="66"/>
  <c r="FG34" i="66"/>
  <c r="FF34" i="66"/>
  <c r="FE34" i="66"/>
  <c r="FD34" i="66"/>
  <c r="FC34" i="66"/>
  <c r="FB34" i="66"/>
  <c r="FA34" i="66"/>
  <c r="EZ34" i="66"/>
  <c r="EY34" i="66"/>
  <c r="EX34" i="66"/>
  <c r="EW34" i="66"/>
  <c r="EV34" i="66"/>
  <c r="EU34" i="66"/>
  <c r="ET34" i="66"/>
  <c r="ES34" i="66"/>
  <c r="ER34" i="66"/>
  <c r="EQ34" i="66"/>
  <c r="EP34" i="66"/>
  <c r="EO34" i="66"/>
  <c r="EN34" i="66"/>
  <c r="EM34" i="66"/>
  <c r="EL34" i="66"/>
  <c r="EK34" i="66"/>
  <c r="EJ34" i="66"/>
  <c r="EI34" i="66"/>
  <c r="EH34" i="66"/>
  <c r="EG34" i="66"/>
  <c r="EF34" i="66"/>
  <c r="EE34" i="66"/>
  <c r="ED34" i="66"/>
  <c r="EC34" i="66"/>
  <c r="DV34" i="66"/>
  <c r="DU34" i="66"/>
  <c r="DT34" i="66"/>
  <c r="DS34" i="66"/>
  <c r="DR34" i="66"/>
  <c r="DQ34" i="66"/>
  <c r="DP34" i="66"/>
  <c r="GC33" i="66"/>
  <c r="GB33" i="66"/>
  <c r="GA33" i="66"/>
  <c r="FZ33" i="66"/>
  <c r="FY33" i="66"/>
  <c r="FX33" i="66"/>
  <c r="FW33" i="66"/>
  <c r="FV33" i="66"/>
  <c r="FT33" i="66"/>
  <c r="FS33" i="66"/>
  <c r="FQ33" i="66"/>
  <c r="FO33" i="66"/>
  <c r="FN33" i="66"/>
  <c r="FM33" i="66"/>
  <c r="FK33" i="66"/>
  <c r="FI33" i="66"/>
  <c r="FH33" i="66"/>
  <c r="FG33" i="66"/>
  <c r="FF33" i="66"/>
  <c r="FE33" i="66"/>
  <c r="FD33" i="66"/>
  <c r="FC33" i="66"/>
  <c r="FB33" i="66"/>
  <c r="FA33" i="66"/>
  <c r="EZ33" i="66"/>
  <c r="EY33" i="66"/>
  <c r="EX33" i="66"/>
  <c r="EW33" i="66"/>
  <c r="EV33" i="66"/>
  <c r="EU33" i="66"/>
  <c r="ET33" i="66"/>
  <c r="ES33" i="66"/>
  <c r="ER33" i="66"/>
  <c r="EQ33" i="66"/>
  <c r="EP33" i="66"/>
  <c r="EO33" i="66"/>
  <c r="EN33" i="66"/>
  <c r="EM33" i="66"/>
  <c r="EL33" i="66"/>
  <c r="EK33" i="66"/>
  <c r="EJ33" i="66"/>
  <c r="EI33" i="66"/>
  <c r="EH33" i="66"/>
  <c r="EG33" i="66"/>
  <c r="EF33" i="66"/>
  <c r="EE33" i="66"/>
  <c r="ED33" i="66"/>
  <c r="EC33" i="66"/>
  <c r="DV33" i="66"/>
  <c r="DU33" i="66"/>
  <c r="DT33" i="66"/>
  <c r="DS33" i="66"/>
  <c r="DR33" i="66"/>
  <c r="DQ33" i="66"/>
  <c r="DP33" i="66"/>
  <c r="GC32" i="66"/>
  <c r="GB32" i="66"/>
  <c r="GA32" i="66"/>
  <c r="FZ32" i="66"/>
  <c r="FY32" i="66"/>
  <c r="FX32" i="66"/>
  <c r="FW32" i="66"/>
  <c r="FV32" i="66"/>
  <c r="FT32" i="66"/>
  <c r="FS32" i="66"/>
  <c r="FQ32" i="66"/>
  <c r="FO32" i="66"/>
  <c r="FN32" i="66"/>
  <c r="FM32" i="66"/>
  <c r="FK32" i="66"/>
  <c r="FI32" i="66"/>
  <c r="FH32" i="66"/>
  <c r="FG32" i="66"/>
  <c r="FF32" i="66"/>
  <c r="FE32" i="66"/>
  <c r="FD32" i="66"/>
  <c r="FC32" i="66"/>
  <c r="FB32" i="66"/>
  <c r="FA32" i="66"/>
  <c r="EZ32" i="66"/>
  <c r="EY32" i="66"/>
  <c r="EX32" i="66"/>
  <c r="EW32" i="66"/>
  <c r="EV32" i="66"/>
  <c r="EU32" i="66"/>
  <c r="ET32" i="66"/>
  <c r="ES32" i="66"/>
  <c r="ER32" i="66"/>
  <c r="EQ32" i="66"/>
  <c r="EP32" i="66"/>
  <c r="EO32" i="66"/>
  <c r="EN32" i="66"/>
  <c r="EM32" i="66"/>
  <c r="EL32" i="66"/>
  <c r="EK32" i="66"/>
  <c r="EJ32" i="66"/>
  <c r="EI32" i="66"/>
  <c r="EH32" i="66"/>
  <c r="EG32" i="66"/>
  <c r="EF32" i="66"/>
  <c r="EE32" i="66"/>
  <c r="ED32" i="66"/>
  <c r="EC32" i="66"/>
  <c r="DV32" i="66"/>
  <c r="DU32" i="66"/>
  <c r="DT32" i="66"/>
  <c r="DS32" i="66"/>
  <c r="DR32" i="66"/>
  <c r="DQ32" i="66"/>
  <c r="DP32" i="66"/>
  <c r="GC31" i="66"/>
  <c r="GB31" i="66"/>
  <c r="GA31" i="66"/>
  <c r="FZ31" i="66"/>
  <c r="FY31" i="66"/>
  <c r="FX31" i="66"/>
  <c r="FW31" i="66"/>
  <c r="FV31" i="66"/>
  <c r="FT31" i="66"/>
  <c r="FS31" i="66"/>
  <c r="FQ31" i="66"/>
  <c r="FO31" i="66"/>
  <c r="FN31" i="66"/>
  <c r="FM31" i="66"/>
  <c r="FK31" i="66"/>
  <c r="FI31" i="66"/>
  <c r="FH31" i="66"/>
  <c r="FG31" i="66"/>
  <c r="FF31" i="66"/>
  <c r="FE31" i="66"/>
  <c r="FD31" i="66"/>
  <c r="FC31" i="66"/>
  <c r="FB31" i="66"/>
  <c r="FA31" i="66"/>
  <c r="EZ31" i="66"/>
  <c r="EY31" i="66"/>
  <c r="EX31" i="66"/>
  <c r="EW31" i="66"/>
  <c r="EV31" i="66"/>
  <c r="EU31" i="66"/>
  <c r="ET31" i="66"/>
  <c r="ES31" i="66"/>
  <c r="ER31" i="66"/>
  <c r="EQ31" i="66"/>
  <c r="EP31" i="66"/>
  <c r="EO31" i="66"/>
  <c r="EN31" i="66"/>
  <c r="EM31" i="66"/>
  <c r="EL31" i="66"/>
  <c r="EK31" i="66"/>
  <c r="EJ31" i="66"/>
  <c r="EI31" i="66"/>
  <c r="EH31" i="66"/>
  <c r="EG31" i="66"/>
  <c r="EF31" i="66"/>
  <c r="EE31" i="66"/>
  <c r="ED31" i="66"/>
  <c r="EC31" i="66"/>
  <c r="DV31" i="66"/>
  <c r="DU31" i="66"/>
  <c r="DT31" i="66"/>
  <c r="DS31" i="66"/>
  <c r="DR31" i="66"/>
  <c r="DQ31" i="66"/>
  <c r="DP31" i="66"/>
  <c r="GC30" i="66"/>
  <c r="GB30" i="66"/>
  <c r="GA30" i="66"/>
  <c r="FZ30" i="66"/>
  <c r="FY30" i="66"/>
  <c r="FX30" i="66"/>
  <c r="FW30" i="66"/>
  <c r="FV30" i="66"/>
  <c r="FT30" i="66"/>
  <c r="FS30" i="66"/>
  <c r="FQ30" i="66"/>
  <c r="FO30" i="66"/>
  <c r="FN30" i="66"/>
  <c r="FM30" i="66"/>
  <c r="FK30" i="66"/>
  <c r="FI30" i="66"/>
  <c r="FH30" i="66"/>
  <c r="FG30" i="66"/>
  <c r="FF30" i="66"/>
  <c r="FE30" i="66"/>
  <c r="FD30" i="66"/>
  <c r="FC30" i="66"/>
  <c r="FB30" i="66"/>
  <c r="FA30" i="66"/>
  <c r="EZ30" i="66"/>
  <c r="EY30" i="66"/>
  <c r="EX30" i="66"/>
  <c r="EW30" i="66"/>
  <c r="EV30" i="66"/>
  <c r="EU30" i="66"/>
  <c r="ET30" i="66"/>
  <c r="ES30" i="66"/>
  <c r="ER30" i="66"/>
  <c r="EQ30" i="66"/>
  <c r="EP30" i="66"/>
  <c r="EO30" i="66"/>
  <c r="EN30" i="66"/>
  <c r="EM30" i="66"/>
  <c r="EL30" i="66"/>
  <c r="EK30" i="66"/>
  <c r="EJ30" i="66"/>
  <c r="EI30" i="66"/>
  <c r="EH30" i="66"/>
  <c r="EG30" i="66"/>
  <c r="EF30" i="66"/>
  <c r="EE30" i="66"/>
  <c r="ED30" i="66"/>
  <c r="EC30" i="66"/>
  <c r="DV30" i="66"/>
  <c r="DU30" i="66"/>
  <c r="DT30" i="66"/>
  <c r="DS30" i="66"/>
  <c r="DR30" i="66"/>
  <c r="DQ30" i="66"/>
  <c r="DP30" i="66"/>
  <c r="GC29" i="66"/>
  <c r="GB29" i="66"/>
  <c r="GA29" i="66"/>
  <c r="FZ29" i="66"/>
  <c r="FY29" i="66"/>
  <c r="FX29" i="66"/>
  <c r="FW29" i="66"/>
  <c r="FV29" i="66"/>
  <c r="FT29" i="66"/>
  <c r="FS29" i="66"/>
  <c r="FQ29" i="66"/>
  <c r="FO29" i="66"/>
  <c r="FN29" i="66"/>
  <c r="FM29" i="66"/>
  <c r="FK29" i="66"/>
  <c r="FI29" i="66"/>
  <c r="FH29" i="66"/>
  <c r="FG29" i="66"/>
  <c r="FF29" i="66"/>
  <c r="FE29" i="66"/>
  <c r="FD29" i="66"/>
  <c r="FC29" i="66"/>
  <c r="FB29" i="66"/>
  <c r="FA29" i="66"/>
  <c r="EZ29" i="66"/>
  <c r="EY29" i="66"/>
  <c r="EX29" i="66"/>
  <c r="EW29" i="66"/>
  <c r="EV29" i="66"/>
  <c r="EU29" i="66"/>
  <c r="ET29" i="66"/>
  <c r="ES29" i="66"/>
  <c r="ER29" i="66"/>
  <c r="EQ29" i="66"/>
  <c r="EP29" i="66"/>
  <c r="EO29" i="66"/>
  <c r="EN29" i="66"/>
  <c r="EM29" i="66"/>
  <c r="EL29" i="66"/>
  <c r="EK29" i="66"/>
  <c r="EJ29" i="66"/>
  <c r="EI29" i="66"/>
  <c r="EH29" i="66"/>
  <c r="EG29" i="66"/>
  <c r="EF29" i="66"/>
  <c r="EE29" i="66"/>
  <c r="ED29" i="66"/>
  <c r="EC29" i="66"/>
  <c r="DV29" i="66"/>
  <c r="DU29" i="66"/>
  <c r="DT29" i="66"/>
  <c r="DS29" i="66"/>
  <c r="DR29" i="66"/>
  <c r="DQ29" i="66"/>
  <c r="DP29" i="66"/>
  <c r="GC28" i="66"/>
  <c r="GB28" i="66"/>
  <c r="GA28" i="66"/>
  <c r="FZ28" i="66"/>
  <c r="FY28" i="66"/>
  <c r="FX28" i="66"/>
  <c r="FW28" i="66"/>
  <c r="FV28" i="66"/>
  <c r="FT28" i="66"/>
  <c r="FS28" i="66"/>
  <c r="FQ28" i="66"/>
  <c r="FO28" i="66"/>
  <c r="FN28" i="66"/>
  <c r="FM28" i="66"/>
  <c r="FK28" i="66"/>
  <c r="FI28" i="66"/>
  <c r="FH28" i="66"/>
  <c r="FG28" i="66"/>
  <c r="FF28" i="66"/>
  <c r="FE28" i="66"/>
  <c r="FD28" i="66"/>
  <c r="FC28" i="66"/>
  <c r="FB28" i="66"/>
  <c r="FA28" i="66"/>
  <c r="EZ28" i="66"/>
  <c r="EY28" i="66"/>
  <c r="EX28" i="66"/>
  <c r="EW28" i="66"/>
  <c r="EV28" i="66"/>
  <c r="EU28" i="66"/>
  <c r="ET28" i="66"/>
  <c r="ES28" i="66"/>
  <c r="ER28" i="66"/>
  <c r="EQ28" i="66"/>
  <c r="EP28" i="66"/>
  <c r="EO28" i="66"/>
  <c r="EN28" i="66"/>
  <c r="EM28" i="66"/>
  <c r="EL28" i="66"/>
  <c r="EK28" i="66"/>
  <c r="EJ28" i="66"/>
  <c r="EI28" i="66"/>
  <c r="EH28" i="66"/>
  <c r="EG28" i="66"/>
  <c r="EF28" i="66"/>
  <c r="EE28" i="66"/>
  <c r="ED28" i="66"/>
  <c r="EC28" i="66"/>
  <c r="DV28" i="66"/>
  <c r="DU28" i="66"/>
  <c r="DT28" i="66"/>
  <c r="DS28" i="66"/>
  <c r="DR28" i="66"/>
  <c r="DQ28" i="66"/>
  <c r="DP28" i="66"/>
  <c r="GC27" i="66"/>
  <c r="GB27" i="66"/>
  <c r="GA27" i="66"/>
  <c r="FZ27" i="66"/>
  <c r="FY27" i="66"/>
  <c r="FX27" i="66"/>
  <c r="FW27" i="66"/>
  <c r="FV27" i="66"/>
  <c r="FT27" i="66"/>
  <c r="FS27" i="66"/>
  <c r="FQ27" i="66"/>
  <c r="FO27" i="66"/>
  <c r="FN27" i="66"/>
  <c r="FM27" i="66"/>
  <c r="FK27" i="66"/>
  <c r="FI27" i="66"/>
  <c r="FH27" i="66"/>
  <c r="FG27" i="66"/>
  <c r="FF27" i="66"/>
  <c r="FE27" i="66"/>
  <c r="FD27" i="66"/>
  <c r="FC27" i="66"/>
  <c r="FB27" i="66"/>
  <c r="FA27" i="66"/>
  <c r="EZ27" i="66"/>
  <c r="EY27" i="66"/>
  <c r="EX27" i="66"/>
  <c r="EW27" i="66"/>
  <c r="EV27" i="66"/>
  <c r="EU27" i="66"/>
  <c r="ET27" i="66"/>
  <c r="ES27" i="66"/>
  <c r="ER27" i="66"/>
  <c r="EQ27" i="66"/>
  <c r="EP27" i="66"/>
  <c r="EO27" i="66"/>
  <c r="EN27" i="66"/>
  <c r="EM27" i="66"/>
  <c r="EL27" i="66"/>
  <c r="EK27" i="66"/>
  <c r="EJ27" i="66"/>
  <c r="EI27" i="66"/>
  <c r="EH27" i="66"/>
  <c r="EG27" i="66"/>
  <c r="EF27" i="66"/>
  <c r="EE27" i="66"/>
  <c r="ED27" i="66"/>
  <c r="EC27" i="66"/>
  <c r="DV27" i="66"/>
  <c r="DU27" i="66"/>
  <c r="DT27" i="66"/>
  <c r="DS27" i="66"/>
  <c r="DR27" i="66"/>
  <c r="DQ27" i="66"/>
  <c r="DP27" i="66"/>
  <c r="GC26" i="66"/>
  <c r="GB26" i="66"/>
  <c r="GA26" i="66"/>
  <c r="FZ26" i="66"/>
  <c r="FY26" i="66"/>
  <c r="FX26" i="66"/>
  <c r="FW26" i="66"/>
  <c r="FV26" i="66"/>
  <c r="FT26" i="66"/>
  <c r="FS26" i="66"/>
  <c r="FQ26" i="66"/>
  <c r="FO26" i="66"/>
  <c r="FN26" i="66"/>
  <c r="FM26" i="66"/>
  <c r="FK26" i="66"/>
  <c r="FI26" i="66"/>
  <c r="FH26" i="66"/>
  <c r="FG26" i="66"/>
  <c r="FF26" i="66"/>
  <c r="FE26" i="66"/>
  <c r="FD26" i="66"/>
  <c r="FC26" i="66"/>
  <c r="FB26" i="66"/>
  <c r="FA26" i="66"/>
  <c r="EZ26" i="66"/>
  <c r="EY26" i="66"/>
  <c r="EX26" i="66"/>
  <c r="EW26" i="66"/>
  <c r="EV26" i="66"/>
  <c r="EU26" i="66"/>
  <c r="ET26" i="66"/>
  <c r="ES26" i="66"/>
  <c r="ER26" i="66"/>
  <c r="EQ26" i="66"/>
  <c r="EP26" i="66"/>
  <c r="EO26" i="66"/>
  <c r="EN26" i="66"/>
  <c r="EM26" i="66"/>
  <c r="EL26" i="66"/>
  <c r="EK26" i="66"/>
  <c r="EJ26" i="66"/>
  <c r="EI26" i="66"/>
  <c r="EH26" i="66"/>
  <c r="EG26" i="66"/>
  <c r="EF26" i="66"/>
  <c r="EE26" i="66"/>
  <c r="ED26" i="66"/>
  <c r="EC26" i="66"/>
  <c r="DV26" i="66"/>
  <c r="DU26" i="66"/>
  <c r="DT26" i="66"/>
  <c r="DS26" i="66"/>
  <c r="DR26" i="66"/>
  <c r="DQ26" i="66"/>
  <c r="DP26" i="66"/>
  <c r="GC25" i="66"/>
  <c r="GB25" i="66"/>
  <c r="GA25" i="66"/>
  <c r="FZ25" i="66"/>
  <c r="FY25" i="66"/>
  <c r="FX25" i="66"/>
  <c r="FW25" i="66"/>
  <c r="FV25" i="66"/>
  <c r="FT25" i="66"/>
  <c r="FS25" i="66"/>
  <c r="FQ25" i="66"/>
  <c r="FO25" i="66"/>
  <c r="FN25" i="66"/>
  <c r="FM25" i="66"/>
  <c r="FK25" i="66"/>
  <c r="FI25" i="66"/>
  <c r="FH25" i="66"/>
  <c r="FG25" i="66"/>
  <c r="FF25" i="66"/>
  <c r="FE25" i="66"/>
  <c r="FD25" i="66"/>
  <c r="FC25" i="66"/>
  <c r="FB25" i="66"/>
  <c r="FA25" i="66"/>
  <c r="EZ25" i="66"/>
  <c r="EY25" i="66"/>
  <c r="EX25" i="66"/>
  <c r="EW25" i="66"/>
  <c r="EV25" i="66"/>
  <c r="EU25" i="66"/>
  <c r="ET25" i="66"/>
  <c r="ES25" i="66"/>
  <c r="ER25" i="66"/>
  <c r="EQ25" i="66"/>
  <c r="EP25" i="66"/>
  <c r="EO25" i="66"/>
  <c r="EN25" i="66"/>
  <c r="EM25" i="66"/>
  <c r="EL25" i="66"/>
  <c r="EK25" i="66"/>
  <c r="EJ25" i="66"/>
  <c r="EI25" i="66"/>
  <c r="EH25" i="66"/>
  <c r="EG25" i="66"/>
  <c r="EF25" i="66"/>
  <c r="EE25" i="66"/>
  <c r="ED25" i="66"/>
  <c r="EC25" i="66"/>
  <c r="DV25" i="66"/>
  <c r="DU25" i="66"/>
  <c r="DT25" i="66"/>
  <c r="DS25" i="66"/>
  <c r="DR25" i="66"/>
  <c r="DQ25" i="66"/>
  <c r="DP25" i="66"/>
  <c r="GC24" i="66"/>
  <c r="GB24" i="66"/>
  <c r="GA24" i="66"/>
  <c r="FZ24" i="66"/>
  <c r="FY24" i="66"/>
  <c r="FX24" i="66"/>
  <c r="FW24" i="66"/>
  <c r="FV24" i="66"/>
  <c r="FT24" i="66"/>
  <c r="FS24" i="66"/>
  <c r="FQ24" i="66"/>
  <c r="FO24" i="66"/>
  <c r="FN24" i="66"/>
  <c r="FM24" i="66"/>
  <c r="FK24" i="66"/>
  <c r="FI24" i="66"/>
  <c r="FH24" i="66"/>
  <c r="FG24" i="66"/>
  <c r="FF24" i="66"/>
  <c r="FE24" i="66"/>
  <c r="FD24" i="66"/>
  <c r="FC24" i="66"/>
  <c r="FB24" i="66"/>
  <c r="FA24" i="66"/>
  <c r="EZ24" i="66"/>
  <c r="EY24" i="66"/>
  <c r="EX24" i="66"/>
  <c r="EW24" i="66"/>
  <c r="EV24" i="66"/>
  <c r="EU24" i="66"/>
  <c r="ET24" i="66"/>
  <c r="ES24" i="66"/>
  <c r="ER24" i="66"/>
  <c r="EQ24" i="66"/>
  <c r="EP24" i="66"/>
  <c r="EO24" i="66"/>
  <c r="EN24" i="66"/>
  <c r="EM24" i="66"/>
  <c r="EL24" i="66"/>
  <c r="EK24" i="66"/>
  <c r="EJ24" i="66"/>
  <c r="EI24" i="66"/>
  <c r="EH24" i="66"/>
  <c r="EG24" i="66"/>
  <c r="EF24" i="66"/>
  <c r="EE24" i="66"/>
  <c r="ED24" i="66"/>
  <c r="EC24" i="66"/>
  <c r="DV24" i="66"/>
  <c r="DU24" i="66"/>
  <c r="DT24" i="66"/>
  <c r="DS24" i="66"/>
  <c r="DR24" i="66"/>
  <c r="DQ24" i="66"/>
  <c r="DP24" i="66"/>
  <c r="GC23" i="66"/>
  <c r="GB23" i="66"/>
  <c r="GA23" i="66"/>
  <c r="FZ23" i="66"/>
  <c r="FY23" i="66"/>
  <c r="FX23" i="66"/>
  <c r="FW23" i="66"/>
  <c r="FV23" i="66"/>
  <c r="FT23" i="66"/>
  <c r="FS23" i="66"/>
  <c r="FQ23" i="66"/>
  <c r="FO23" i="66"/>
  <c r="FN23" i="66"/>
  <c r="FM23" i="66"/>
  <c r="FK23" i="66"/>
  <c r="FI23" i="66"/>
  <c r="FH23" i="66"/>
  <c r="FG23" i="66"/>
  <c r="FF23" i="66"/>
  <c r="FE23" i="66"/>
  <c r="FD23" i="66"/>
  <c r="FC23" i="66"/>
  <c r="FB23" i="66"/>
  <c r="FA23" i="66"/>
  <c r="EZ23" i="66"/>
  <c r="EY23" i="66"/>
  <c r="EX23" i="66"/>
  <c r="EW23" i="66"/>
  <c r="EV23" i="66"/>
  <c r="EU23" i="66"/>
  <c r="ET23" i="66"/>
  <c r="ES23" i="66"/>
  <c r="ER23" i="66"/>
  <c r="EQ23" i="66"/>
  <c r="EP23" i="66"/>
  <c r="EO23" i="66"/>
  <c r="EN23" i="66"/>
  <c r="EM23" i="66"/>
  <c r="EL23" i="66"/>
  <c r="EK23" i="66"/>
  <c r="EJ23" i="66"/>
  <c r="EI23" i="66"/>
  <c r="EH23" i="66"/>
  <c r="EG23" i="66"/>
  <c r="EF23" i="66"/>
  <c r="EE23" i="66"/>
  <c r="ED23" i="66"/>
  <c r="EC23" i="66"/>
  <c r="DV23" i="66"/>
  <c r="DU23" i="66"/>
  <c r="DT23" i="66"/>
  <c r="DS23" i="66"/>
  <c r="DR23" i="66"/>
  <c r="DQ23" i="66"/>
  <c r="DP23" i="66"/>
  <c r="GC22" i="66"/>
  <c r="GB22" i="66"/>
  <c r="GA22" i="66"/>
  <c r="FZ22" i="66"/>
  <c r="FY22" i="66"/>
  <c r="FX22" i="66"/>
  <c r="FW22" i="66"/>
  <c r="FV22" i="66"/>
  <c r="FT22" i="66"/>
  <c r="FS22" i="66"/>
  <c r="FQ22" i="66"/>
  <c r="FO22" i="66"/>
  <c r="FN22" i="66"/>
  <c r="FM22" i="66"/>
  <c r="FK22" i="66"/>
  <c r="FI22" i="66"/>
  <c r="FH22" i="66"/>
  <c r="FG22" i="66"/>
  <c r="FF22" i="66"/>
  <c r="FE22" i="66"/>
  <c r="FD22" i="66"/>
  <c r="FC22" i="66"/>
  <c r="FB22" i="66"/>
  <c r="FA22" i="66"/>
  <c r="EZ22" i="66"/>
  <c r="EY22" i="66"/>
  <c r="EX22" i="66"/>
  <c r="EW22" i="66"/>
  <c r="EV22" i="66"/>
  <c r="EU22" i="66"/>
  <c r="ET22" i="66"/>
  <c r="ES22" i="66"/>
  <c r="ER22" i="66"/>
  <c r="EQ22" i="66"/>
  <c r="EP22" i="66"/>
  <c r="EO22" i="66"/>
  <c r="EN22" i="66"/>
  <c r="EM22" i="66"/>
  <c r="EL22" i="66"/>
  <c r="EK22" i="66"/>
  <c r="EJ22" i="66"/>
  <c r="EI22" i="66"/>
  <c r="EH22" i="66"/>
  <c r="EG22" i="66"/>
  <c r="EF22" i="66"/>
  <c r="EE22" i="66"/>
  <c r="ED22" i="66"/>
  <c r="EC22" i="66"/>
  <c r="DV22" i="66"/>
  <c r="DU22" i="66"/>
  <c r="DT22" i="66"/>
  <c r="DS22" i="66"/>
  <c r="DR22" i="66"/>
  <c r="DQ22" i="66"/>
  <c r="DP22" i="66"/>
  <c r="GC21" i="66"/>
  <c r="GB21" i="66"/>
  <c r="GA21" i="66"/>
  <c r="FZ21" i="66"/>
  <c r="FY21" i="66"/>
  <c r="FX21" i="66"/>
  <c r="FW21" i="66"/>
  <c r="FV21" i="66"/>
  <c r="FT21" i="66"/>
  <c r="FS21" i="66"/>
  <c r="FQ21" i="66"/>
  <c r="FO21" i="66"/>
  <c r="FN21" i="66"/>
  <c r="FM21" i="66"/>
  <c r="FK21" i="66"/>
  <c r="FI21" i="66"/>
  <c r="FH21" i="66"/>
  <c r="FG21" i="66"/>
  <c r="FF21" i="66"/>
  <c r="FE21" i="66"/>
  <c r="FD21" i="66"/>
  <c r="FC21" i="66"/>
  <c r="FB21" i="66"/>
  <c r="FA21" i="66"/>
  <c r="EZ21" i="66"/>
  <c r="EY21" i="66"/>
  <c r="EX21" i="66"/>
  <c r="EW21" i="66"/>
  <c r="EV21" i="66"/>
  <c r="EU21" i="66"/>
  <c r="ET21" i="66"/>
  <c r="ES21" i="66"/>
  <c r="ER21" i="66"/>
  <c r="EQ21" i="66"/>
  <c r="EP21" i="66"/>
  <c r="EO21" i="66"/>
  <c r="EN21" i="66"/>
  <c r="EM21" i="66"/>
  <c r="EL21" i="66"/>
  <c r="EK21" i="66"/>
  <c r="EJ21" i="66"/>
  <c r="EI21" i="66"/>
  <c r="EH21" i="66"/>
  <c r="EG21" i="66"/>
  <c r="EF21" i="66"/>
  <c r="EE21" i="66"/>
  <c r="ED21" i="66"/>
  <c r="EC21" i="66"/>
  <c r="DV21" i="66"/>
  <c r="DU21" i="66"/>
  <c r="DT21" i="66"/>
  <c r="DS21" i="66"/>
  <c r="DR21" i="66"/>
  <c r="DQ21" i="66"/>
  <c r="DP21" i="66"/>
  <c r="GC20" i="66"/>
  <c r="GB20" i="66"/>
  <c r="GA20" i="66"/>
  <c r="FZ20" i="66"/>
  <c r="FY20" i="66"/>
  <c r="FX20" i="66"/>
  <c r="FW20" i="66"/>
  <c r="FV20" i="66"/>
  <c r="FT20" i="66"/>
  <c r="FS20" i="66"/>
  <c r="FQ20" i="66"/>
  <c r="FO20" i="66"/>
  <c r="FN20" i="66"/>
  <c r="FM20" i="66"/>
  <c r="FK20" i="66"/>
  <c r="FI20" i="66"/>
  <c r="FH20" i="66"/>
  <c r="FG20" i="66"/>
  <c r="FF20" i="66"/>
  <c r="FE20" i="66"/>
  <c r="FD20" i="66"/>
  <c r="FC20" i="66"/>
  <c r="FB20" i="66"/>
  <c r="FA20" i="66"/>
  <c r="EZ20" i="66"/>
  <c r="EY20" i="66"/>
  <c r="EX20" i="66"/>
  <c r="EW20" i="66"/>
  <c r="EV20" i="66"/>
  <c r="EU20" i="66"/>
  <c r="ET20" i="66"/>
  <c r="ES20" i="66"/>
  <c r="ER20" i="66"/>
  <c r="EQ20" i="66"/>
  <c r="EP20" i="66"/>
  <c r="EO20" i="66"/>
  <c r="EN20" i="66"/>
  <c r="EM20" i="66"/>
  <c r="EL20" i="66"/>
  <c r="EK20" i="66"/>
  <c r="EJ20" i="66"/>
  <c r="EI20" i="66"/>
  <c r="EH20" i="66"/>
  <c r="EG20" i="66"/>
  <c r="EF20" i="66"/>
  <c r="EE20" i="66"/>
  <c r="ED20" i="66"/>
  <c r="EC20" i="66"/>
  <c r="DV20" i="66"/>
  <c r="DU20" i="66"/>
  <c r="DT20" i="66"/>
  <c r="DS20" i="66"/>
  <c r="DR20" i="66"/>
  <c r="DQ20" i="66"/>
  <c r="DP20" i="66"/>
  <c r="GC19" i="66"/>
  <c r="GB19" i="66"/>
  <c r="GA19" i="66"/>
  <c r="FZ19" i="66"/>
  <c r="FY19" i="66"/>
  <c r="FX19" i="66"/>
  <c r="FW19" i="66"/>
  <c r="FV19" i="66"/>
  <c r="FT19" i="66"/>
  <c r="FS19" i="66"/>
  <c r="FQ19" i="66"/>
  <c r="FO19" i="66"/>
  <c r="FN19" i="66"/>
  <c r="FM19" i="66"/>
  <c r="FK19" i="66"/>
  <c r="FI19" i="66"/>
  <c r="FH19" i="66"/>
  <c r="FG19" i="66"/>
  <c r="FF19" i="66"/>
  <c r="FE19" i="66"/>
  <c r="FD19" i="66"/>
  <c r="FC19" i="66"/>
  <c r="FB19" i="66"/>
  <c r="FA19" i="66"/>
  <c r="EZ19" i="66"/>
  <c r="EY19" i="66"/>
  <c r="EX19" i="66"/>
  <c r="EW19" i="66"/>
  <c r="EV19" i="66"/>
  <c r="EU19" i="66"/>
  <c r="ET19" i="66"/>
  <c r="ES19" i="66"/>
  <c r="ER19" i="66"/>
  <c r="EQ19" i="66"/>
  <c r="EP19" i="66"/>
  <c r="EO19" i="66"/>
  <c r="EN19" i="66"/>
  <c r="EM19" i="66"/>
  <c r="EL19" i="66"/>
  <c r="EK19" i="66"/>
  <c r="EJ19" i="66"/>
  <c r="EI19" i="66"/>
  <c r="EH19" i="66"/>
  <c r="EG19" i="66"/>
  <c r="EF19" i="66"/>
  <c r="EE19" i="66"/>
  <c r="ED19" i="66"/>
  <c r="EC19" i="66"/>
  <c r="DV19" i="66"/>
  <c r="DU19" i="66"/>
  <c r="DT19" i="66"/>
  <c r="DS19" i="66"/>
  <c r="DR19" i="66"/>
  <c r="DQ19" i="66"/>
  <c r="DP19" i="66"/>
  <c r="GC18" i="66"/>
  <c r="GB18" i="66"/>
  <c r="GA18" i="66"/>
  <c r="FZ18" i="66"/>
  <c r="FY18" i="66"/>
  <c r="FX18" i="66"/>
  <c r="FW18" i="66"/>
  <c r="FV18" i="66"/>
  <c r="FT18" i="66"/>
  <c r="FS18" i="66"/>
  <c r="FQ18" i="66"/>
  <c r="FO18" i="66"/>
  <c r="FN18" i="66"/>
  <c r="FM18" i="66"/>
  <c r="FK18" i="66"/>
  <c r="FI18" i="66"/>
  <c r="FH18" i="66"/>
  <c r="FG18" i="66"/>
  <c r="FF18" i="66"/>
  <c r="FE18" i="66"/>
  <c r="FD18" i="66"/>
  <c r="FC18" i="66"/>
  <c r="FB18" i="66"/>
  <c r="FA18" i="66"/>
  <c r="EZ18" i="66"/>
  <c r="EY18" i="66"/>
  <c r="EX18" i="66"/>
  <c r="EW18" i="66"/>
  <c r="EV18" i="66"/>
  <c r="EU18" i="66"/>
  <c r="ET18" i="66"/>
  <c r="ES18" i="66"/>
  <c r="ER18" i="66"/>
  <c r="EQ18" i="66"/>
  <c r="EP18" i="66"/>
  <c r="EO18" i="66"/>
  <c r="EN18" i="66"/>
  <c r="EM18" i="66"/>
  <c r="EL18" i="66"/>
  <c r="EK18" i="66"/>
  <c r="EJ18" i="66"/>
  <c r="EI18" i="66"/>
  <c r="EH18" i="66"/>
  <c r="EG18" i="66"/>
  <c r="EF18" i="66"/>
  <c r="EE18" i="66"/>
  <c r="ED18" i="66"/>
  <c r="EC18" i="66"/>
  <c r="DV18" i="66"/>
  <c r="DU18" i="66"/>
  <c r="DT18" i="66"/>
  <c r="DS18" i="66"/>
  <c r="DR18" i="66"/>
  <c r="DQ18" i="66"/>
  <c r="DP18" i="66"/>
  <c r="GC17" i="66"/>
  <c r="GB17" i="66"/>
  <c r="GA17" i="66"/>
  <c r="FZ17" i="66"/>
  <c r="FY17" i="66"/>
  <c r="FX17" i="66"/>
  <c r="FW17" i="66"/>
  <c r="FV17" i="66"/>
  <c r="FT17" i="66"/>
  <c r="FS17" i="66"/>
  <c r="FQ17" i="66"/>
  <c r="FO17" i="66"/>
  <c r="FN17" i="66"/>
  <c r="FM17" i="66"/>
  <c r="FK17" i="66"/>
  <c r="FI17" i="66"/>
  <c r="FH17" i="66"/>
  <c r="FG17" i="66"/>
  <c r="FF17" i="66"/>
  <c r="FE17" i="66"/>
  <c r="FD17" i="66"/>
  <c r="FC17" i="66"/>
  <c r="FB17" i="66"/>
  <c r="FA17" i="66"/>
  <c r="EZ17" i="66"/>
  <c r="EY17" i="66"/>
  <c r="EX17" i="66"/>
  <c r="EW17" i="66"/>
  <c r="EV17" i="66"/>
  <c r="EU17" i="66"/>
  <c r="ET17" i="66"/>
  <c r="ES17" i="66"/>
  <c r="ER17" i="66"/>
  <c r="EQ17" i="66"/>
  <c r="EP17" i="66"/>
  <c r="EO17" i="66"/>
  <c r="EN17" i="66"/>
  <c r="EM17" i="66"/>
  <c r="EL17" i="66"/>
  <c r="EK17" i="66"/>
  <c r="EJ17" i="66"/>
  <c r="EI17" i="66"/>
  <c r="EH17" i="66"/>
  <c r="EG17" i="66"/>
  <c r="EF17" i="66"/>
  <c r="EE17" i="66"/>
  <c r="ED17" i="66"/>
  <c r="EC17" i="66"/>
  <c r="DV17" i="66"/>
  <c r="DU17" i="66"/>
  <c r="DT17" i="66"/>
  <c r="DS17" i="66"/>
  <c r="DR17" i="66"/>
  <c r="DQ17" i="66"/>
  <c r="DP17" i="66"/>
  <c r="GC16" i="66"/>
  <c r="GB16" i="66"/>
  <c r="GA16" i="66"/>
  <c r="FZ16" i="66"/>
  <c r="FY16" i="66"/>
  <c r="FX16" i="66"/>
  <c r="FW16" i="66"/>
  <c r="FV16" i="66"/>
  <c r="FT16" i="66"/>
  <c r="FS16" i="66"/>
  <c r="FQ16" i="66"/>
  <c r="FO16" i="66"/>
  <c r="FN16" i="66"/>
  <c r="FM16" i="66"/>
  <c r="FK16" i="66"/>
  <c r="FI16" i="66"/>
  <c r="FH16" i="66"/>
  <c r="FG16" i="66"/>
  <c r="FF16" i="66"/>
  <c r="FE16" i="66"/>
  <c r="FD16" i="66"/>
  <c r="FC16" i="66"/>
  <c r="FB16" i="66"/>
  <c r="FA16" i="66"/>
  <c r="EZ16" i="66"/>
  <c r="EY16" i="66"/>
  <c r="EX16" i="66"/>
  <c r="EW16" i="66"/>
  <c r="EV16" i="66"/>
  <c r="EU16" i="66"/>
  <c r="ET16" i="66"/>
  <c r="ES16" i="66"/>
  <c r="ER16" i="66"/>
  <c r="EQ16" i="66"/>
  <c r="EP16" i="66"/>
  <c r="EO16" i="66"/>
  <c r="EN16" i="66"/>
  <c r="EM16" i="66"/>
  <c r="EL16" i="66"/>
  <c r="EK16" i="66"/>
  <c r="EJ16" i="66"/>
  <c r="EI16" i="66"/>
  <c r="EH16" i="66"/>
  <c r="EG16" i="66"/>
  <c r="EF16" i="66"/>
  <c r="EE16" i="66"/>
  <c r="ED16" i="66"/>
  <c r="EC16" i="66"/>
  <c r="DV16" i="66"/>
  <c r="DU16" i="66"/>
  <c r="DT16" i="66"/>
  <c r="DS16" i="66"/>
  <c r="DR16" i="66"/>
  <c r="DQ16" i="66"/>
  <c r="DP16" i="66"/>
  <c r="GC15" i="66"/>
  <c r="GB15" i="66"/>
  <c r="GA15" i="66"/>
  <c r="FZ15" i="66"/>
  <c r="FY15" i="66"/>
  <c r="FX15" i="66"/>
  <c r="FW15" i="66"/>
  <c r="FV15" i="66"/>
  <c r="FT15" i="66"/>
  <c r="FS15" i="66"/>
  <c r="FQ15" i="66"/>
  <c r="FO15" i="66"/>
  <c r="FN15" i="66"/>
  <c r="FM15" i="66"/>
  <c r="FK15" i="66"/>
  <c r="FI15" i="66"/>
  <c r="FH15" i="66"/>
  <c r="FG15" i="66"/>
  <c r="FF15" i="66"/>
  <c r="FE15" i="66"/>
  <c r="FD15" i="66"/>
  <c r="FC15" i="66"/>
  <c r="FB15" i="66"/>
  <c r="FA15" i="66"/>
  <c r="EZ15" i="66"/>
  <c r="EY15" i="66"/>
  <c r="EX15" i="66"/>
  <c r="EW15" i="66"/>
  <c r="EV15" i="66"/>
  <c r="EU15" i="66"/>
  <c r="ET15" i="66"/>
  <c r="ES15" i="66"/>
  <c r="ER15" i="66"/>
  <c r="EQ15" i="66"/>
  <c r="EP15" i="66"/>
  <c r="EO15" i="66"/>
  <c r="EN15" i="66"/>
  <c r="EM15" i="66"/>
  <c r="EL15" i="66"/>
  <c r="EK15" i="66"/>
  <c r="EJ15" i="66"/>
  <c r="EI15" i="66"/>
  <c r="EH15" i="66"/>
  <c r="EG15" i="66"/>
  <c r="EF15" i="66"/>
  <c r="EE15" i="66"/>
  <c r="ED15" i="66"/>
  <c r="EC15" i="66"/>
  <c r="DV15" i="66"/>
  <c r="DU15" i="66"/>
  <c r="DT15" i="66"/>
  <c r="DS15" i="66"/>
  <c r="DR15" i="66"/>
  <c r="DQ15" i="66"/>
  <c r="DP15" i="66"/>
  <c r="GC14" i="66"/>
  <c r="GB14" i="66"/>
  <c r="GA14" i="66"/>
  <c r="FZ14" i="66"/>
  <c r="FY14" i="66"/>
  <c r="FX14" i="66"/>
  <c r="FW14" i="66"/>
  <c r="FV14" i="66"/>
  <c r="FT14" i="66"/>
  <c r="FS14" i="66"/>
  <c r="FQ14" i="66"/>
  <c r="FO14" i="66"/>
  <c r="FN14" i="66"/>
  <c r="FM14" i="66"/>
  <c r="FK14" i="66"/>
  <c r="FI14" i="66"/>
  <c r="FH14" i="66"/>
  <c r="FG14" i="66"/>
  <c r="FF14" i="66"/>
  <c r="FE14" i="66"/>
  <c r="FD14" i="66"/>
  <c r="FC14" i="66"/>
  <c r="FB14" i="66"/>
  <c r="FA14" i="66"/>
  <c r="EZ14" i="66"/>
  <c r="EY14" i="66"/>
  <c r="EX14" i="66"/>
  <c r="EW14" i="66"/>
  <c r="EV14" i="66"/>
  <c r="EU14" i="66"/>
  <c r="ET14" i="66"/>
  <c r="ES14" i="66"/>
  <c r="ER14" i="66"/>
  <c r="EQ14" i="66"/>
  <c r="EP14" i="66"/>
  <c r="EO14" i="66"/>
  <c r="EN14" i="66"/>
  <c r="EM14" i="66"/>
  <c r="EL14" i="66"/>
  <c r="EK14" i="66"/>
  <c r="EJ14" i="66"/>
  <c r="EI14" i="66"/>
  <c r="EH14" i="66"/>
  <c r="EG14" i="66"/>
  <c r="EF14" i="66"/>
  <c r="EE14" i="66"/>
  <c r="ED14" i="66"/>
  <c r="EC14" i="66"/>
  <c r="DV14" i="66"/>
  <c r="DU14" i="66"/>
  <c r="DT14" i="66"/>
  <c r="DS14" i="66"/>
  <c r="DR14" i="66"/>
  <c r="DQ14" i="66"/>
  <c r="DP14" i="66"/>
  <c r="GC13" i="66"/>
  <c r="GB13" i="66"/>
  <c r="GA13" i="66"/>
  <c r="FZ13" i="66"/>
  <c r="FY13" i="66"/>
  <c r="FX13" i="66"/>
  <c r="FW13" i="66"/>
  <c r="FV13" i="66"/>
  <c r="FT13" i="66"/>
  <c r="FS13" i="66"/>
  <c r="FQ13" i="66"/>
  <c r="FO13" i="66"/>
  <c r="FN13" i="66"/>
  <c r="FM13" i="66"/>
  <c r="FK13" i="66"/>
  <c r="FI13" i="66"/>
  <c r="FH13" i="66"/>
  <c r="FG13" i="66"/>
  <c r="FF13" i="66"/>
  <c r="FE13" i="66"/>
  <c r="FD13" i="66"/>
  <c r="FC13" i="66"/>
  <c r="FB13" i="66"/>
  <c r="FA13" i="66"/>
  <c r="EZ13" i="66"/>
  <c r="EY13" i="66"/>
  <c r="EX13" i="66"/>
  <c r="EW13" i="66"/>
  <c r="EV13" i="66"/>
  <c r="EU13" i="66"/>
  <c r="ET13" i="66"/>
  <c r="ES13" i="66"/>
  <c r="ER13" i="66"/>
  <c r="EQ13" i="66"/>
  <c r="EP13" i="66"/>
  <c r="EO13" i="66"/>
  <c r="EN13" i="66"/>
  <c r="EM13" i="66"/>
  <c r="EL13" i="66"/>
  <c r="EK13" i="66"/>
  <c r="EJ13" i="66"/>
  <c r="EI13" i="66"/>
  <c r="EH13" i="66"/>
  <c r="EG13" i="66"/>
  <c r="EF13" i="66"/>
  <c r="EE13" i="66"/>
  <c r="ED13" i="66"/>
  <c r="EC13" i="66"/>
  <c r="DV13" i="66"/>
  <c r="DU13" i="66"/>
  <c r="DT13" i="66"/>
  <c r="DS13" i="66"/>
  <c r="DR13" i="66"/>
  <c r="DQ13" i="66"/>
  <c r="DP13" i="66"/>
  <c r="GC12" i="66"/>
  <c r="GB12" i="66"/>
  <c r="GA12" i="66"/>
  <c r="FZ12" i="66"/>
  <c r="FY12" i="66"/>
  <c r="FX12" i="66"/>
  <c r="FW12" i="66"/>
  <c r="FV12" i="66"/>
  <c r="FT12" i="66"/>
  <c r="FS12" i="66"/>
  <c r="FQ12" i="66"/>
  <c r="FO12" i="66"/>
  <c r="FN12" i="66"/>
  <c r="FM12" i="66"/>
  <c r="FK12" i="66"/>
  <c r="FI12" i="66"/>
  <c r="FH12" i="66"/>
  <c r="FG12" i="66"/>
  <c r="FF12" i="66"/>
  <c r="FE12" i="66"/>
  <c r="FD12" i="66"/>
  <c r="FC12" i="66"/>
  <c r="FB12" i="66"/>
  <c r="FA12" i="66"/>
  <c r="EZ12" i="66"/>
  <c r="EY12" i="66"/>
  <c r="EX12" i="66"/>
  <c r="EW12" i="66"/>
  <c r="EV12" i="66"/>
  <c r="EU12" i="66"/>
  <c r="ET12" i="66"/>
  <c r="ES12" i="66"/>
  <c r="ER12" i="66"/>
  <c r="EQ12" i="66"/>
  <c r="EP12" i="66"/>
  <c r="EO12" i="66"/>
  <c r="EN12" i="66"/>
  <c r="EM12" i="66"/>
  <c r="EL12" i="66"/>
  <c r="EK12" i="66"/>
  <c r="EJ12" i="66"/>
  <c r="EI12" i="66"/>
  <c r="EH12" i="66"/>
  <c r="EG12" i="66"/>
  <c r="EF12" i="66"/>
  <c r="EE12" i="66"/>
  <c r="ED12" i="66"/>
  <c r="EC12" i="66"/>
  <c r="DV12" i="66"/>
  <c r="DU12" i="66"/>
  <c r="DT12" i="66"/>
  <c r="DS12" i="66"/>
  <c r="DR12" i="66"/>
  <c r="DQ12" i="66"/>
  <c r="DP12" i="66"/>
  <c r="GC11" i="66"/>
  <c r="GB11" i="66"/>
  <c r="GA11" i="66"/>
  <c r="FZ11" i="66"/>
  <c r="FY11" i="66"/>
  <c r="FX11" i="66"/>
  <c r="FW11" i="66"/>
  <c r="FV11" i="66"/>
  <c r="FT11" i="66"/>
  <c r="FS11" i="66"/>
  <c r="FQ11" i="66"/>
  <c r="FO11" i="66"/>
  <c r="FN11" i="66"/>
  <c r="FM11" i="66"/>
  <c r="FK11" i="66"/>
  <c r="FI11" i="66"/>
  <c r="FH11" i="66"/>
  <c r="FG11" i="66"/>
  <c r="FF11" i="66"/>
  <c r="FE11" i="66"/>
  <c r="FD11" i="66"/>
  <c r="FC11" i="66"/>
  <c r="FB11" i="66"/>
  <c r="FA11" i="66"/>
  <c r="EZ11" i="66"/>
  <c r="EY11" i="66"/>
  <c r="EX11" i="66"/>
  <c r="EW11" i="66"/>
  <c r="EV11" i="66"/>
  <c r="EU11" i="66"/>
  <c r="ET11" i="66"/>
  <c r="ES11" i="66"/>
  <c r="ER11" i="66"/>
  <c r="EQ11" i="66"/>
  <c r="EP11" i="66"/>
  <c r="EO11" i="66"/>
  <c r="EN11" i="66"/>
  <c r="EM11" i="66"/>
  <c r="EL11" i="66"/>
  <c r="EK11" i="66"/>
  <c r="EJ11" i="66"/>
  <c r="EI11" i="66"/>
  <c r="EH11" i="66"/>
  <c r="EG11" i="66"/>
  <c r="EF11" i="66"/>
  <c r="EE11" i="66"/>
  <c r="ED11" i="66"/>
  <c r="EC11" i="66"/>
  <c r="DV11" i="66"/>
  <c r="DU11" i="66"/>
  <c r="DT11" i="66"/>
  <c r="DS11" i="66"/>
  <c r="DR11" i="66"/>
  <c r="DQ11" i="66"/>
  <c r="DP11" i="66"/>
  <c r="GC10" i="66"/>
  <c r="GB10" i="66"/>
  <c r="GA10" i="66"/>
  <c r="FZ10" i="66"/>
  <c r="FY10" i="66"/>
  <c r="FX10" i="66"/>
  <c r="FW10" i="66"/>
  <c r="FV10" i="66"/>
  <c r="FT10" i="66"/>
  <c r="FS10" i="66"/>
  <c r="FQ10" i="66"/>
  <c r="FO10" i="66"/>
  <c r="FN10" i="66"/>
  <c r="FM10" i="66"/>
  <c r="FK10" i="66"/>
  <c r="FI10" i="66"/>
  <c r="FH10" i="66"/>
  <c r="FG10" i="66"/>
  <c r="FF10" i="66"/>
  <c r="FE10" i="66"/>
  <c r="FD10" i="66"/>
  <c r="FC10" i="66"/>
  <c r="FB10" i="66"/>
  <c r="FA10" i="66"/>
  <c r="EZ10" i="66"/>
  <c r="EY10" i="66"/>
  <c r="EX10" i="66"/>
  <c r="EW10" i="66"/>
  <c r="EV10" i="66"/>
  <c r="EU10" i="66"/>
  <c r="ET10" i="66"/>
  <c r="ES10" i="66"/>
  <c r="ER10" i="66"/>
  <c r="EQ10" i="66"/>
  <c r="EP10" i="66"/>
  <c r="EO10" i="66"/>
  <c r="EN10" i="66"/>
  <c r="EM10" i="66"/>
  <c r="EL10" i="66"/>
  <c r="EK10" i="66"/>
  <c r="EJ10" i="66"/>
  <c r="EI10" i="66"/>
  <c r="EH10" i="66"/>
  <c r="EG10" i="66"/>
  <c r="EF10" i="66"/>
  <c r="EE10" i="66"/>
  <c r="ED10" i="66"/>
  <c r="EC10" i="66"/>
  <c r="DV10" i="66"/>
  <c r="DU10" i="66"/>
  <c r="DT10" i="66"/>
  <c r="DS10" i="66"/>
  <c r="DR10" i="66"/>
  <c r="DQ10" i="66"/>
  <c r="DP10" i="66"/>
  <c r="GC9" i="66"/>
  <c r="GB9" i="66"/>
  <c r="GA9" i="66"/>
  <c r="FZ9" i="66"/>
  <c r="FY9" i="66"/>
  <c r="FX9" i="66"/>
  <c r="FW9" i="66"/>
  <c r="FV9" i="66"/>
  <c r="FT9" i="66"/>
  <c r="FS9" i="66"/>
  <c r="FQ9" i="66"/>
  <c r="FO9" i="66"/>
  <c r="FN9" i="66"/>
  <c r="FM9" i="66"/>
  <c r="FL9" i="66"/>
  <c r="FK9" i="66"/>
  <c r="FJ9" i="66"/>
  <c r="FI9" i="66"/>
  <c r="FH9" i="66"/>
  <c r="FG9" i="66"/>
  <c r="FF9" i="66"/>
  <c r="FE9" i="66"/>
  <c r="FD9" i="66"/>
  <c r="FC9" i="66"/>
  <c r="FB9" i="66"/>
  <c r="FA9" i="66"/>
  <c r="EZ9" i="66"/>
  <c r="EY9" i="66"/>
  <c r="EX9" i="66"/>
  <c r="EW9" i="66"/>
  <c r="EV9" i="66"/>
  <c r="EU9" i="66"/>
  <c r="ET9" i="66"/>
  <c r="ES9" i="66"/>
  <c r="ER9" i="66"/>
  <c r="EQ9" i="66"/>
  <c r="EP9" i="66"/>
  <c r="EO9" i="66"/>
  <c r="EN9" i="66"/>
  <c r="EM9" i="66"/>
  <c r="EL9" i="66"/>
  <c r="EK9" i="66"/>
  <c r="EJ9" i="66"/>
  <c r="EI9" i="66"/>
  <c r="EH9" i="66"/>
  <c r="EG9" i="66"/>
  <c r="EF9" i="66"/>
  <c r="EE9" i="66"/>
  <c r="ED9" i="66"/>
  <c r="EC9" i="66"/>
  <c r="DV9" i="66"/>
  <c r="DU9" i="66"/>
  <c r="DT9" i="66"/>
  <c r="DS9" i="66"/>
  <c r="DR9" i="66"/>
  <c r="DQ9" i="66"/>
  <c r="DP9" i="66"/>
  <c r="FE7" i="66"/>
  <c r="EJ7" i="66"/>
  <c r="EH7" i="66"/>
  <c r="EB7" i="66"/>
  <c r="EA7" i="66"/>
  <c r="DZ7" i="66"/>
  <c r="DV7" i="66"/>
  <c r="DT7" i="66"/>
  <c r="DP38" i="67"/>
  <c r="DQ38" i="67"/>
  <c r="DR38" i="67"/>
  <c r="DS38" i="67"/>
  <c r="DT38" i="67"/>
  <c r="DU38" i="67"/>
  <c r="DV38" i="67"/>
  <c r="DP39" i="67"/>
  <c r="DQ39" i="67"/>
  <c r="DR39" i="67"/>
  <c r="DS39" i="67"/>
  <c r="DT39" i="67"/>
  <c r="DU39" i="67"/>
  <c r="DV39" i="67"/>
  <c r="EB40" i="67"/>
  <c r="EA40" i="67"/>
  <c r="DZ40" i="67"/>
  <c r="DY40" i="67"/>
  <c r="DX40" i="67"/>
  <c r="DW40" i="67"/>
  <c r="DV37" i="67"/>
  <c r="DU37" i="67"/>
  <c r="DT37" i="67"/>
  <c r="DS37" i="67"/>
  <c r="DR37" i="67"/>
  <c r="DQ37" i="67"/>
  <c r="DP37" i="67"/>
  <c r="GC36" i="67"/>
  <c r="GB36" i="67"/>
  <c r="GA36" i="67"/>
  <c r="FZ36" i="67"/>
  <c r="FY36" i="67"/>
  <c r="FX36" i="67"/>
  <c r="FW36" i="67"/>
  <c r="FV36" i="67"/>
  <c r="FT36" i="67"/>
  <c r="FS36" i="67"/>
  <c r="FQ36" i="67"/>
  <c r="FO36" i="67"/>
  <c r="FN36" i="67"/>
  <c r="FM36" i="67"/>
  <c r="FK36" i="67"/>
  <c r="FI36" i="67"/>
  <c r="FH36" i="67"/>
  <c r="FG36" i="67"/>
  <c r="FF36" i="67"/>
  <c r="FE36" i="67"/>
  <c r="FD36" i="67"/>
  <c r="FC36" i="67"/>
  <c r="FB36" i="67"/>
  <c r="FA36" i="67"/>
  <c r="EZ36" i="67"/>
  <c r="EY36" i="67"/>
  <c r="EX36" i="67"/>
  <c r="EW36" i="67"/>
  <c r="EV36" i="67"/>
  <c r="EU36" i="67"/>
  <c r="ET36" i="67"/>
  <c r="ES36" i="67"/>
  <c r="ER36" i="67"/>
  <c r="EQ36" i="67"/>
  <c r="EP36" i="67"/>
  <c r="EO36" i="67"/>
  <c r="EN36" i="67"/>
  <c r="EM36" i="67"/>
  <c r="EL36" i="67"/>
  <c r="EK36" i="67"/>
  <c r="EJ36" i="67"/>
  <c r="EI36" i="67"/>
  <c r="EH36" i="67"/>
  <c r="EG36" i="67"/>
  <c r="EF36" i="67"/>
  <c r="EE36" i="67"/>
  <c r="ED36" i="67"/>
  <c r="EC36" i="67"/>
  <c r="DV36" i="67"/>
  <c r="DU36" i="67"/>
  <c r="DT36" i="67"/>
  <c r="DS36" i="67"/>
  <c r="DR36" i="67"/>
  <c r="DQ36" i="67"/>
  <c r="DP36" i="67"/>
  <c r="GC35" i="67"/>
  <c r="GB35" i="67"/>
  <c r="GA35" i="67"/>
  <c r="FZ35" i="67"/>
  <c r="FY35" i="67"/>
  <c r="FX35" i="67"/>
  <c r="FW35" i="67"/>
  <c r="FV35" i="67"/>
  <c r="FT35" i="67"/>
  <c r="FS35" i="67"/>
  <c r="FQ35" i="67"/>
  <c r="FO35" i="67"/>
  <c r="FN35" i="67"/>
  <c r="FM35" i="67"/>
  <c r="FK35" i="67"/>
  <c r="FI35" i="67"/>
  <c r="FH35" i="67"/>
  <c r="FG35" i="67"/>
  <c r="FF35" i="67"/>
  <c r="FE35" i="67"/>
  <c r="FD35" i="67"/>
  <c r="FC35" i="67"/>
  <c r="FB35" i="67"/>
  <c r="FA35" i="67"/>
  <c r="EZ35" i="67"/>
  <c r="EY35" i="67"/>
  <c r="EX35" i="67"/>
  <c r="EW35" i="67"/>
  <c r="EV35" i="67"/>
  <c r="EU35" i="67"/>
  <c r="ET35" i="67"/>
  <c r="ES35" i="67"/>
  <c r="ER35" i="67"/>
  <c r="EQ35" i="67"/>
  <c r="EP35" i="67"/>
  <c r="EO35" i="67"/>
  <c r="EN35" i="67"/>
  <c r="EM35" i="67"/>
  <c r="EL35" i="67"/>
  <c r="EK35" i="67"/>
  <c r="EJ35" i="67"/>
  <c r="EI35" i="67"/>
  <c r="EH35" i="67"/>
  <c r="EG35" i="67"/>
  <c r="EF35" i="67"/>
  <c r="EE35" i="67"/>
  <c r="ED35" i="67"/>
  <c r="EC35" i="67"/>
  <c r="DV35" i="67"/>
  <c r="DU35" i="67"/>
  <c r="DT35" i="67"/>
  <c r="DS35" i="67"/>
  <c r="DR35" i="67"/>
  <c r="DQ35" i="67"/>
  <c r="DP35" i="67"/>
  <c r="GC34" i="67"/>
  <c r="GB34" i="67"/>
  <c r="GA34" i="67"/>
  <c r="FZ34" i="67"/>
  <c r="FY34" i="67"/>
  <c r="FX34" i="67"/>
  <c r="FW34" i="67"/>
  <c r="FV34" i="67"/>
  <c r="FT34" i="67"/>
  <c r="FS34" i="67"/>
  <c r="FQ34" i="67"/>
  <c r="FO34" i="67"/>
  <c r="FN34" i="67"/>
  <c r="FM34" i="67"/>
  <c r="FK34" i="67"/>
  <c r="FI34" i="67"/>
  <c r="FH34" i="67"/>
  <c r="FG34" i="67"/>
  <c r="FF34" i="67"/>
  <c r="FE34" i="67"/>
  <c r="FD34" i="67"/>
  <c r="FC34" i="67"/>
  <c r="FB34" i="67"/>
  <c r="FA34" i="67"/>
  <c r="EZ34" i="67"/>
  <c r="EY34" i="67"/>
  <c r="EX34" i="67"/>
  <c r="EW34" i="67"/>
  <c r="EV34" i="67"/>
  <c r="EU34" i="67"/>
  <c r="ET34" i="67"/>
  <c r="ES34" i="67"/>
  <c r="ER34" i="67"/>
  <c r="EQ34" i="67"/>
  <c r="EP34" i="67"/>
  <c r="EO34" i="67"/>
  <c r="EN34" i="67"/>
  <c r="EM34" i="67"/>
  <c r="EL34" i="67"/>
  <c r="EK34" i="67"/>
  <c r="EJ34" i="67"/>
  <c r="EI34" i="67"/>
  <c r="EH34" i="67"/>
  <c r="EG34" i="67"/>
  <c r="EF34" i="67"/>
  <c r="EE34" i="67"/>
  <c r="ED34" i="67"/>
  <c r="EC34" i="67"/>
  <c r="DV34" i="67"/>
  <c r="DU34" i="67"/>
  <c r="DT34" i="67"/>
  <c r="DS34" i="67"/>
  <c r="DR34" i="67"/>
  <c r="DQ34" i="67"/>
  <c r="DP34" i="67"/>
  <c r="GC33" i="67"/>
  <c r="GB33" i="67"/>
  <c r="GA33" i="67"/>
  <c r="FZ33" i="67"/>
  <c r="FY33" i="67"/>
  <c r="FX33" i="67"/>
  <c r="FW33" i="67"/>
  <c r="FV33" i="67"/>
  <c r="FT33" i="67"/>
  <c r="FS33" i="67"/>
  <c r="FQ33" i="67"/>
  <c r="FO33" i="67"/>
  <c r="FN33" i="67"/>
  <c r="FM33" i="67"/>
  <c r="FK33" i="67"/>
  <c r="FI33" i="67"/>
  <c r="FH33" i="67"/>
  <c r="FG33" i="67"/>
  <c r="FF33" i="67"/>
  <c r="FE33" i="67"/>
  <c r="FD33" i="67"/>
  <c r="FC33" i="67"/>
  <c r="FB33" i="67"/>
  <c r="FA33" i="67"/>
  <c r="EZ33" i="67"/>
  <c r="EY33" i="67"/>
  <c r="EX33" i="67"/>
  <c r="EW33" i="67"/>
  <c r="EV33" i="67"/>
  <c r="EU33" i="67"/>
  <c r="ET33" i="67"/>
  <c r="ES33" i="67"/>
  <c r="ER33" i="67"/>
  <c r="EQ33" i="67"/>
  <c r="EP33" i="67"/>
  <c r="EO33" i="67"/>
  <c r="EN33" i="67"/>
  <c r="EM33" i="67"/>
  <c r="EL33" i="67"/>
  <c r="EK33" i="67"/>
  <c r="EJ33" i="67"/>
  <c r="EI33" i="67"/>
  <c r="EH33" i="67"/>
  <c r="EG33" i="67"/>
  <c r="EF33" i="67"/>
  <c r="EE33" i="67"/>
  <c r="ED33" i="67"/>
  <c r="EC33" i="67"/>
  <c r="DV33" i="67"/>
  <c r="DU33" i="67"/>
  <c r="DT33" i="67"/>
  <c r="DS33" i="67"/>
  <c r="DR33" i="67"/>
  <c r="DQ33" i="67"/>
  <c r="DP33" i="67"/>
  <c r="GC32" i="67"/>
  <c r="GB32" i="67"/>
  <c r="GA32" i="67"/>
  <c r="FZ32" i="67"/>
  <c r="FY32" i="67"/>
  <c r="FX32" i="67"/>
  <c r="FW32" i="67"/>
  <c r="FV32" i="67"/>
  <c r="FT32" i="67"/>
  <c r="FS32" i="67"/>
  <c r="FQ32" i="67"/>
  <c r="FO32" i="67"/>
  <c r="FN32" i="67"/>
  <c r="FM32" i="67"/>
  <c r="FK32" i="67"/>
  <c r="FI32" i="67"/>
  <c r="FH32" i="67"/>
  <c r="FG32" i="67"/>
  <c r="FF32" i="67"/>
  <c r="FE32" i="67"/>
  <c r="FD32" i="67"/>
  <c r="FC32" i="67"/>
  <c r="FB32" i="67"/>
  <c r="FA32" i="67"/>
  <c r="EZ32" i="67"/>
  <c r="EY32" i="67"/>
  <c r="EX32" i="67"/>
  <c r="EW32" i="67"/>
  <c r="EV32" i="67"/>
  <c r="EU32" i="67"/>
  <c r="ET32" i="67"/>
  <c r="ES32" i="67"/>
  <c r="ER32" i="67"/>
  <c r="EQ32" i="67"/>
  <c r="EP32" i="67"/>
  <c r="EO32" i="67"/>
  <c r="EN32" i="67"/>
  <c r="EM32" i="67"/>
  <c r="EL32" i="67"/>
  <c r="EK32" i="67"/>
  <c r="EJ32" i="67"/>
  <c r="EI32" i="67"/>
  <c r="EH32" i="67"/>
  <c r="EG32" i="67"/>
  <c r="EF32" i="67"/>
  <c r="EE32" i="67"/>
  <c r="ED32" i="67"/>
  <c r="EC32" i="67"/>
  <c r="DV32" i="67"/>
  <c r="DU32" i="67"/>
  <c r="DT32" i="67"/>
  <c r="DS32" i="67"/>
  <c r="DR32" i="67"/>
  <c r="DQ32" i="67"/>
  <c r="DP32" i="67"/>
  <c r="GC31" i="67"/>
  <c r="GB31" i="67"/>
  <c r="GA31" i="67"/>
  <c r="FZ31" i="67"/>
  <c r="FY31" i="67"/>
  <c r="FX31" i="67"/>
  <c r="FW31" i="67"/>
  <c r="FV31" i="67"/>
  <c r="FT31" i="67"/>
  <c r="FS31" i="67"/>
  <c r="FQ31" i="67"/>
  <c r="FO31" i="67"/>
  <c r="FN31" i="67"/>
  <c r="FM31" i="67"/>
  <c r="FK31" i="67"/>
  <c r="FI31" i="67"/>
  <c r="FH31" i="67"/>
  <c r="FG31" i="67"/>
  <c r="FF31" i="67"/>
  <c r="FE31" i="67"/>
  <c r="FD31" i="67"/>
  <c r="FC31" i="67"/>
  <c r="FB31" i="67"/>
  <c r="FA31" i="67"/>
  <c r="EZ31" i="67"/>
  <c r="EY31" i="67"/>
  <c r="EX31" i="67"/>
  <c r="EW31" i="67"/>
  <c r="EV31" i="67"/>
  <c r="EU31" i="67"/>
  <c r="ET31" i="67"/>
  <c r="ES31" i="67"/>
  <c r="ER31" i="67"/>
  <c r="EQ31" i="67"/>
  <c r="EP31" i="67"/>
  <c r="EO31" i="67"/>
  <c r="EN31" i="67"/>
  <c r="EM31" i="67"/>
  <c r="EL31" i="67"/>
  <c r="EK31" i="67"/>
  <c r="EJ31" i="67"/>
  <c r="EI31" i="67"/>
  <c r="EH31" i="67"/>
  <c r="EG31" i="67"/>
  <c r="EF31" i="67"/>
  <c r="EE31" i="67"/>
  <c r="ED31" i="67"/>
  <c r="EC31" i="67"/>
  <c r="DV31" i="67"/>
  <c r="DU31" i="67"/>
  <c r="DT31" i="67"/>
  <c r="DS31" i="67"/>
  <c r="DR31" i="67"/>
  <c r="DQ31" i="67"/>
  <c r="DP31" i="67"/>
  <c r="GC30" i="67"/>
  <c r="GB30" i="67"/>
  <c r="GA30" i="67"/>
  <c r="FZ30" i="67"/>
  <c r="FY30" i="67"/>
  <c r="FX30" i="67"/>
  <c r="FW30" i="67"/>
  <c r="FV30" i="67"/>
  <c r="FT30" i="67"/>
  <c r="FS30" i="67"/>
  <c r="FQ30" i="67"/>
  <c r="FO30" i="67"/>
  <c r="FN30" i="67"/>
  <c r="FM30" i="67"/>
  <c r="FK30" i="67"/>
  <c r="FI30" i="67"/>
  <c r="FH30" i="67"/>
  <c r="FG30" i="67"/>
  <c r="FF30" i="67"/>
  <c r="FE30" i="67"/>
  <c r="FD30" i="67"/>
  <c r="FC30" i="67"/>
  <c r="FB30" i="67"/>
  <c r="FA30" i="67"/>
  <c r="EZ30" i="67"/>
  <c r="EY30" i="67"/>
  <c r="EX30" i="67"/>
  <c r="EW30" i="67"/>
  <c r="EV30" i="67"/>
  <c r="EU30" i="67"/>
  <c r="ET30" i="67"/>
  <c r="ES30" i="67"/>
  <c r="ER30" i="67"/>
  <c r="EQ30" i="67"/>
  <c r="EP30" i="67"/>
  <c r="EO30" i="67"/>
  <c r="EN30" i="67"/>
  <c r="EM30" i="67"/>
  <c r="EL30" i="67"/>
  <c r="EK30" i="67"/>
  <c r="EJ30" i="67"/>
  <c r="EI30" i="67"/>
  <c r="EH30" i="67"/>
  <c r="EG30" i="67"/>
  <c r="EF30" i="67"/>
  <c r="EE30" i="67"/>
  <c r="ED30" i="67"/>
  <c r="EC30" i="67"/>
  <c r="DV30" i="67"/>
  <c r="DU30" i="67"/>
  <c r="DT30" i="67"/>
  <c r="DS30" i="67"/>
  <c r="DR30" i="67"/>
  <c r="DQ30" i="67"/>
  <c r="DP30" i="67"/>
  <c r="GC29" i="67"/>
  <c r="GB29" i="67"/>
  <c r="GA29" i="67"/>
  <c r="FZ29" i="67"/>
  <c r="FY29" i="67"/>
  <c r="FX29" i="67"/>
  <c r="FW29" i="67"/>
  <c r="FV29" i="67"/>
  <c r="FT29" i="67"/>
  <c r="FS29" i="67"/>
  <c r="FQ29" i="67"/>
  <c r="FO29" i="67"/>
  <c r="FN29" i="67"/>
  <c r="FM29" i="67"/>
  <c r="FK29" i="67"/>
  <c r="FI29" i="67"/>
  <c r="FH29" i="67"/>
  <c r="FG29" i="67"/>
  <c r="FF29" i="67"/>
  <c r="FE29" i="67"/>
  <c r="FD29" i="67"/>
  <c r="FC29" i="67"/>
  <c r="FB29" i="67"/>
  <c r="FA29" i="67"/>
  <c r="EZ29" i="67"/>
  <c r="EY29" i="67"/>
  <c r="EX29" i="67"/>
  <c r="EW29" i="67"/>
  <c r="EV29" i="67"/>
  <c r="EU29" i="67"/>
  <c r="ET29" i="67"/>
  <c r="ES29" i="67"/>
  <c r="ER29" i="67"/>
  <c r="EQ29" i="67"/>
  <c r="EP29" i="67"/>
  <c r="EO29" i="67"/>
  <c r="EN29" i="67"/>
  <c r="EM29" i="67"/>
  <c r="EL29" i="67"/>
  <c r="EK29" i="67"/>
  <c r="EJ29" i="67"/>
  <c r="EI29" i="67"/>
  <c r="EH29" i="67"/>
  <c r="EG29" i="67"/>
  <c r="EF29" i="67"/>
  <c r="EE29" i="67"/>
  <c r="ED29" i="67"/>
  <c r="EC29" i="67"/>
  <c r="DV29" i="67"/>
  <c r="DU29" i="67"/>
  <c r="DT29" i="67"/>
  <c r="DS29" i="67"/>
  <c r="DR29" i="67"/>
  <c r="DQ29" i="67"/>
  <c r="DP29" i="67"/>
  <c r="GC28" i="67"/>
  <c r="GB28" i="67"/>
  <c r="GA28" i="67"/>
  <c r="FZ28" i="67"/>
  <c r="FY28" i="67"/>
  <c r="FX28" i="67"/>
  <c r="FW28" i="67"/>
  <c r="FV28" i="67"/>
  <c r="FT28" i="67"/>
  <c r="FS28" i="67"/>
  <c r="FQ28" i="67"/>
  <c r="FO28" i="67"/>
  <c r="FN28" i="67"/>
  <c r="FM28" i="67"/>
  <c r="FK28" i="67"/>
  <c r="FI28" i="67"/>
  <c r="FH28" i="67"/>
  <c r="FG28" i="67"/>
  <c r="FF28" i="67"/>
  <c r="FE28" i="67"/>
  <c r="FD28" i="67"/>
  <c r="FC28" i="67"/>
  <c r="FB28" i="67"/>
  <c r="FA28" i="67"/>
  <c r="EZ28" i="67"/>
  <c r="EY28" i="67"/>
  <c r="EX28" i="67"/>
  <c r="EW28" i="67"/>
  <c r="EV28" i="67"/>
  <c r="EU28" i="67"/>
  <c r="ET28" i="67"/>
  <c r="ES28" i="67"/>
  <c r="ER28" i="67"/>
  <c r="EQ28" i="67"/>
  <c r="EP28" i="67"/>
  <c r="EO28" i="67"/>
  <c r="EN28" i="67"/>
  <c r="EM28" i="67"/>
  <c r="EL28" i="67"/>
  <c r="EK28" i="67"/>
  <c r="EJ28" i="67"/>
  <c r="EI28" i="67"/>
  <c r="EH28" i="67"/>
  <c r="EG28" i="67"/>
  <c r="EF28" i="67"/>
  <c r="EE28" i="67"/>
  <c r="ED28" i="67"/>
  <c r="EC28" i="67"/>
  <c r="DV28" i="67"/>
  <c r="DU28" i="67"/>
  <c r="DT28" i="67"/>
  <c r="DS28" i="67"/>
  <c r="DR28" i="67"/>
  <c r="DQ28" i="67"/>
  <c r="DP28" i="67"/>
  <c r="GC27" i="67"/>
  <c r="GB27" i="67"/>
  <c r="GA27" i="67"/>
  <c r="FZ27" i="67"/>
  <c r="FY27" i="67"/>
  <c r="FX27" i="67"/>
  <c r="FW27" i="67"/>
  <c r="FV27" i="67"/>
  <c r="FT27" i="67"/>
  <c r="FS27" i="67"/>
  <c r="FQ27" i="67"/>
  <c r="FO27" i="67"/>
  <c r="FN27" i="67"/>
  <c r="FM27" i="67"/>
  <c r="FK27" i="67"/>
  <c r="FI27" i="67"/>
  <c r="FH27" i="67"/>
  <c r="FG27" i="67"/>
  <c r="FF27" i="67"/>
  <c r="FE27" i="67"/>
  <c r="FD27" i="67"/>
  <c r="FC27" i="67"/>
  <c r="FB27" i="67"/>
  <c r="FA27" i="67"/>
  <c r="EZ27" i="67"/>
  <c r="EY27" i="67"/>
  <c r="EX27" i="67"/>
  <c r="EW27" i="67"/>
  <c r="EV27" i="67"/>
  <c r="EU27" i="67"/>
  <c r="ET27" i="67"/>
  <c r="ES27" i="67"/>
  <c r="ER27" i="67"/>
  <c r="EQ27" i="67"/>
  <c r="EP27" i="67"/>
  <c r="EO27" i="67"/>
  <c r="EN27" i="67"/>
  <c r="EM27" i="67"/>
  <c r="EL27" i="67"/>
  <c r="EK27" i="67"/>
  <c r="EJ27" i="67"/>
  <c r="EI27" i="67"/>
  <c r="EH27" i="67"/>
  <c r="EG27" i="67"/>
  <c r="EF27" i="67"/>
  <c r="EE27" i="67"/>
  <c r="ED27" i="67"/>
  <c r="EC27" i="67"/>
  <c r="DV27" i="67"/>
  <c r="DU27" i="67"/>
  <c r="DT27" i="67"/>
  <c r="DS27" i="67"/>
  <c r="DR27" i="67"/>
  <c r="DQ27" i="67"/>
  <c r="DP27" i="67"/>
  <c r="GC26" i="67"/>
  <c r="GB26" i="67"/>
  <c r="GA26" i="67"/>
  <c r="FZ26" i="67"/>
  <c r="FY26" i="67"/>
  <c r="FX26" i="67"/>
  <c r="FW26" i="67"/>
  <c r="FV26" i="67"/>
  <c r="FT26" i="67"/>
  <c r="FS26" i="67"/>
  <c r="FQ26" i="67"/>
  <c r="FO26" i="67"/>
  <c r="FN26" i="67"/>
  <c r="FM26" i="67"/>
  <c r="FK26" i="67"/>
  <c r="FI26" i="67"/>
  <c r="FH26" i="67"/>
  <c r="FG26" i="67"/>
  <c r="FF26" i="67"/>
  <c r="FE26" i="67"/>
  <c r="FD26" i="67"/>
  <c r="FC26" i="67"/>
  <c r="FB26" i="67"/>
  <c r="FA26" i="67"/>
  <c r="EZ26" i="67"/>
  <c r="EY26" i="67"/>
  <c r="EX26" i="67"/>
  <c r="EW26" i="67"/>
  <c r="EV26" i="67"/>
  <c r="EU26" i="67"/>
  <c r="ET26" i="67"/>
  <c r="ES26" i="67"/>
  <c r="ER26" i="67"/>
  <c r="EQ26" i="67"/>
  <c r="EP26" i="67"/>
  <c r="EO26" i="67"/>
  <c r="EN26" i="67"/>
  <c r="EM26" i="67"/>
  <c r="EL26" i="67"/>
  <c r="EK26" i="67"/>
  <c r="EJ26" i="67"/>
  <c r="EI26" i="67"/>
  <c r="EH26" i="67"/>
  <c r="EG26" i="67"/>
  <c r="EF26" i="67"/>
  <c r="EE26" i="67"/>
  <c r="ED26" i="67"/>
  <c r="EC26" i="67"/>
  <c r="DV26" i="67"/>
  <c r="DU26" i="67"/>
  <c r="DT26" i="67"/>
  <c r="DS26" i="67"/>
  <c r="DR26" i="67"/>
  <c r="DQ26" i="67"/>
  <c r="DP26" i="67"/>
  <c r="GC25" i="67"/>
  <c r="GB25" i="67"/>
  <c r="GA25" i="67"/>
  <c r="FZ25" i="67"/>
  <c r="FY25" i="67"/>
  <c r="FX25" i="67"/>
  <c r="FW25" i="67"/>
  <c r="FV25" i="67"/>
  <c r="FT25" i="67"/>
  <c r="FS25" i="67"/>
  <c r="FQ25" i="67"/>
  <c r="FO25" i="67"/>
  <c r="FN25" i="67"/>
  <c r="FM25" i="67"/>
  <c r="FK25" i="67"/>
  <c r="FI25" i="67"/>
  <c r="FH25" i="67"/>
  <c r="FG25" i="67"/>
  <c r="FF25" i="67"/>
  <c r="FE25" i="67"/>
  <c r="FD25" i="67"/>
  <c r="FC25" i="67"/>
  <c r="FB25" i="67"/>
  <c r="FA25" i="67"/>
  <c r="EZ25" i="67"/>
  <c r="EY25" i="67"/>
  <c r="EX25" i="67"/>
  <c r="EW25" i="67"/>
  <c r="EV25" i="67"/>
  <c r="EU25" i="67"/>
  <c r="ET25" i="67"/>
  <c r="ES25" i="67"/>
  <c r="ER25" i="67"/>
  <c r="EQ25" i="67"/>
  <c r="EP25" i="67"/>
  <c r="EO25" i="67"/>
  <c r="EN25" i="67"/>
  <c r="EM25" i="67"/>
  <c r="EL25" i="67"/>
  <c r="EK25" i="67"/>
  <c r="EJ25" i="67"/>
  <c r="EI25" i="67"/>
  <c r="EH25" i="67"/>
  <c r="EG25" i="67"/>
  <c r="EF25" i="67"/>
  <c r="EE25" i="67"/>
  <c r="ED25" i="67"/>
  <c r="EC25" i="67"/>
  <c r="DV25" i="67"/>
  <c r="DU25" i="67"/>
  <c r="DT25" i="67"/>
  <c r="DS25" i="67"/>
  <c r="DR25" i="67"/>
  <c r="DQ25" i="67"/>
  <c r="DP25" i="67"/>
  <c r="GC24" i="67"/>
  <c r="GB24" i="67"/>
  <c r="GA24" i="67"/>
  <c r="FZ24" i="67"/>
  <c r="FY24" i="67"/>
  <c r="FX24" i="67"/>
  <c r="FW24" i="67"/>
  <c r="FV24" i="67"/>
  <c r="FT24" i="67"/>
  <c r="FS24" i="67"/>
  <c r="FQ24" i="67"/>
  <c r="FO24" i="67"/>
  <c r="FN24" i="67"/>
  <c r="FM24" i="67"/>
  <c r="FK24" i="67"/>
  <c r="FI24" i="67"/>
  <c r="FH24" i="67"/>
  <c r="FG24" i="67"/>
  <c r="FF24" i="67"/>
  <c r="FE24" i="67"/>
  <c r="FD24" i="67"/>
  <c r="FC24" i="67"/>
  <c r="FB24" i="67"/>
  <c r="FA24" i="67"/>
  <c r="EZ24" i="67"/>
  <c r="EY24" i="67"/>
  <c r="EX24" i="67"/>
  <c r="EW24" i="67"/>
  <c r="EV24" i="67"/>
  <c r="EU24" i="67"/>
  <c r="ET24" i="67"/>
  <c r="ES24" i="67"/>
  <c r="ER24" i="67"/>
  <c r="EQ24" i="67"/>
  <c r="EP24" i="67"/>
  <c r="EO24" i="67"/>
  <c r="EN24" i="67"/>
  <c r="EM24" i="67"/>
  <c r="EL24" i="67"/>
  <c r="EK24" i="67"/>
  <c r="EJ24" i="67"/>
  <c r="EI24" i="67"/>
  <c r="EH24" i="67"/>
  <c r="EG24" i="67"/>
  <c r="EF24" i="67"/>
  <c r="EE24" i="67"/>
  <c r="ED24" i="67"/>
  <c r="EC24" i="67"/>
  <c r="DV24" i="67"/>
  <c r="DU24" i="67"/>
  <c r="DT24" i="67"/>
  <c r="DS24" i="67"/>
  <c r="DR24" i="67"/>
  <c r="DQ24" i="67"/>
  <c r="DP24" i="67"/>
  <c r="GC23" i="67"/>
  <c r="GB23" i="67"/>
  <c r="GA23" i="67"/>
  <c r="FZ23" i="67"/>
  <c r="FY23" i="67"/>
  <c r="FX23" i="67"/>
  <c r="FW23" i="67"/>
  <c r="FV23" i="67"/>
  <c r="FT23" i="67"/>
  <c r="FS23" i="67"/>
  <c r="FQ23" i="67"/>
  <c r="FO23" i="67"/>
  <c r="FN23" i="67"/>
  <c r="FM23" i="67"/>
  <c r="FK23" i="67"/>
  <c r="FI23" i="67"/>
  <c r="FH23" i="67"/>
  <c r="FG23" i="67"/>
  <c r="FF23" i="67"/>
  <c r="FE23" i="67"/>
  <c r="FD23" i="67"/>
  <c r="FC23" i="67"/>
  <c r="FB23" i="67"/>
  <c r="FA23" i="67"/>
  <c r="EZ23" i="67"/>
  <c r="EY23" i="67"/>
  <c r="EX23" i="67"/>
  <c r="EW23" i="67"/>
  <c r="EV23" i="67"/>
  <c r="EU23" i="67"/>
  <c r="ET23" i="67"/>
  <c r="ES23" i="67"/>
  <c r="ER23" i="67"/>
  <c r="EQ23" i="67"/>
  <c r="EP23" i="67"/>
  <c r="EO23" i="67"/>
  <c r="EN23" i="67"/>
  <c r="EM23" i="67"/>
  <c r="EL23" i="67"/>
  <c r="EK23" i="67"/>
  <c r="EJ23" i="67"/>
  <c r="EI23" i="67"/>
  <c r="EH23" i="67"/>
  <c r="EG23" i="67"/>
  <c r="EF23" i="67"/>
  <c r="EE23" i="67"/>
  <c r="ED23" i="67"/>
  <c r="EC23" i="67"/>
  <c r="DV23" i="67"/>
  <c r="DU23" i="67"/>
  <c r="DT23" i="67"/>
  <c r="DS23" i="67"/>
  <c r="DR23" i="67"/>
  <c r="DQ23" i="67"/>
  <c r="DP23" i="67"/>
  <c r="GC22" i="67"/>
  <c r="GB22" i="67"/>
  <c r="GA22" i="67"/>
  <c r="FZ22" i="67"/>
  <c r="FY22" i="67"/>
  <c r="FX22" i="67"/>
  <c r="FW22" i="67"/>
  <c r="FV22" i="67"/>
  <c r="FT22" i="67"/>
  <c r="FS22" i="67"/>
  <c r="FQ22" i="67"/>
  <c r="FO22" i="67"/>
  <c r="FN22" i="67"/>
  <c r="FM22" i="67"/>
  <c r="FK22" i="67"/>
  <c r="FI22" i="67"/>
  <c r="FH22" i="67"/>
  <c r="FG22" i="67"/>
  <c r="FF22" i="67"/>
  <c r="FE22" i="67"/>
  <c r="FD22" i="67"/>
  <c r="FC22" i="67"/>
  <c r="FB22" i="67"/>
  <c r="FA22" i="67"/>
  <c r="EZ22" i="67"/>
  <c r="EY22" i="67"/>
  <c r="EX22" i="67"/>
  <c r="EW22" i="67"/>
  <c r="EV22" i="67"/>
  <c r="EU22" i="67"/>
  <c r="ET22" i="67"/>
  <c r="ES22" i="67"/>
  <c r="ER22" i="67"/>
  <c r="EQ22" i="67"/>
  <c r="EP22" i="67"/>
  <c r="EO22" i="67"/>
  <c r="EN22" i="67"/>
  <c r="EM22" i="67"/>
  <c r="EL22" i="67"/>
  <c r="EK22" i="67"/>
  <c r="EJ22" i="67"/>
  <c r="EI22" i="67"/>
  <c r="EH22" i="67"/>
  <c r="EG22" i="67"/>
  <c r="EF22" i="67"/>
  <c r="EE22" i="67"/>
  <c r="ED22" i="67"/>
  <c r="EC22" i="67"/>
  <c r="DV22" i="67"/>
  <c r="DU22" i="67"/>
  <c r="DT22" i="67"/>
  <c r="DS22" i="67"/>
  <c r="DR22" i="67"/>
  <c r="DQ22" i="67"/>
  <c r="DP22" i="67"/>
  <c r="GC21" i="67"/>
  <c r="GB21" i="67"/>
  <c r="GA21" i="67"/>
  <c r="FZ21" i="67"/>
  <c r="FY21" i="67"/>
  <c r="FX21" i="67"/>
  <c r="FW21" i="67"/>
  <c r="FV21" i="67"/>
  <c r="FT21" i="67"/>
  <c r="FS21" i="67"/>
  <c r="FQ21" i="67"/>
  <c r="FO21" i="67"/>
  <c r="FN21" i="67"/>
  <c r="FM21" i="67"/>
  <c r="FK21" i="67"/>
  <c r="FI21" i="67"/>
  <c r="FH21" i="67"/>
  <c r="FG21" i="67"/>
  <c r="FF21" i="67"/>
  <c r="FE21" i="67"/>
  <c r="FD21" i="67"/>
  <c r="FC21" i="67"/>
  <c r="FB21" i="67"/>
  <c r="FA21" i="67"/>
  <c r="EZ21" i="67"/>
  <c r="EY21" i="67"/>
  <c r="EX21" i="67"/>
  <c r="EW21" i="67"/>
  <c r="EV21" i="67"/>
  <c r="EU21" i="67"/>
  <c r="ET21" i="67"/>
  <c r="ES21" i="67"/>
  <c r="ER21" i="67"/>
  <c r="EQ21" i="67"/>
  <c r="EP21" i="67"/>
  <c r="EO21" i="67"/>
  <c r="EN21" i="67"/>
  <c r="EM21" i="67"/>
  <c r="EL21" i="67"/>
  <c r="EK21" i="67"/>
  <c r="EJ21" i="67"/>
  <c r="EI21" i="67"/>
  <c r="EH21" i="67"/>
  <c r="EG21" i="67"/>
  <c r="EF21" i="67"/>
  <c r="EE21" i="67"/>
  <c r="ED21" i="67"/>
  <c r="EC21" i="67"/>
  <c r="DV21" i="67"/>
  <c r="DU21" i="67"/>
  <c r="DT21" i="67"/>
  <c r="DS21" i="67"/>
  <c r="DR21" i="67"/>
  <c r="DQ21" i="67"/>
  <c r="DP21" i="67"/>
  <c r="GC20" i="67"/>
  <c r="GB20" i="67"/>
  <c r="GA20" i="67"/>
  <c r="FZ20" i="67"/>
  <c r="FY20" i="67"/>
  <c r="FX20" i="67"/>
  <c r="FW20" i="67"/>
  <c r="FV20" i="67"/>
  <c r="FT20" i="67"/>
  <c r="FS20" i="67"/>
  <c r="FQ20" i="67"/>
  <c r="FO20" i="67"/>
  <c r="FN20" i="67"/>
  <c r="FM20" i="67"/>
  <c r="FK20" i="67"/>
  <c r="FI20" i="67"/>
  <c r="FH20" i="67"/>
  <c r="FG20" i="67"/>
  <c r="FF20" i="67"/>
  <c r="FE20" i="67"/>
  <c r="FD20" i="67"/>
  <c r="FC20" i="67"/>
  <c r="FB20" i="67"/>
  <c r="FA20" i="67"/>
  <c r="EZ20" i="67"/>
  <c r="EY20" i="67"/>
  <c r="EX20" i="67"/>
  <c r="EW20" i="67"/>
  <c r="EV20" i="67"/>
  <c r="EU20" i="67"/>
  <c r="ET20" i="67"/>
  <c r="ES20" i="67"/>
  <c r="ER20" i="67"/>
  <c r="EQ20" i="67"/>
  <c r="EP20" i="67"/>
  <c r="EO20" i="67"/>
  <c r="EN20" i="67"/>
  <c r="EM20" i="67"/>
  <c r="EL20" i="67"/>
  <c r="EK20" i="67"/>
  <c r="EJ20" i="67"/>
  <c r="EI20" i="67"/>
  <c r="EH20" i="67"/>
  <c r="EG20" i="67"/>
  <c r="EF20" i="67"/>
  <c r="EE20" i="67"/>
  <c r="ED20" i="67"/>
  <c r="EC20" i="67"/>
  <c r="DV20" i="67"/>
  <c r="DU20" i="67"/>
  <c r="DT20" i="67"/>
  <c r="DS20" i="67"/>
  <c r="DR20" i="67"/>
  <c r="DQ20" i="67"/>
  <c r="DP20" i="67"/>
  <c r="GC19" i="67"/>
  <c r="GB19" i="67"/>
  <c r="GA19" i="67"/>
  <c r="FZ19" i="67"/>
  <c r="FY19" i="67"/>
  <c r="FX19" i="67"/>
  <c r="FW19" i="67"/>
  <c r="FV19" i="67"/>
  <c r="FT19" i="67"/>
  <c r="FS19" i="67"/>
  <c r="FQ19" i="67"/>
  <c r="FO19" i="67"/>
  <c r="FN19" i="67"/>
  <c r="FM19" i="67"/>
  <c r="FK19" i="67"/>
  <c r="FI19" i="67"/>
  <c r="FH19" i="67"/>
  <c r="FG19" i="67"/>
  <c r="FF19" i="67"/>
  <c r="FE19" i="67"/>
  <c r="FD19" i="67"/>
  <c r="FC19" i="67"/>
  <c r="FB19" i="67"/>
  <c r="FA19" i="67"/>
  <c r="EZ19" i="67"/>
  <c r="EY19" i="67"/>
  <c r="EX19" i="67"/>
  <c r="EW19" i="67"/>
  <c r="EV19" i="67"/>
  <c r="EU19" i="67"/>
  <c r="ET19" i="67"/>
  <c r="ES19" i="67"/>
  <c r="ER19" i="67"/>
  <c r="EQ19" i="67"/>
  <c r="EP19" i="67"/>
  <c r="EO19" i="67"/>
  <c r="EN19" i="67"/>
  <c r="EM19" i="67"/>
  <c r="EL19" i="67"/>
  <c r="EK19" i="67"/>
  <c r="EJ19" i="67"/>
  <c r="EI19" i="67"/>
  <c r="EH19" i="67"/>
  <c r="EG19" i="67"/>
  <c r="EF19" i="67"/>
  <c r="EE19" i="67"/>
  <c r="ED19" i="67"/>
  <c r="EC19" i="67"/>
  <c r="DV19" i="67"/>
  <c r="DU19" i="67"/>
  <c r="DT19" i="67"/>
  <c r="DS19" i="67"/>
  <c r="DR19" i="67"/>
  <c r="DQ19" i="67"/>
  <c r="DP19" i="67"/>
  <c r="GC18" i="67"/>
  <c r="GB18" i="67"/>
  <c r="GA18" i="67"/>
  <c r="FZ18" i="67"/>
  <c r="FY18" i="67"/>
  <c r="FX18" i="67"/>
  <c r="FW18" i="67"/>
  <c r="FV18" i="67"/>
  <c r="FT18" i="67"/>
  <c r="FS18" i="67"/>
  <c r="FQ18" i="67"/>
  <c r="FO18" i="67"/>
  <c r="FN18" i="67"/>
  <c r="FM18" i="67"/>
  <c r="FK18" i="67"/>
  <c r="FI18" i="67"/>
  <c r="FH18" i="67"/>
  <c r="FG18" i="67"/>
  <c r="FF18" i="67"/>
  <c r="FE18" i="67"/>
  <c r="FD18" i="67"/>
  <c r="FC18" i="67"/>
  <c r="FB18" i="67"/>
  <c r="FA18" i="67"/>
  <c r="EZ18" i="67"/>
  <c r="EY18" i="67"/>
  <c r="EX18" i="67"/>
  <c r="EW18" i="67"/>
  <c r="EV18" i="67"/>
  <c r="EU18" i="67"/>
  <c r="ET18" i="67"/>
  <c r="ES18" i="67"/>
  <c r="ER18" i="67"/>
  <c r="EQ18" i="67"/>
  <c r="EP18" i="67"/>
  <c r="EO18" i="67"/>
  <c r="EN18" i="67"/>
  <c r="EM18" i="67"/>
  <c r="EL18" i="67"/>
  <c r="EK18" i="67"/>
  <c r="EJ18" i="67"/>
  <c r="EI18" i="67"/>
  <c r="EH18" i="67"/>
  <c r="EG18" i="67"/>
  <c r="EF18" i="67"/>
  <c r="EE18" i="67"/>
  <c r="ED18" i="67"/>
  <c r="EC18" i="67"/>
  <c r="DV18" i="67"/>
  <c r="DU18" i="67"/>
  <c r="DT18" i="67"/>
  <c r="DS18" i="67"/>
  <c r="DR18" i="67"/>
  <c r="DQ18" i="67"/>
  <c r="DP18" i="67"/>
  <c r="GC17" i="67"/>
  <c r="GB17" i="67"/>
  <c r="GA17" i="67"/>
  <c r="FZ17" i="67"/>
  <c r="FY17" i="67"/>
  <c r="FX17" i="67"/>
  <c r="FW17" i="67"/>
  <c r="FV17" i="67"/>
  <c r="FT17" i="67"/>
  <c r="FS17" i="67"/>
  <c r="FQ17" i="67"/>
  <c r="FO17" i="67"/>
  <c r="FN17" i="67"/>
  <c r="FM17" i="67"/>
  <c r="FK17" i="67"/>
  <c r="FI17" i="67"/>
  <c r="FH17" i="67"/>
  <c r="FG17" i="67"/>
  <c r="FF17" i="67"/>
  <c r="FE17" i="67"/>
  <c r="FD17" i="67"/>
  <c r="FC17" i="67"/>
  <c r="FB17" i="67"/>
  <c r="FA17" i="67"/>
  <c r="EZ17" i="67"/>
  <c r="EY17" i="67"/>
  <c r="EX17" i="67"/>
  <c r="EW17" i="67"/>
  <c r="EV17" i="67"/>
  <c r="EU17" i="67"/>
  <c r="ET17" i="67"/>
  <c r="ES17" i="67"/>
  <c r="ER17" i="67"/>
  <c r="EQ17" i="67"/>
  <c r="EP17" i="67"/>
  <c r="EO17" i="67"/>
  <c r="EN17" i="67"/>
  <c r="EM17" i="67"/>
  <c r="EL17" i="67"/>
  <c r="EK17" i="67"/>
  <c r="EJ17" i="67"/>
  <c r="EI17" i="67"/>
  <c r="EH17" i="67"/>
  <c r="EG17" i="67"/>
  <c r="EF17" i="67"/>
  <c r="EE17" i="67"/>
  <c r="ED17" i="67"/>
  <c r="EC17" i="67"/>
  <c r="DV17" i="67"/>
  <c r="DU17" i="67"/>
  <c r="DT17" i="67"/>
  <c r="DS17" i="67"/>
  <c r="DR17" i="67"/>
  <c r="DQ17" i="67"/>
  <c r="DP17" i="67"/>
  <c r="GC16" i="67"/>
  <c r="GB16" i="67"/>
  <c r="GA16" i="67"/>
  <c r="FZ16" i="67"/>
  <c r="FY16" i="67"/>
  <c r="FX16" i="67"/>
  <c r="FW16" i="67"/>
  <c r="FV16" i="67"/>
  <c r="FT16" i="67"/>
  <c r="FS16" i="67"/>
  <c r="FQ16" i="67"/>
  <c r="FO16" i="67"/>
  <c r="FN16" i="67"/>
  <c r="FM16" i="67"/>
  <c r="FK16" i="67"/>
  <c r="FI16" i="67"/>
  <c r="FH16" i="67"/>
  <c r="FG16" i="67"/>
  <c r="FF16" i="67"/>
  <c r="FE16" i="67"/>
  <c r="FD16" i="67"/>
  <c r="FC16" i="67"/>
  <c r="FB16" i="67"/>
  <c r="FA16" i="67"/>
  <c r="EZ16" i="67"/>
  <c r="EY16" i="67"/>
  <c r="EX16" i="67"/>
  <c r="EW16" i="67"/>
  <c r="EV16" i="67"/>
  <c r="EU16" i="67"/>
  <c r="ET16" i="67"/>
  <c r="ES16" i="67"/>
  <c r="ER16" i="67"/>
  <c r="EQ16" i="67"/>
  <c r="EP16" i="67"/>
  <c r="EO16" i="67"/>
  <c r="EN16" i="67"/>
  <c r="EM16" i="67"/>
  <c r="EL16" i="67"/>
  <c r="EK16" i="67"/>
  <c r="EJ16" i="67"/>
  <c r="EI16" i="67"/>
  <c r="EH16" i="67"/>
  <c r="EG16" i="67"/>
  <c r="EF16" i="67"/>
  <c r="EE16" i="67"/>
  <c r="ED16" i="67"/>
  <c r="EC16" i="67"/>
  <c r="DV16" i="67"/>
  <c r="DU16" i="67"/>
  <c r="DT16" i="67"/>
  <c r="DS16" i="67"/>
  <c r="DR16" i="67"/>
  <c r="DQ16" i="67"/>
  <c r="DP16" i="67"/>
  <c r="GC15" i="67"/>
  <c r="GB15" i="67"/>
  <c r="GA15" i="67"/>
  <c r="FZ15" i="67"/>
  <c r="FY15" i="67"/>
  <c r="FX15" i="67"/>
  <c r="FW15" i="67"/>
  <c r="FV15" i="67"/>
  <c r="FT15" i="67"/>
  <c r="FS15" i="67"/>
  <c r="FQ15" i="67"/>
  <c r="FO15" i="67"/>
  <c r="FN15" i="67"/>
  <c r="FM15" i="67"/>
  <c r="FK15" i="67"/>
  <c r="FI15" i="67"/>
  <c r="FH15" i="67"/>
  <c r="FG15" i="67"/>
  <c r="FF15" i="67"/>
  <c r="FE15" i="67"/>
  <c r="FD15" i="67"/>
  <c r="FC15" i="67"/>
  <c r="FB15" i="67"/>
  <c r="FA15" i="67"/>
  <c r="EZ15" i="67"/>
  <c r="EY15" i="67"/>
  <c r="EX15" i="67"/>
  <c r="EW15" i="67"/>
  <c r="EV15" i="67"/>
  <c r="EU15" i="67"/>
  <c r="ET15" i="67"/>
  <c r="ES15" i="67"/>
  <c r="ER15" i="67"/>
  <c r="EQ15" i="67"/>
  <c r="EP15" i="67"/>
  <c r="EO15" i="67"/>
  <c r="EN15" i="67"/>
  <c r="EM15" i="67"/>
  <c r="EL15" i="67"/>
  <c r="EK15" i="67"/>
  <c r="EJ15" i="67"/>
  <c r="EI15" i="67"/>
  <c r="EH15" i="67"/>
  <c r="EG15" i="67"/>
  <c r="EF15" i="67"/>
  <c r="EE15" i="67"/>
  <c r="ED15" i="67"/>
  <c r="EC15" i="67"/>
  <c r="DV15" i="67"/>
  <c r="DU15" i="67"/>
  <c r="DT15" i="67"/>
  <c r="DS15" i="67"/>
  <c r="DR15" i="67"/>
  <c r="DQ15" i="67"/>
  <c r="DP15" i="67"/>
  <c r="GC14" i="67"/>
  <c r="GB14" i="67"/>
  <c r="GA14" i="67"/>
  <c r="FZ14" i="67"/>
  <c r="FY14" i="67"/>
  <c r="FX14" i="67"/>
  <c r="FW14" i="67"/>
  <c r="FV14" i="67"/>
  <c r="FT14" i="67"/>
  <c r="FS14" i="67"/>
  <c r="FQ14" i="67"/>
  <c r="FO14" i="67"/>
  <c r="FN14" i="67"/>
  <c r="FM14" i="67"/>
  <c r="FK14" i="67"/>
  <c r="FI14" i="67"/>
  <c r="FH14" i="67"/>
  <c r="FG14" i="67"/>
  <c r="FF14" i="67"/>
  <c r="FE14" i="67"/>
  <c r="FD14" i="67"/>
  <c r="FC14" i="67"/>
  <c r="FB14" i="67"/>
  <c r="FA14" i="67"/>
  <c r="EZ14" i="67"/>
  <c r="EY14" i="67"/>
  <c r="EX14" i="67"/>
  <c r="EW14" i="67"/>
  <c r="EV14" i="67"/>
  <c r="EU14" i="67"/>
  <c r="ET14" i="67"/>
  <c r="ES14" i="67"/>
  <c r="ER14" i="67"/>
  <c r="EQ14" i="67"/>
  <c r="EP14" i="67"/>
  <c r="EO14" i="67"/>
  <c r="EN14" i="67"/>
  <c r="EM14" i="67"/>
  <c r="EL14" i="67"/>
  <c r="EK14" i="67"/>
  <c r="EJ14" i="67"/>
  <c r="EI14" i="67"/>
  <c r="EH14" i="67"/>
  <c r="EG14" i="67"/>
  <c r="EF14" i="67"/>
  <c r="EE14" i="67"/>
  <c r="ED14" i="67"/>
  <c r="EC14" i="67"/>
  <c r="DV14" i="67"/>
  <c r="DU14" i="67"/>
  <c r="DT14" i="67"/>
  <c r="DS14" i="67"/>
  <c r="DR14" i="67"/>
  <c r="DQ14" i="67"/>
  <c r="DP14" i="67"/>
  <c r="GC13" i="67"/>
  <c r="GB13" i="67"/>
  <c r="GA13" i="67"/>
  <c r="FZ13" i="67"/>
  <c r="FY13" i="67"/>
  <c r="FX13" i="67"/>
  <c r="FW13" i="67"/>
  <c r="FV13" i="67"/>
  <c r="FT13" i="67"/>
  <c r="FS13" i="67"/>
  <c r="FQ13" i="67"/>
  <c r="FO13" i="67"/>
  <c r="FN13" i="67"/>
  <c r="FM13" i="67"/>
  <c r="FK13" i="67"/>
  <c r="FI13" i="67"/>
  <c r="FH13" i="67"/>
  <c r="FG13" i="67"/>
  <c r="FF13" i="67"/>
  <c r="FE13" i="67"/>
  <c r="FD13" i="67"/>
  <c r="FC13" i="67"/>
  <c r="FB13" i="67"/>
  <c r="FA13" i="67"/>
  <c r="EZ13" i="67"/>
  <c r="EY13" i="67"/>
  <c r="EX13" i="67"/>
  <c r="EW13" i="67"/>
  <c r="EV13" i="67"/>
  <c r="EU13" i="67"/>
  <c r="ET13" i="67"/>
  <c r="ES13" i="67"/>
  <c r="ER13" i="67"/>
  <c r="EQ13" i="67"/>
  <c r="EP13" i="67"/>
  <c r="EO13" i="67"/>
  <c r="EN13" i="67"/>
  <c r="EM13" i="67"/>
  <c r="EL13" i="67"/>
  <c r="EK13" i="67"/>
  <c r="EJ13" i="67"/>
  <c r="EI13" i="67"/>
  <c r="EH13" i="67"/>
  <c r="EG13" i="67"/>
  <c r="EF13" i="67"/>
  <c r="EE13" i="67"/>
  <c r="ED13" i="67"/>
  <c r="EC13" i="67"/>
  <c r="DV13" i="67"/>
  <c r="DU13" i="67"/>
  <c r="DT13" i="67"/>
  <c r="DS13" i="67"/>
  <c r="DR13" i="67"/>
  <c r="DQ13" i="67"/>
  <c r="DP13" i="67"/>
  <c r="GC12" i="67"/>
  <c r="GB12" i="67"/>
  <c r="GA12" i="67"/>
  <c r="FZ12" i="67"/>
  <c r="FY12" i="67"/>
  <c r="FX12" i="67"/>
  <c r="FW12" i="67"/>
  <c r="FV12" i="67"/>
  <c r="FT12" i="67"/>
  <c r="FS12" i="67"/>
  <c r="FQ12" i="67"/>
  <c r="FO12" i="67"/>
  <c r="FN12" i="67"/>
  <c r="FM12" i="67"/>
  <c r="FK12" i="67"/>
  <c r="FI12" i="67"/>
  <c r="FH12" i="67"/>
  <c r="FG12" i="67"/>
  <c r="FF12" i="67"/>
  <c r="FE12" i="67"/>
  <c r="FD12" i="67"/>
  <c r="FC12" i="67"/>
  <c r="FB12" i="67"/>
  <c r="FA12" i="67"/>
  <c r="EZ12" i="67"/>
  <c r="EY12" i="67"/>
  <c r="EX12" i="67"/>
  <c r="EW12" i="67"/>
  <c r="EV12" i="67"/>
  <c r="EU12" i="67"/>
  <c r="ET12" i="67"/>
  <c r="ES12" i="67"/>
  <c r="ER12" i="67"/>
  <c r="EQ12" i="67"/>
  <c r="EP12" i="67"/>
  <c r="EO12" i="67"/>
  <c r="EN12" i="67"/>
  <c r="EM12" i="67"/>
  <c r="EL12" i="67"/>
  <c r="EK12" i="67"/>
  <c r="EJ12" i="67"/>
  <c r="EI12" i="67"/>
  <c r="EH12" i="67"/>
  <c r="EG12" i="67"/>
  <c r="EF12" i="67"/>
  <c r="EE12" i="67"/>
  <c r="ED12" i="67"/>
  <c r="EC12" i="67"/>
  <c r="DV12" i="67"/>
  <c r="DU12" i="67"/>
  <c r="DT12" i="67"/>
  <c r="DS12" i="67"/>
  <c r="DR12" i="67"/>
  <c r="DQ12" i="67"/>
  <c r="DP12" i="67"/>
  <c r="GC11" i="67"/>
  <c r="GB11" i="67"/>
  <c r="GA11" i="67"/>
  <c r="FZ11" i="67"/>
  <c r="FY11" i="67"/>
  <c r="FX11" i="67"/>
  <c r="FW11" i="67"/>
  <c r="FV11" i="67"/>
  <c r="FT11" i="67"/>
  <c r="FS11" i="67"/>
  <c r="FQ11" i="67"/>
  <c r="FO11" i="67"/>
  <c r="FN11" i="67"/>
  <c r="FM11" i="67"/>
  <c r="FK11" i="67"/>
  <c r="FI11" i="67"/>
  <c r="FH11" i="67"/>
  <c r="FG11" i="67"/>
  <c r="FF11" i="67"/>
  <c r="FE11" i="67"/>
  <c r="FD11" i="67"/>
  <c r="FC11" i="67"/>
  <c r="FB11" i="67"/>
  <c r="FA11" i="67"/>
  <c r="EZ11" i="67"/>
  <c r="EY11" i="67"/>
  <c r="EX11" i="67"/>
  <c r="EW11" i="67"/>
  <c r="EV11" i="67"/>
  <c r="EU11" i="67"/>
  <c r="ET11" i="67"/>
  <c r="ES11" i="67"/>
  <c r="ER11" i="67"/>
  <c r="EQ11" i="67"/>
  <c r="EP11" i="67"/>
  <c r="EO11" i="67"/>
  <c r="EN11" i="67"/>
  <c r="EM11" i="67"/>
  <c r="EL11" i="67"/>
  <c r="EK11" i="67"/>
  <c r="EJ11" i="67"/>
  <c r="EI11" i="67"/>
  <c r="EH11" i="67"/>
  <c r="EG11" i="67"/>
  <c r="EF11" i="67"/>
  <c r="EE11" i="67"/>
  <c r="ED11" i="67"/>
  <c r="EC11" i="67"/>
  <c r="DV11" i="67"/>
  <c r="DU11" i="67"/>
  <c r="DT11" i="67"/>
  <c r="DS11" i="67"/>
  <c r="DR11" i="67"/>
  <c r="DQ11" i="67"/>
  <c r="DP11" i="67"/>
  <c r="GC10" i="67"/>
  <c r="GB10" i="67"/>
  <c r="GA10" i="67"/>
  <c r="FZ10" i="67"/>
  <c r="FY10" i="67"/>
  <c r="FX10" i="67"/>
  <c r="FW10" i="67"/>
  <c r="FV10" i="67"/>
  <c r="FT10" i="67"/>
  <c r="FS10" i="67"/>
  <c r="FQ10" i="67"/>
  <c r="FO10" i="67"/>
  <c r="FN10" i="67"/>
  <c r="FM10" i="67"/>
  <c r="FK10" i="67"/>
  <c r="FI10" i="67"/>
  <c r="FH10" i="67"/>
  <c r="FG10" i="67"/>
  <c r="FF10" i="67"/>
  <c r="FE10" i="67"/>
  <c r="FD10" i="67"/>
  <c r="FC10" i="67"/>
  <c r="FB10" i="67"/>
  <c r="FA10" i="67"/>
  <c r="EZ10" i="67"/>
  <c r="EY10" i="67"/>
  <c r="EX10" i="67"/>
  <c r="EW10" i="67"/>
  <c r="EV10" i="67"/>
  <c r="EU10" i="67"/>
  <c r="ET10" i="67"/>
  <c r="ES10" i="67"/>
  <c r="ER10" i="67"/>
  <c r="EQ10" i="67"/>
  <c r="EP10" i="67"/>
  <c r="EO10" i="67"/>
  <c r="EN10" i="67"/>
  <c r="EM10" i="67"/>
  <c r="EL10" i="67"/>
  <c r="EK10" i="67"/>
  <c r="EJ10" i="67"/>
  <c r="EI10" i="67"/>
  <c r="EH10" i="67"/>
  <c r="EG10" i="67"/>
  <c r="EF10" i="67"/>
  <c r="EE10" i="67"/>
  <c r="ED10" i="67"/>
  <c r="EC10" i="67"/>
  <c r="DV10" i="67"/>
  <c r="DU10" i="67"/>
  <c r="DT10" i="67"/>
  <c r="DS10" i="67"/>
  <c r="DR10" i="67"/>
  <c r="DQ10" i="67"/>
  <c r="DP10" i="67"/>
  <c r="GC9" i="67"/>
  <c r="GB9" i="67"/>
  <c r="GA9" i="67"/>
  <c r="FZ9" i="67"/>
  <c r="FY9" i="67"/>
  <c r="FX9" i="67"/>
  <c r="FW9" i="67"/>
  <c r="FV9" i="67"/>
  <c r="FU40" i="67"/>
  <c r="FT9" i="67"/>
  <c r="FS9" i="67"/>
  <c r="FQ9" i="67"/>
  <c r="FO9" i="67"/>
  <c r="FN9" i="67"/>
  <c r="FM9" i="67"/>
  <c r="FL9" i="67"/>
  <c r="FK9" i="67"/>
  <c r="FJ9" i="67"/>
  <c r="FI9" i="67"/>
  <c r="FH9" i="67"/>
  <c r="FG9" i="67"/>
  <c r="FF9" i="67"/>
  <c r="FE9" i="67"/>
  <c r="FD9" i="67"/>
  <c r="FC9" i="67"/>
  <c r="FB9" i="67"/>
  <c r="FA9" i="67"/>
  <c r="EZ9" i="67"/>
  <c r="EY9" i="67"/>
  <c r="EX9" i="67"/>
  <c r="EW9" i="67"/>
  <c r="EV9" i="67"/>
  <c r="EU9" i="67"/>
  <c r="ET9" i="67"/>
  <c r="ES9" i="67"/>
  <c r="ER9" i="67"/>
  <c r="EQ9" i="67"/>
  <c r="EP9" i="67"/>
  <c r="EO9" i="67"/>
  <c r="EN9" i="67"/>
  <c r="EM9" i="67"/>
  <c r="EL9" i="67"/>
  <c r="EK9" i="67"/>
  <c r="EJ9" i="67"/>
  <c r="EI9" i="67"/>
  <c r="EH9" i="67"/>
  <c r="EG9" i="67"/>
  <c r="EF9" i="67"/>
  <c r="EE9" i="67"/>
  <c r="ED9" i="67"/>
  <c r="EC9" i="67"/>
  <c r="DV9" i="67"/>
  <c r="DU9" i="67"/>
  <c r="DT9" i="67"/>
  <c r="DS9" i="67"/>
  <c r="DR9" i="67"/>
  <c r="DQ9" i="67"/>
  <c r="DP9" i="67"/>
  <c r="FE7" i="67"/>
  <c r="EJ7" i="67"/>
  <c r="EH7" i="67"/>
  <c r="EB7" i="67"/>
  <c r="EA7" i="67"/>
  <c r="DZ7" i="67"/>
  <c r="DV7" i="67"/>
  <c r="DT7" i="67"/>
  <c r="FA10" i="68"/>
  <c r="FB10" i="68"/>
  <c r="FC10" i="68"/>
  <c r="FD10" i="68"/>
  <c r="FE10" i="68"/>
  <c r="FF10" i="68"/>
  <c r="FG10" i="68"/>
  <c r="FH10" i="68"/>
  <c r="FA11" i="68"/>
  <c r="FB11" i="68"/>
  <c r="FC11" i="68"/>
  <c r="FD11" i="68"/>
  <c r="FE11" i="68"/>
  <c r="FF11" i="68"/>
  <c r="FG11" i="68"/>
  <c r="FH11" i="68"/>
  <c r="FA12" i="68"/>
  <c r="FB12" i="68"/>
  <c r="FC12" i="68"/>
  <c r="FD12" i="68"/>
  <c r="FE12" i="68"/>
  <c r="FF12" i="68"/>
  <c r="FG12" i="68"/>
  <c r="FH12" i="68"/>
  <c r="FA13" i="68"/>
  <c r="FB13" i="68"/>
  <c r="FC13" i="68"/>
  <c r="FD13" i="68"/>
  <c r="FE13" i="68"/>
  <c r="FF13" i="68"/>
  <c r="FG13" i="68"/>
  <c r="FH13" i="68"/>
  <c r="FA14" i="68"/>
  <c r="FB14" i="68"/>
  <c r="FC14" i="68"/>
  <c r="FD14" i="68"/>
  <c r="FE14" i="68"/>
  <c r="FF14" i="68"/>
  <c r="FG14" i="68"/>
  <c r="FH14" i="68"/>
  <c r="FA15" i="68"/>
  <c r="FB15" i="68"/>
  <c r="FC15" i="68"/>
  <c r="FD15" i="68"/>
  <c r="FE15" i="68"/>
  <c r="FF15" i="68"/>
  <c r="FG15" i="68"/>
  <c r="FH15" i="68"/>
  <c r="FA16" i="68"/>
  <c r="FB16" i="68"/>
  <c r="FC16" i="68"/>
  <c r="FD16" i="68"/>
  <c r="FE16" i="68"/>
  <c r="FF16" i="68"/>
  <c r="FG16" i="68"/>
  <c r="FH16" i="68"/>
  <c r="FA17" i="68"/>
  <c r="FB17" i="68"/>
  <c r="FC17" i="68"/>
  <c r="FD17" i="68"/>
  <c r="FE17" i="68"/>
  <c r="FF17" i="68"/>
  <c r="FG17" i="68"/>
  <c r="FH17" i="68"/>
  <c r="FA18" i="68"/>
  <c r="FB18" i="68"/>
  <c r="FC18" i="68"/>
  <c r="FD18" i="68"/>
  <c r="FE18" i="68"/>
  <c r="FF18" i="68"/>
  <c r="FG18" i="68"/>
  <c r="FH18" i="68"/>
  <c r="FA19" i="68"/>
  <c r="FB19" i="68"/>
  <c r="FC19" i="68"/>
  <c r="FD19" i="68"/>
  <c r="FE19" i="68"/>
  <c r="FF19" i="68"/>
  <c r="FG19" i="68"/>
  <c r="FH19" i="68"/>
  <c r="FA20" i="68"/>
  <c r="FB20" i="68"/>
  <c r="FC20" i="68"/>
  <c r="FD20" i="68"/>
  <c r="FE20" i="68"/>
  <c r="FF20" i="68"/>
  <c r="FG20" i="68"/>
  <c r="FH20" i="68"/>
  <c r="FA21" i="68"/>
  <c r="FB21" i="68"/>
  <c r="FC21" i="68"/>
  <c r="FD21" i="68"/>
  <c r="FE21" i="68"/>
  <c r="FF21" i="68"/>
  <c r="FG21" i="68"/>
  <c r="FH21" i="68"/>
  <c r="FA22" i="68"/>
  <c r="FB22" i="68"/>
  <c r="FC22" i="68"/>
  <c r="FD22" i="68"/>
  <c r="FE22" i="68"/>
  <c r="FF22" i="68"/>
  <c r="FG22" i="68"/>
  <c r="FH22" i="68"/>
  <c r="FA23" i="68"/>
  <c r="FB23" i="68"/>
  <c r="FC23" i="68"/>
  <c r="FD23" i="68"/>
  <c r="FE23" i="68"/>
  <c r="FF23" i="68"/>
  <c r="FG23" i="68"/>
  <c r="FH23" i="68"/>
  <c r="FA24" i="68"/>
  <c r="FB24" i="68"/>
  <c r="FC24" i="68"/>
  <c r="FD24" i="68"/>
  <c r="FE24" i="68"/>
  <c r="FF24" i="68"/>
  <c r="FG24" i="68"/>
  <c r="FH24" i="68"/>
  <c r="FA25" i="68"/>
  <c r="FB25" i="68"/>
  <c r="FC25" i="68"/>
  <c r="FD25" i="68"/>
  <c r="FE25" i="68"/>
  <c r="FF25" i="68"/>
  <c r="FG25" i="68"/>
  <c r="FH25" i="68"/>
  <c r="FA26" i="68"/>
  <c r="FB26" i="68"/>
  <c r="FC26" i="68"/>
  <c r="FD26" i="68"/>
  <c r="FE26" i="68"/>
  <c r="FF26" i="68"/>
  <c r="FG26" i="68"/>
  <c r="FH26" i="68"/>
  <c r="FA27" i="68"/>
  <c r="FB27" i="68"/>
  <c r="FC27" i="68"/>
  <c r="FD27" i="68"/>
  <c r="FE27" i="68"/>
  <c r="FF27" i="68"/>
  <c r="FG27" i="68"/>
  <c r="FH27" i="68"/>
  <c r="FA28" i="68"/>
  <c r="FB28" i="68"/>
  <c r="FC28" i="68"/>
  <c r="FD28" i="68"/>
  <c r="FE28" i="68"/>
  <c r="FF28" i="68"/>
  <c r="FG28" i="68"/>
  <c r="FH28" i="68"/>
  <c r="FA29" i="68"/>
  <c r="FB29" i="68"/>
  <c r="FC29" i="68"/>
  <c r="FD29" i="68"/>
  <c r="FE29" i="68"/>
  <c r="FF29" i="68"/>
  <c r="FG29" i="68"/>
  <c r="FH29" i="68"/>
  <c r="FA30" i="68"/>
  <c r="FB30" i="68"/>
  <c r="FC30" i="68"/>
  <c r="FD30" i="68"/>
  <c r="FE30" i="68"/>
  <c r="FF30" i="68"/>
  <c r="FG30" i="68"/>
  <c r="FH30" i="68"/>
  <c r="FA31" i="68"/>
  <c r="FB31" i="68"/>
  <c r="FC31" i="68"/>
  <c r="FD31" i="68"/>
  <c r="FE31" i="68"/>
  <c r="FF31" i="68"/>
  <c r="FG31" i="68"/>
  <c r="FH31" i="68"/>
  <c r="FA32" i="68"/>
  <c r="FB32" i="68"/>
  <c r="FC32" i="68"/>
  <c r="FD32" i="68"/>
  <c r="FE32" i="68"/>
  <c r="FF32" i="68"/>
  <c r="FG32" i="68"/>
  <c r="FH32" i="68"/>
  <c r="FA33" i="68"/>
  <c r="FB33" i="68"/>
  <c r="FC33" i="68"/>
  <c r="FD33" i="68"/>
  <c r="FE33" i="68"/>
  <c r="FF33" i="68"/>
  <c r="FG33" i="68"/>
  <c r="FH33" i="68"/>
  <c r="FA34" i="68"/>
  <c r="FB34" i="68"/>
  <c r="FC34" i="68"/>
  <c r="FD34" i="68"/>
  <c r="FE34" i="68"/>
  <c r="FF34" i="68"/>
  <c r="FG34" i="68"/>
  <c r="FH34" i="68"/>
  <c r="FA35" i="68"/>
  <c r="FB35" i="68"/>
  <c r="FC35" i="68"/>
  <c r="FD35" i="68"/>
  <c r="FE35" i="68"/>
  <c r="FF35" i="68"/>
  <c r="FG35" i="68"/>
  <c r="FH35" i="68"/>
  <c r="FA36" i="68"/>
  <c r="FB36" i="68"/>
  <c r="FC36" i="68"/>
  <c r="FD36" i="68"/>
  <c r="FE36" i="68"/>
  <c r="FF36" i="68"/>
  <c r="FG36" i="68"/>
  <c r="FH36" i="68"/>
  <c r="FH9" i="68"/>
  <c r="FG9" i="68"/>
  <c r="FF9" i="68"/>
  <c r="FE9" i="68"/>
  <c r="FD9" i="68"/>
  <c r="FC9" i="68"/>
  <c r="FB9" i="68"/>
  <c r="FA9" i="68"/>
  <c r="EZ9" i="68"/>
  <c r="EY9" i="68"/>
  <c r="EX9" i="68"/>
  <c r="EW9" i="68"/>
  <c r="FE7" i="68"/>
  <c r="FD37" i="68"/>
  <c r="FC37" i="68"/>
  <c r="FB37" i="68"/>
  <c r="FA37" i="68"/>
  <c r="EX10" i="68"/>
  <c r="EX11" i="68"/>
  <c r="EX12" i="68"/>
  <c r="EX13" i="68"/>
  <c r="EX14" i="68"/>
  <c r="EX15" i="68"/>
  <c r="EX16" i="68"/>
  <c r="EX17" i="68"/>
  <c r="EX18" i="68"/>
  <c r="EX19" i="68"/>
  <c r="EX20" i="68"/>
  <c r="EX21" i="68"/>
  <c r="EX22" i="68"/>
  <c r="EX23" i="68"/>
  <c r="EX24" i="68"/>
  <c r="EX25" i="68"/>
  <c r="EX26" i="68"/>
  <c r="EX27" i="68"/>
  <c r="EX28" i="68"/>
  <c r="EX29" i="68"/>
  <c r="EX30" i="68"/>
  <c r="EX31" i="68"/>
  <c r="EX32" i="68"/>
  <c r="EX33" i="68"/>
  <c r="EX34" i="68"/>
  <c r="EX35" i="68"/>
  <c r="EX36" i="68"/>
  <c r="EX37" i="68"/>
  <c r="EW10" i="68"/>
  <c r="EY10" i="68"/>
  <c r="EZ10" i="68"/>
  <c r="EW11" i="68"/>
  <c r="EY11" i="68"/>
  <c r="EZ11" i="68"/>
  <c r="EW12" i="68"/>
  <c r="EY12" i="68"/>
  <c r="EZ12" i="68"/>
  <c r="EW13" i="68"/>
  <c r="EY13" i="68"/>
  <c r="EZ13" i="68"/>
  <c r="EW14" i="68"/>
  <c r="EY14" i="68"/>
  <c r="EZ14" i="68"/>
  <c r="EW15" i="68"/>
  <c r="EY15" i="68"/>
  <c r="EZ15" i="68"/>
  <c r="EW16" i="68"/>
  <c r="EY16" i="68"/>
  <c r="EZ16" i="68"/>
  <c r="EW17" i="68"/>
  <c r="EY17" i="68"/>
  <c r="EZ17" i="68"/>
  <c r="EW18" i="68"/>
  <c r="EY18" i="68"/>
  <c r="EZ18" i="68"/>
  <c r="EW19" i="68"/>
  <c r="EY19" i="68"/>
  <c r="EZ19" i="68"/>
  <c r="EW20" i="68"/>
  <c r="EY20" i="68"/>
  <c r="EZ20" i="68"/>
  <c r="EW21" i="68"/>
  <c r="EY21" i="68"/>
  <c r="EZ21" i="68"/>
  <c r="EW22" i="68"/>
  <c r="EY22" i="68"/>
  <c r="EZ22" i="68"/>
  <c r="EW23" i="68"/>
  <c r="EY23" i="68"/>
  <c r="EZ23" i="68"/>
  <c r="EW24" i="68"/>
  <c r="EY24" i="68"/>
  <c r="EZ24" i="68"/>
  <c r="EW25" i="68"/>
  <c r="EY25" i="68"/>
  <c r="EZ25" i="68"/>
  <c r="EW26" i="68"/>
  <c r="EY26" i="68"/>
  <c r="EZ26" i="68"/>
  <c r="EW27" i="68"/>
  <c r="EY27" i="68"/>
  <c r="EZ27" i="68"/>
  <c r="EW28" i="68"/>
  <c r="EY28" i="68"/>
  <c r="EZ28" i="68"/>
  <c r="EW29" i="68"/>
  <c r="EY29" i="68"/>
  <c r="EZ29" i="68"/>
  <c r="EW30" i="68"/>
  <c r="EY30" i="68"/>
  <c r="EZ30" i="68"/>
  <c r="EW31" i="68"/>
  <c r="EY31" i="68"/>
  <c r="EZ31" i="68"/>
  <c r="EW32" i="68"/>
  <c r="EY32" i="68"/>
  <c r="EZ32" i="68"/>
  <c r="EW33" i="68"/>
  <c r="EY33" i="68"/>
  <c r="EZ33" i="68"/>
  <c r="EW34" i="68"/>
  <c r="EY34" i="68"/>
  <c r="EZ34" i="68"/>
  <c r="EW35" i="68"/>
  <c r="EY35" i="68"/>
  <c r="EZ35" i="68"/>
  <c r="EW36" i="68"/>
  <c r="EY36" i="68"/>
  <c r="EZ36" i="68"/>
  <c r="EW37" i="68"/>
  <c r="EY37" i="68"/>
  <c r="EZ37" i="68"/>
  <c r="EV9" i="68"/>
  <c r="EU9" i="68"/>
  <c r="ET9" i="68"/>
  <c r="ES9" i="68"/>
  <c r="EV10" i="68"/>
  <c r="EV11" i="68"/>
  <c r="EV12" i="68"/>
  <c r="EV13" i="68"/>
  <c r="EV14" i="68"/>
  <c r="EV15" i="68"/>
  <c r="EV16" i="68"/>
  <c r="EV17" i="68"/>
  <c r="EV18" i="68"/>
  <c r="EV19" i="68"/>
  <c r="EV20" i="68"/>
  <c r="EV21" i="68"/>
  <c r="EV22" i="68"/>
  <c r="EV23" i="68"/>
  <c r="EV24" i="68"/>
  <c r="EV25" i="68"/>
  <c r="EV26" i="68"/>
  <c r="EV27" i="68"/>
  <c r="EV28" i="68"/>
  <c r="EV29" i="68"/>
  <c r="EV30" i="68"/>
  <c r="EV31" i="68"/>
  <c r="EV32" i="68"/>
  <c r="EV33" i="68"/>
  <c r="EV34" i="68"/>
  <c r="EV35" i="68"/>
  <c r="EV36" i="68"/>
  <c r="ES10" i="68"/>
  <c r="ET10" i="68"/>
  <c r="EU10" i="68"/>
  <c r="ES11" i="68"/>
  <c r="ET11" i="68"/>
  <c r="EU11" i="68"/>
  <c r="ES12" i="68"/>
  <c r="ET12" i="68"/>
  <c r="EU12" i="68"/>
  <c r="ES13" i="68"/>
  <c r="ET13" i="68"/>
  <c r="EU13" i="68"/>
  <c r="ES14" i="68"/>
  <c r="ET14" i="68"/>
  <c r="EU14" i="68"/>
  <c r="ES15" i="68"/>
  <c r="ET15" i="68"/>
  <c r="EU15" i="68"/>
  <c r="ES16" i="68"/>
  <c r="ET16" i="68"/>
  <c r="EU16" i="68"/>
  <c r="ES17" i="68"/>
  <c r="ET17" i="68"/>
  <c r="EU17" i="68"/>
  <c r="ES18" i="68"/>
  <c r="ET18" i="68"/>
  <c r="EU18" i="68"/>
  <c r="ES19" i="68"/>
  <c r="ET19" i="68"/>
  <c r="EU19" i="68"/>
  <c r="ES20" i="68"/>
  <c r="ET20" i="68"/>
  <c r="EU20" i="68"/>
  <c r="ES21" i="68"/>
  <c r="ET21" i="68"/>
  <c r="EU21" i="68"/>
  <c r="ES22" i="68"/>
  <c r="ET22" i="68"/>
  <c r="EU22" i="68"/>
  <c r="ES23" i="68"/>
  <c r="ET23" i="68"/>
  <c r="EU23" i="68"/>
  <c r="ES24" i="68"/>
  <c r="ET24" i="68"/>
  <c r="EU24" i="68"/>
  <c r="ES25" i="68"/>
  <c r="ET25" i="68"/>
  <c r="EU25" i="68"/>
  <c r="ES26" i="68"/>
  <c r="ET26" i="68"/>
  <c r="EU26" i="68"/>
  <c r="ES27" i="68"/>
  <c r="ET27" i="68"/>
  <c r="EU27" i="68"/>
  <c r="ES28" i="68"/>
  <c r="ET28" i="68"/>
  <c r="EU28" i="68"/>
  <c r="ES29" i="68"/>
  <c r="ET29" i="68"/>
  <c r="EU29" i="68"/>
  <c r="ES30" i="68"/>
  <c r="ET30" i="68"/>
  <c r="EU30" i="68"/>
  <c r="ES31" i="68"/>
  <c r="ET31" i="68"/>
  <c r="EU31" i="68"/>
  <c r="ES32" i="68"/>
  <c r="ET32" i="68"/>
  <c r="EU32" i="68"/>
  <c r="ES33" i="68"/>
  <c r="ET33" i="68"/>
  <c r="EU33" i="68"/>
  <c r="ES34" i="68"/>
  <c r="ET34" i="68"/>
  <c r="EU34" i="68"/>
  <c r="ES35" i="68"/>
  <c r="ET35" i="68"/>
  <c r="EU35" i="68"/>
  <c r="ES36" i="68"/>
  <c r="ET36" i="68"/>
  <c r="EU36" i="68"/>
  <c r="ER9" i="68"/>
  <c r="EQ9" i="68"/>
  <c r="EP9" i="68"/>
  <c r="EO9" i="68"/>
  <c r="EV37" i="68"/>
  <c r="EU37" i="68"/>
  <c r="ET37" i="68"/>
  <c r="ES37" i="68"/>
  <c r="EO10" i="68"/>
  <c r="EP10" i="68"/>
  <c r="EQ10" i="68"/>
  <c r="ER10" i="68"/>
  <c r="EO11" i="68"/>
  <c r="EP11" i="68"/>
  <c r="EQ11" i="68"/>
  <c r="ER11" i="68"/>
  <c r="EO12" i="68"/>
  <c r="EP12" i="68"/>
  <c r="EQ12" i="68"/>
  <c r="ER12" i="68"/>
  <c r="EO13" i="68"/>
  <c r="EP13" i="68"/>
  <c r="EQ13" i="68"/>
  <c r="ER13" i="68"/>
  <c r="EO14" i="68"/>
  <c r="EP14" i="68"/>
  <c r="EQ14" i="68"/>
  <c r="ER14" i="68"/>
  <c r="EO15" i="68"/>
  <c r="EP15" i="68"/>
  <c r="EQ15" i="68"/>
  <c r="ER15" i="68"/>
  <c r="EO16" i="68"/>
  <c r="EP16" i="68"/>
  <c r="EQ16" i="68"/>
  <c r="ER16" i="68"/>
  <c r="EO17" i="68"/>
  <c r="EP17" i="68"/>
  <c r="EQ17" i="68"/>
  <c r="ER17" i="68"/>
  <c r="EO18" i="68"/>
  <c r="EP18" i="68"/>
  <c r="EQ18" i="68"/>
  <c r="ER18" i="68"/>
  <c r="EO19" i="68"/>
  <c r="EP19" i="68"/>
  <c r="EQ19" i="68"/>
  <c r="ER19" i="68"/>
  <c r="EO20" i="68"/>
  <c r="EP20" i="68"/>
  <c r="EQ20" i="68"/>
  <c r="ER20" i="68"/>
  <c r="EO21" i="68"/>
  <c r="EP21" i="68"/>
  <c r="EQ21" i="68"/>
  <c r="ER21" i="68"/>
  <c r="EO22" i="68"/>
  <c r="EP22" i="68"/>
  <c r="EQ22" i="68"/>
  <c r="ER22" i="68"/>
  <c r="EO23" i="68"/>
  <c r="EP23" i="68"/>
  <c r="EQ23" i="68"/>
  <c r="ER23" i="68"/>
  <c r="EO24" i="68"/>
  <c r="EP24" i="68"/>
  <c r="EQ24" i="68"/>
  <c r="ER24" i="68"/>
  <c r="EO25" i="68"/>
  <c r="EP25" i="68"/>
  <c r="EQ25" i="68"/>
  <c r="ER25" i="68"/>
  <c r="EO26" i="68"/>
  <c r="EP26" i="68"/>
  <c r="EQ26" i="68"/>
  <c r="ER26" i="68"/>
  <c r="EO27" i="68"/>
  <c r="EP27" i="68"/>
  <c r="EQ27" i="68"/>
  <c r="ER27" i="68"/>
  <c r="EO28" i="68"/>
  <c r="EP28" i="68"/>
  <c r="EQ28" i="68"/>
  <c r="ER28" i="68"/>
  <c r="EO29" i="68"/>
  <c r="EP29" i="68"/>
  <c r="EQ29" i="68"/>
  <c r="ER29" i="68"/>
  <c r="EO30" i="68"/>
  <c r="EP30" i="68"/>
  <c r="EQ30" i="68"/>
  <c r="ER30" i="68"/>
  <c r="EO31" i="68"/>
  <c r="EP31" i="68"/>
  <c r="EQ31" i="68"/>
  <c r="ER31" i="68"/>
  <c r="EO32" i="68"/>
  <c r="EP32" i="68"/>
  <c r="EQ32" i="68"/>
  <c r="ER32" i="68"/>
  <c r="EO33" i="68"/>
  <c r="EP33" i="68"/>
  <c r="EQ33" i="68"/>
  <c r="ER33" i="68"/>
  <c r="EO34" i="68"/>
  <c r="EP34" i="68"/>
  <c r="EQ34" i="68"/>
  <c r="ER34" i="68"/>
  <c r="EO35" i="68"/>
  <c r="EP35" i="68"/>
  <c r="EQ35" i="68"/>
  <c r="ER35" i="68"/>
  <c r="EO36" i="68"/>
  <c r="EP36" i="68"/>
  <c r="EQ36" i="68"/>
  <c r="ER36" i="68"/>
  <c r="EN9" i="68"/>
  <c r="EM9" i="68"/>
  <c r="EL9" i="68"/>
  <c r="EK9" i="68"/>
  <c r="EK31" i="68"/>
  <c r="EL31" i="68"/>
  <c r="EM31" i="68"/>
  <c r="EN31" i="68"/>
  <c r="EK32" i="68"/>
  <c r="EL32" i="68"/>
  <c r="EM32" i="68"/>
  <c r="EN32" i="68"/>
  <c r="EK33" i="68"/>
  <c r="EL33" i="68"/>
  <c r="EM33" i="68"/>
  <c r="EN33" i="68"/>
  <c r="EK34" i="68"/>
  <c r="EL34" i="68"/>
  <c r="EM34" i="68"/>
  <c r="EN34" i="68"/>
  <c r="EK35" i="68"/>
  <c r="EL35" i="68"/>
  <c r="EM35" i="68"/>
  <c r="EN35" i="68"/>
  <c r="EK36" i="68"/>
  <c r="EL36" i="68"/>
  <c r="EM36" i="68"/>
  <c r="EN36" i="68"/>
  <c r="EK10" i="68"/>
  <c r="EL10" i="68"/>
  <c r="EM10" i="68"/>
  <c r="EN10" i="68"/>
  <c r="EK11" i="68"/>
  <c r="EL11" i="68"/>
  <c r="EM11" i="68"/>
  <c r="EN11" i="68"/>
  <c r="EK12" i="68"/>
  <c r="EL12" i="68"/>
  <c r="EM12" i="68"/>
  <c r="EN12" i="68"/>
  <c r="EK13" i="68"/>
  <c r="EL13" i="68"/>
  <c r="EM13" i="68"/>
  <c r="EN13" i="68"/>
  <c r="EK14" i="68"/>
  <c r="EL14" i="68"/>
  <c r="EM14" i="68"/>
  <c r="EN14" i="68"/>
  <c r="EK15" i="68"/>
  <c r="EL15" i="68"/>
  <c r="EM15" i="68"/>
  <c r="EN15" i="68"/>
  <c r="EK16" i="68"/>
  <c r="EL16" i="68"/>
  <c r="EM16" i="68"/>
  <c r="EN16" i="68"/>
  <c r="EK17" i="68"/>
  <c r="EL17" i="68"/>
  <c r="EM17" i="68"/>
  <c r="EN17" i="68"/>
  <c r="EK18" i="68"/>
  <c r="EL18" i="68"/>
  <c r="EM18" i="68"/>
  <c r="EN18" i="68"/>
  <c r="EK19" i="68"/>
  <c r="EL19" i="68"/>
  <c r="EM19" i="68"/>
  <c r="EN19" i="68"/>
  <c r="EK20" i="68"/>
  <c r="EL20" i="68"/>
  <c r="EM20" i="68"/>
  <c r="EN20" i="68"/>
  <c r="EK21" i="68"/>
  <c r="EL21" i="68"/>
  <c r="EM21" i="68"/>
  <c r="EN21" i="68"/>
  <c r="EK22" i="68"/>
  <c r="EL22" i="68"/>
  <c r="EM22" i="68"/>
  <c r="EN22" i="68"/>
  <c r="EK23" i="68"/>
  <c r="EL23" i="68"/>
  <c r="EM23" i="68"/>
  <c r="EN23" i="68"/>
  <c r="EK24" i="68"/>
  <c r="EL24" i="68"/>
  <c r="EM24" i="68"/>
  <c r="EN24" i="68"/>
  <c r="EK25" i="68"/>
  <c r="EL25" i="68"/>
  <c r="EM25" i="68"/>
  <c r="EN25" i="68"/>
  <c r="EK26" i="68"/>
  <c r="EL26" i="68"/>
  <c r="EM26" i="68"/>
  <c r="EN26" i="68"/>
  <c r="EK27" i="68"/>
  <c r="EL27" i="68"/>
  <c r="EM27" i="68"/>
  <c r="EN27" i="68"/>
  <c r="EK28" i="68"/>
  <c r="EL28" i="68"/>
  <c r="EM28" i="68"/>
  <c r="EN28" i="68"/>
  <c r="EK29" i="68"/>
  <c r="EL29" i="68"/>
  <c r="EM29" i="68"/>
  <c r="EN29" i="68"/>
  <c r="EN30" i="68"/>
  <c r="EM30" i="68"/>
  <c r="EL30" i="68"/>
  <c r="EK30" i="68"/>
  <c r="EL37" i="68"/>
  <c r="EF9" i="68"/>
  <c r="EF10" i="68"/>
  <c r="EF11" i="68"/>
  <c r="EF12" i="68"/>
  <c r="EF13" i="68"/>
  <c r="EF14" i="68"/>
  <c r="EF15" i="68"/>
  <c r="EF16" i="68"/>
  <c r="EF17" i="68"/>
  <c r="EF18" i="68"/>
  <c r="EF19" i="68"/>
  <c r="EF20" i="68"/>
  <c r="EF21" i="68"/>
  <c r="EF22" i="68"/>
  <c r="EF23" i="68"/>
  <c r="EF24" i="68"/>
  <c r="EF25" i="68"/>
  <c r="EF26" i="68"/>
  <c r="EF27" i="68"/>
  <c r="EF28" i="68"/>
  <c r="EF29" i="68"/>
  <c r="EF31" i="68"/>
  <c r="EF32" i="68"/>
  <c r="EF33" i="68"/>
  <c r="EF34" i="68"/>
  <c r="EF35" i="68"/>
  <c r="EF36" i="68"/>
  <c r="EF30" i="68"/>
  <c r="EE30" i="68"/>
  <c r="EC10" i="68"/>
  <c r="ED10" i="68"/>
  <c r="EE10" i="68"/>
  <c r="EG10" i="68"/>
  <c r="EH10" i="68"/>
  <c r="EI10" i="68"/>
  <c r="EJ10" i="68"/>
  <c r="EC11" i="68"/>
  <c r="ED11" i="68"/>
  <c r="EE11" i="68"/>
  <c r="EG11" i="68"/>
  <c r="EH11" i="68"/>
  <c r="EI11" i="68"/>
  <c r="EJ11" i="68"/>
  <c r="EC12" i="68"/>
  <c r="ED12" i="68"/>
  <c r="EE12" i="68"/>
  <c r="EG12" i="68"/>
  <c r="EH12" i="68"/>
  <c r="EI12" i="68"/>
  <c r="EJ12" i="68"/>
  <c r="EC13" i="68"/>
  <c r="ED13" i="68"/>
  <c r="EE13" i="68"/>
  <c r="EG13" i="68"/>
  <c r="EH13" i="68"/>
  <c r="EI13" i="68"/>
  <c r="EJ13" i="68"/>
  <c r="EC14" i="68"/>
  <c r="ED14" i="68"/>
  <c r="EE14" i="68"/>
  <c r="EG14" i="68"/>
  <c r="EH14" i="68"/>
  <c r="EI14" i="68"/>
  <c r="EJ14" i="68"/>
  <c r="EC15" i="68"/>
  <c r="ED15" i="68"/>
  <c r="EE15" i="68"/>
  <c r="EG15" i="68"/>
  <c r="EH15" i="68"/>
  <c r="EI15" i="68"/>
  <c r="EJ15" i="68"/>
  <c r="EC16" i="68"/>
  <c r="ED16" i="68"/>
  <c r="EE16" i="68"/>
  <c r="EG16" i="68"/>
  <c r="EH16" i="68"/>
  <c r="EI16" i="68"/>
  <c r="EJ16" i="68"/>
  <c r="EC17" i="68"/>
  <c r="ED17" i="68"/>
  <c r="EE17" i="68"/>
  <c r="EG17" i="68"/>
  <c r="EH17" i="68"/>
  <c r="EI17" i="68"/>
  <c r="EJ17" i="68"/>
  <c r="EC18" i="68"/>
  <c r="ED18" i="68"/>
  <c r="EE18" i="68"/>
  <c r="EG18" i="68"/>
  <c r="EH18" i="68"/>
  <c r="EI18" i="68"/>
  <c r="EJ18" i="68"/>
  <c r="EC19" i="68"/>
  <c r="ED19" i="68"/>
  <c r="EE19" i="68"/>
  <c r="EG19" i="68"/>
  <c r="EH19" i="68"/>
  <c r="EI19" i="68"/>
  <c r="EJ19" i="68"/>
  <c r="EC20" i="68"/>
  <c r="ED20" i="68"/>
  <c r="EE20" i="68"/>
  <c r="EG20" i="68"/>
  <c r="EH20" i="68"/>
  <c r="EI20" i="68"/>
  <c r="EJ20" i="68"/>
  <c r="EC21" i="68"/>
  <c r="ED21" i="68"/>
  <c r="EE21" i="68"/>
  <c r="EG21" i="68"/>
  <c r="EH21" i="68"/>
  <c r="EI21" i="68"/>
  <c r="EJ21" i="68"/>
  <c r="EC22" i="68"/>
  <c r="ED22" i="68"/>
  <c r="EE22" i="68"/>
  <c r="EG22" i="68"/>
  <c r="EH22" i="68"/>
  <c r="EI22" i="68"/>
  <c r="EJ22" i="68"/>
  <c r="EC23" i="68"/>
  <c r="ED23" i="68"/>
  <c r="EE23" i="68"/>
  <c r="EG23" i="68"/>
  <c r="EH23" i="68"/>
  <c r="EI23" i="68"/>
  <c r="EJ23" i="68"/>
  <c r="EC24" i="68"/>
  <c r="ED24" i="68"/>
  <c r="EE24" i="68"/>
  <c r="EG24" i="68"/>
  <c r="EH24" i="68"/>
  <c r="EI24" i="68"/>
  <c r="EJ24" i="68"/>
  <c r="EC25" i="68"/>
  <c r="ED25" i="68"/>
  <c r="EE25" i="68"/>
  <c r="EG25" i="68"/>
  <c r="EH25" i="68"/>
  <c r="EI25" i="68"/>
  <c r="EJ25" i="68"/>
  <c r="EC26" i="68"/>
  <c r="ED26" i="68"/>
  <c r="EE26" i="68"/>
  <c r="EG26" i="68"/>
  <c r="EH26" i="68"/>
  <c r="EI26" i="68"/>
  <c r="EJ26" i="68"/>
  <c r="EC27" i="68"/>
  <c r="ED27" i="68"/>
  <c r="EE27" i="68"/>
  <c r="EG27" i="68"/>
  <c r="EH27" i="68"/>
  <c r="EI27" i="68"/>
  <c r="EJ27" i="68"/>
  <c r="EC28" i="68"/>
  <c r="ED28" i="68"/>
  <c r="EE28" i="68"/>
  <c r="EG28" i="68"/>
  <c r="EH28" i="68"/>
  <c r="EI28" i="68"/>
  <c r="EJ28" i="68"/>
  <c r="EC29" i="68"/>
  <c r="ED29" i="68"/>
  <c r="EE29" i="68"/>
  <c r="EG29" i="68"/>
  <c r="EH29" i="68"/>
  <c r="EI29" i="68"/>
  <c r="EJ29" i="68"/>
  <c r="EC30" i="68"/>
  <c r="ED30" i="68"/>
  <c r="EG30" i="68"/>
  <c r="EH30" i="68"/>
  <c r="EI30" i="68"/>
  <c r="EJ30" i="68"/>
  <c r="EC31" i="68"/>
  <c r="ED31" i="68"/>
  <c r="EE31" i="68"/>
  <c r="EG31" i="68"/>
  <c r="EH31" i="68"/>
  <c r="EI31" i="68"/>
  <c r="EJ31" i="68"/>
  <c r="EC32" i="68"/>
  <c r="ED32" i="68"/>
  <c r="EE32" i="68"/>
  <c r="EG32" i="68"/>
  <c r="EH32" i="68"/>
  <c r="EI32" i="68"/>
  <c r="EJ32" i="68"/>
  <c r="EC33" i="68"/>
  <c r="ED33" i="68"/>
  <c r="EE33" i="68"/>
  <c r="EG33" i="68"/>
  <c r="EH33" i="68"/>
  <c r="EI33" i="68"/>
  <c r="EJ33" i="68"/>
  <c r="EC34" i="68"/>
  <c r="ED34" i="68"/>
  <c r="EE34" i="68"/>
  <c r="EG34" i="68"/>
  <c r="EH34" i="68"/>
  <c r="EI34" i="68"/>
  <c r="EJ34" i="68"/>
  <c r="EC35" i="68"/>
  <c r="ED35" i="68"/>
  <c r="EE35" i="68"/>
  <c r="EG35" i="68"/>
  <c r="EH35" i="68"/>
  <c r="EI35" i="68"/>
  <c r="EJ35" i="68"/>
  <c r="EC36" i="68"/>
  <c r="ED36" i="68"/>
  <c r="EE36" i="68"/>
  <c r="EG36" i="68"/>
  <c r="EH36" i="68"/>
  <c r="EI36" i="68"/>
  <c r="EJ36" i="68"/>
  <c r="EJ9" i="68"/>
  <c r="EI9" i="68"/>
  <c r="EH9" i="68"/>
  <c r="EH7" i="68"/>
  <c r="EG9" i="68"/>
  <c r="EJ7" i="68"/>
  <c r="DU9" i="68"/>
  <c r="DV9" i="68"/>
  <c r="DT9" i="68"/>
  <c r="DS9" i="68"/>
  <c r="EE9" i="68"/>
  <c r="DQ9" i="68"/>
  <c r="ED9" i="68"/>
  <c r="EC9" i="68"/>
  <c r="DR29" i="68"/>
  <c r="DQ29" i="68"/>
  <c r="DP29" i="68"/>
  <c r="FT40" i="63" l="1"/>
  <c r="FS40" i="70"/>
  <c r="FT40" i="73"/>
  <c r="FS40" i="72"/>
  <c r="FT40" i="71"/>
  <c r="EI40" i="70"/>
  <c r="EC40" i="69"/>
  <c r="DQ40" i="67"/>
  <c r="FS40" i="66"/>
  <c r="FS40" i="65"/>
  <c r="FT40" i="64"/>
  <c r="FS40" i="63"/>
  <c r="FU40" i="66"/>
  <c r="FU41" i="41"/>
  <c r="FT40" i="67"/>
  <c r="FU40" i="70"/>
  <c r="FU40" i="63"/>
  <c r="FS41" i="41"/>
  <c r="FT40" i="65"/>
  <c r="FT40" i="66"/>
  <c r="DQ40" i="69"/>
  <c r="FT40" i="70"/>
  <c r="FW40" i="71"/>
  <c r="FX40" i="72"/>
  <c r="GA40" i="63"/>
  <c r="EO40" i="70"/>
  <c r="EW40" i="70"/>
  <c r="GC40" i="70"/>
  <c r="EP40" i="73"/>
  <c r="EX40" i="73"/>
  <c r="FN40" i="73"/>
  <c r="FV40" i="73"/>
  <c r="EM40" i="66"/>
  <c r="EU40" i="66"/>
  <c r="FC40" i="66"/>
  <c r="FK40" i="66"/>
  <c r="GA40" i="66"/>
  <c r="EL40" i="64"/>
  <c r="ET40" i="64"/>
  <c r="FB40" i="64"/>
  <c r="FZ40" i="64"/>
  <c r="EK40" i="69"/>
  <c r="ES40" i="69"/>
  <c r="FA40" i="69"/>
  <c r="FI40" i="69"/>
  <c r="EP40" i="65"/>
  <c r="EX40" i="65"/>
  <c r="FN40" i="65"/>
  <c r="FV40" i="65"/>
  <c r="EL40" i="63"/>
  <c r="ET40" i="63"/>
  <c r="FB40" i="63"/>
  <c r="FZ40" i="63"/>
  <c r="EN40" i="66"/>
  <c r="FD40" i="66"/>
  <c r="GB40" i="66"/>
  <c r="EM40" i="64"/>
  <c r="EU40" i="64"/>
  <c r="FC40" i="64"/>
  <c r="FK40" i="64"/>
  <c r="GA40" i="64"/>
  <c r="FZ40" i="69"/>
  <c r="EQ40" i="65"/>
  <c r="EY40" i="65"/>
  <c r="FO40" i="65"/>
  <c r="FW40" i="65"/>
  <c r="EK40" i="72"/>
  <c r="ES40" i="72"/>
  <c r="FA40" i="72"/>
  <c r="FI40" i="72"/>
  <c r="FY40" i="72"/>
  <c r="EQ40" i="73"/>
  <c r="EY40" i="73"/>
  <c r="FO40" i="73"/>
  <c r="FW40" i="73"/>
  <c r="EQ41" i="41"/>
  <c r="EY41" i="41"/>
  <c r="EV40" i="66"/>
  <c r="EO40" i="66"/>
  <c r="EW40" i="66"/>
  <c r="FM40" i="66"/>
  <c r="GC40" i="66"/>
  <c r="EN40" i="64"/>
  <c r="EV40" i="64"/>
  <c r="FD40" i="64"/>
  <c r="GB40" i="64"/>
  <c r="EM40" i="69"/>
  <c r="FC40" i="69"/>
  <c r="FK40" i="69"/>
  <c r="GA40" i="69"/>
  <c r="ER40" i="65"/>
  <c r="EZ40" i="65"/>
  <c r="FX40" i="65"/>
  <c r="EN40" i="63"/>
  <c r="EV40" i="63"/>
  <c r="FD40" i="63"/>
  <c r="GB40" i="63"/>
  <c r="EM40" i="63"/>
  <c r="EU40" i="63"/>
  <c r="FC40" i="63"/>
  <c r="FK40" i="63"/>
  <c r="EQ40" i="70"/>
  <c r="EY40" i="70"/>
  <c r="FO40" i="70"/>
  <c r="EK40" i="71"/>
  <c r="FA40" i="71"/>
  <c r="FI40" i="71"/>
  <c r="FQ40" i="71"/>
  <c r="FZ40" i="72"/>
  <c r="ER40" i="73"/>
  <c r="EZ40" i="73"/>
  <c r="FX40" i="73"/>
  <c r="ER41" i="41"/>
  <c r="EZ41" i="41"/>
  <c r="FX41" i="41"/>
  <c r="EP41" i="41"/>
  <c r="EX41" i="41"/>
  <c r="FV41" i="41"/>
  <c r="EP40" i="66"/>
  <c r="FV40" i="66"/>
  <c r="EW40" i="64"/>
  <c r="GB40" i="69"/>
  <c r="EK40" i="65"/>
  <c r="ES40" i="65"/>
  <c r="FA40" i="65"/>
  <c r="FI40" i="65"/>
  <c r="FQ40" i="65"/>
  <c r="FY40" i="65"/>
  <c r="EO40" i="63"/>
  <c r="EW40" i="63"/>
  <c r="FM40" i="63"/>
  <c r="GC40" i="63"/>
  <c r="FX40" i="70"/>
  <c r="EL40" i="71"/>
  <c r="FZ40" i="71"/>
  <c r="GA40" i="72"/>
  <c r="EK40" i="73"/>
  <c r="ES40" i="73"/>
  <c r="FA40" i="73"/>
  <c r="FI40" i="73"/>
  <c r="FQ40" i="73"/>
  <c r="FY40" i="73"/>
  <c r="EK41" i="41"/>
  <c r="ES41" i="41"/>
  <c r="FA41" i="41"/>
  <c r="FI41" i="41"/>
  <c r="FM40" i="64"/>
  <c r="EY40" i="66"/>
  <c r="FN40" i="64"/>
  <c r="FM40" i="69"/>
  <c r="GC40" i="69"/>
  <c r="EL40" i="65"/>
  <c r="ET40" i="65"/>
  <c r="FB40" i="65"/>
  <c r="FZ40" i="65"/>
  <c r="EP40" i="63"/>
  <c r="EX40" i="63"/>
  <c r="FN40" i="63"/>
  <c r="FV40" i="63"/>
  <c r="EK40" i="70"/>
  <c r="ES40" i="70"/>
  <c r="FA40" i="70"/>
  <c r="FI40" i="70"/>
  <c r="FQ40" i="70"/>
  <c r="FY40" i="70"/>
  <c r="GA40" i="71"/>
  <c r="GB40" i="72"/>
  <c r="EL40" i="73"/>
  <c r="ET40" i="73"/>
  <c r="FB40" i="73"/>
  <c r="FZ40" i="73"/>
  <c r="FN40" i="66"/>
  <c r="GC40" i="64"/>
  <c r="EQ40" i="66"/>
  <c r="FO40" i="66"/>
  <c r="EX40" i="64"/>
  <c r="ER40" i="66"/>
  <c r="EZ40" i="66"/>
  <c r="FX40" i="66"/>
  <c r="EQ40" i="64"/>
  <c r="EY40" i="64"/>
  <c r="FO40" i="64"/>
  <c r="FW40" i="64"/>
  <c r="FN40" i="69"/>
  <c r="EM40" i="65"/>
  <c r="EU40" i="65"/>
  <c r="FC40" i="65"/>
  <c r="FK40" i="65"/>
  <c r="GA40" i="65"/>
  <c r="EQ40" i="63"/>
  <c r="EY40" i="63"/>
  <c r="FO40" i="63"/>
  <c r="FW40" i="63"/>
  <c r="FZ40" i="70"/>
  <c r="GB40" i="71"/>
  <c r="EM40" i="73"/>
  <c r="EU40" i="73"/>
  <c r="FC40" i="73"/>
  <c r="FK40" i="73"/>
  <c r="GA40" i="73"/>
  <c r="FK41" i="41"/>
  <c r="EX40" i="66"/>
  <c r="EO40" i="64"/>
  <c r="P69" i="64" s="1"/>
  <c r="FW40" i="66"/>
  <c r="EP40" i="64"/>
  <c r="FV40" i="64"/>
  <c r="EK40" i="66"/>
  <c r="ES40" i="66"/>
  <c r="FA40" i="66"/>
  <c r="FI40" i="66"/>
  <c r="FQ40" i="66"/>
  <c r="FY40" i="66"/>
  <c r="ER40" i="64"/>
  <c r="EZ40" i="64"/>
  <c r="FX40" i="64"/>
  <c r="FW40" i="69"/>
  <c r="EN40" i="65"/>
  <c r="EV40" i="65"/>
  <c r="FD40" i="65"/>
  <c r="GB40" i="65"/>
  <c r="ER40" i="63"/>
  <c r="EZ40" i="63"/>
  <c r="FX40" i="63"/>
  <c r="GA40" i="70"/>
  <c r="EO40" i="71"/>
  <c r="EW40" i="71"/>
  <c r="FM40" i="71"/>
  <c r="EP40" i="72"/>
  <c r="EX40" i="72"/>
  <c r="EN40" i="73"/>
  <c r="EV40" i="73"/>
  <c r="FD40" i="73"/>
  <c r="GB40" i="73"/>
  <c r="EN41" i="41"/>
  <c r="EV41" i="41"/>
  <c r="FD41" i="41"/>
  <c r="GB41" i="41"/>
  <c r="EL40" i="66"/>
  <c r="ET40" i="66"/>
  <c r="FB40" i="66"/>
  <c r="FZ40" i="66"/>
  <c r="EK40" i="64"/>
  <c r="ES40" i="64"/>
  <c r="Q71" i="64" s="1"/>
  <c r="FA40" i="64"/>
  <c r="Q73" i="64" s="1"/>
  <c r="FI40" i="64"/>
  <c r="FQ40" i="64"/>
  <c r="FY40" i="64"/>
  <c r="FX40" i="69"/>
  <c r="EO40" i="65"/>
  <c r="P68" i="65" s="1"/>
  <c r="EW40" i="65"/>
  <c r="P71" i="65" s="1"/>
  <c r="FM40" i="65"/>
  <c r="GC40" i="65"/>
  <c r="EK40" i="63"/>
  <c r="Q67" i="63" s="1"/>
  <c r="ES40" i="63"/>
  <c r="Q70" i="63" s="1"/>
  <c r="FA40" i="63"/>
  <c r="Q72" i="63" s="1"/>
  <c r="FI40" i="63"/>
  <c r="FQ40" i="63"/>
  <c r="FY40" i="63"/>
  <c r="EN40" i="70"/>
  <c r="EV40" i="70"/>
  <c r="FD40" i="70"/>
  <c r="GB40" i="70"/>
  <c r="EQ40" i="72"/>
  <c r="EY40" i="72"/>
  <c r="FO40" i="72"/>
  <c r="FW40" i="72"/>
  <c r="EO40" i="73"/>
  <c r="P69" i="73" s="1"/>
  <c r="EW40" i="73"/>
  <c r="P72" i="73" s="1"/>
  <c r="FM40" i="73"/>
  <c r="GC40" i="73"/>
  <c r="EO41" i="41"/>
  <c r="P69" i="41" s="1"/>
  <c r="EW41" i="41"/>
  <c r="P72" i="41" s="1"/>
  <c r="GC41" i="41"/>
  <c r="DO40" i="73"/>
  <c r="EC40" i="73"/>
  <c r="EC41" i="41"/>
  <c r="DS40" i="69"/>
  <c r="EG40" i="69"/>
  <c r="DP40" i="65"/>
  <c r="ED40" i="65"/>
  <c r="DP40" i="73"/>
  <c r="ED40" i="73"/>
  <c r="DP41" i="41"/>
  <c r="DV40" i="66"/>
  <c r="EJ40" i="66"/>
  <c r="DQ40" i="65"/>
  <c r="EE40" i="65"/>
  <c r="DU40" i="63"/>
  <c r="EI40" i="63"/>
  <c r="DS40" i="72"/>
  <c r="EG40" i="72"/>
  <c r="DQ40" i="73"/>
  <c r="EE40" i="73"/>
  <c r="DO40" i="66"/>
  <c r="EC40" i="66"/>
  <c r="DU40" i="69"/>
  <c r="EI40" i="69"/>
  <c r="DR40" i="65"/>
  <c r="DQ40" i="70"/>
  <c r="EE40" i="70"/>
  <c r="EE40" i="69"/>
  <c r="DP40" i="66"/>
  <c r="ED40" i="66"/>
  <c r="DR40" i="70"/>
  <c r="DS40" i="73"/>
  <c r="EG40" i="73"/>
  <c r="EG41" i="41"/>
  <c r="DT40" i="65"/>
  <c r="DP40" i="63"/>
  <c r="ED40" i="63"/>
  <c r="DS40" i="70"/>
  <c r="EG40" i="70"/>
  <c r="DU40" i="71"/>
  <c r="EI40" i="71"/>
  <c r="DT40" i="73"/>
  <c r="EH40" i="73"/>
  <c r="DR40" i="66"/>
  <c r="DQ40" i="64"/>
  <c r="EE40" i="64"/>
  <c r="DP40" i="69"/>
  <c r="ED40" i="69"/>
  <c r="DU40" i="65"/>
  <c r="EI40" i="65"/>
  <c r="FT40" i="72"/>
  <c r="ER40" i="72"/>
  <c r="EZ40" i="72"/>
  <c r="DV40" i="72"/>
  <c r="EJ40" i="72"/>
  <c r="DO40" i="64"/>
  <c r="EC40" i="64"/>
  <c r="DS40" i="65"/>
  <c r="EG40" i="65"/>
  <c r="EC40" i="63"/>
  <c r="DQ40" i="66"/>
  <c r="EE40" i="66"/>
  <c r="DO40" i="69"/>
  <c r="EH40" i="65"/>
  <c r="DO40" i="72"/>
  <c r="DQ40" i="63"/>
  <c r="DU40" i="73"/>
  <c r="EI40" i="73"/>
  <c r="DS40" i="66"/>
  <c r="EG40" i="66"/>
  <c r="DR40" i="64"/>
  <c r="DV40" i="65"/>
  <c r="EJ40" i="65"/>
  <c r="EE40" i="63"/>
  <c r="DO40" i="63"/>
  <c r="DV40" i="73"/>
  <c r="EJ40" i="73"/>
  <c r="DV41" i="41"/>
  <c r="EJ41" i="41"/>
  <c r="DR41" i="41"/>
  <c r="DR40" i="67"/>
  <c r="DT40" i="66"/>
  <c r="EH40" i="66"/>
  <c r="DS40" i="64"/>
  <c r="EG40" i="64"/>
  <c r="DO40" i="65"/>
  <c r="EC40" i="65"/>
  <c r="DS40" i="63"/>
  <c r="EG40" i="63"/>
  <c r="DP40" i="71"/>
  <c r="ED40" i="71"/>
  <c r="DS40" i="67"/>
  <c r="EG40" i="67"/>
  <c r="DU40" i="66"/>
  <c r="EI40" i="66"/>
  <c r="DT40" i="64"/>
  <c r="EH40" i="64"/>
  <c r="DT40" i="63"/>
  <c r="EH40" i="63"/>
  <c r="DQ40" i="71"/>
  <c r="EE40" i="71"/>
  <c r="ED41" i="41"/>
  <c r="Q66" i="41" s="1"/>
  <c r="DO41" i="41"/>
  <c r="DU40" i="64"/>
  <c r="EI40" i="64"/>
  <c r="DV40" i="64"/>
  <c r="EJ40" i="64"/>
  <c r="DV40" i="63"/>
  <c r="EJ40" i="63"/>
  <c r="DS40" i="71"/>
  <c r="EG40" i="71"/>
  <c r="DR40" i="73"/>
  <c r="DO40" i="70"/>
  <c r="EC40" i="70"/>
  <c r="Q65" i="70" s="1"/>
  <c r="EO40" i="69"/>
  <c r="EW40" i="69"/>
  <c r="DT40" i="69"/>
  <c r="EH40" i="69"/>
  <c r="EQ40" i="69"/>
  <c r="EY40" i="69"/>
  <c r="FO40" i="69"/>
  <c r="FQ40" i="69"/>
  <c r="FY40" i="69"/>
  <c r="DU40" i="72"/>
  <c r="EI40" i="72"/>
  <c r="DQ40" i="72"/>
  <c r="EE40" i="72"/>
  <c r="EC40" i="72"/>
  <c r="EL40" i="72"/>
  <c r="ET40" i="72"/>
  <c r="FB40" i="72"/>
  <c r="DR40" i="72"/>
  <c r="EN40" i="72"/>
  <c r="EV40" i="72"/>
  <c r="FD40" i="72"/>
  <c r="DP40" i="72"/>
  <c r="ED40" i="72"/>
  <c r="EM40" i="72"/>
  <c r="EU40" i="72"/>
  <c r="FC40" i="72"/>
  <c r="FK40" i="72"/>
  <c r="EO40" i="72"/>
  <c r="P68" i="72" s="1"/>
  <c r="EW40" i="72"/>
  <c r="P71" i="72" s="1"/>
  <c r="FM40" i="72"/>
  <c r="FU40" i="72"/>
  <c r="GC40" i="72"/>
  <c r="FN40" i="72"/>
  <c r="FV40" i="72"/>
  <c r="DT40" i="72"/>
  <c r="EH40" i="72"/>
  <c r="FQ40" i="72"/>
  <c r="DO40" i="71"/>
  <c r="EC40" i="71"/>
  <c r="FS40" i="71"/>
  <c r="DR40" i="71"/>
  <c r="EN40" i="71"/>
  <c r="EV40" i="71"/>
  <c r="FD40" i="71"/>
  <c r="DV40" i="71"/>
  <c r="ER40" i="71"/>
  <c r="EZ40" i="71"/>
  <c r="FU40" i="71"/>
  <c r="GC40" i="71"/>
  <c r="FY40" i="71"/>
  <c r="EM40" i="71"/>
  <c r="FC40" i="71"/>
  <c r="FK40" i="71"/>
  <c r="DT40" i="71"/>
  <c r="EH40" i="71"/>
  <c r="EP40" i="71"/>
  <c r="EX40" i="71"/>
  <c r="FN40" i="71"/>
  <c r="FV40" i="71"/>
  <c r="EY40" i="71"/>
  <c r="FO40" i="71"/>
  <c r="FX40" i="71"/>
  <c r="ES40" i="71"/>
  <c r="ET40" i="71"/>
  <c r="FB40" i="71"/>
  <c r="EU40" i="71"/>
  <c r="EQ40" i="71"/>
  <c r="EJ40" i="71"/>
  <c r="FW40" i="70"/>
  <c r="DU40" i="70"/>
  <c r="DV40" i="70"/>
  <c r="EJ40" i="70"/>
  <c r="ER40" i="70"/>
  <c r="EZ40" i="70"/>
  <c r="EL40" i="70"/>
  <c r="ET40" i="70"/>
  <c r="FB40" i="70"/>
  <c r="EP40" i="70"/>
  <c r="P68" i="70" s="1"/>
  <c r="EX40" i="70"/>
  <c r="DP40" i="70"/>
  <c r="ED40" i="70"/>
  <c r="EM40" i="70"/>
  <c r="EU40" i="70"/>
  <c r="FC40" i="70"/>
  <c r="FK40" i="70"/>
  <c r="FM40" i="70"/>
  <c r="FV40" i="70"/>
  <c r="DT40" i="70"/>
  <c r="EH40" i="70"/>
  <c r="FN40" i="70"/>
  <c r="FS40" i="69"/>
  <c r="FT40" i="69"/>
  <c r="EP40" i="69"/>
  <c r="EX40" i="69"/>
  <c r="EL40" i="69"/>
  <c r="ET40" i="69"/>
  <c r="FB40" i="69"/>
  <c r="DR40" i="69"/>
  <c r="EN40" i="69"/>
  <c r="FV40" i="69"/>
  <c r="EU40" i="69"/>
  <c r="EV40" i="69"/>
  <c r="FD40" i="69"/>
  <c r="DV40" i="69"/>
  <c r="EJ40" i="69"/>
  <c r="ER40" i="69"/>
  <c r="EZ40" i="69"/>
  <c r="EL41" i="41"/>
  <c r="ET41" i="41"/>
  <c r="FB41" i="41"/>
  <c r="EM41" i="41"/>
  <c r="EU41" i="41"/>
  <c r="FC41" i="41"/>
  <c r="FM41" i="41"/>
  <c r="FW41" i="41"/>
  <c r="FN41" i="41"/>
  <c r="FO41" i="41"/>
  <c r="FZ41" i="41"/>
  <c r="DS41" i="41"/>
  <c r="DT41" i="41"/>
  <c r="GA41" i="41"/>
  <c r="EH41" i="41"/>
  <c r="FT41" i="41"/>
  <c r="FQ41" i="41"/>
  <c r="FY41" i="41"/>
  <c r="DQ41" i="41"/>
  <c r="EE41" i="41"/>
  <c r="DU41" i="41"/>
  <c r="EI41" i="41"/>
  <c r="EN40" i="67"/>
  <c r="EV40" i="67"/>
  <c r="FD40" i="67"/>
  <c r="GB40" i="67"/>
  <c r="GA40" i="67"/>
  <c r="EO40" i="67"/>
  <c r="EW40" i="67"/>
  <c r="P72" i="67" s="1"/>
  <c r="FM40" i="67"/>
  <c r="GC40" i="67"/>
  <c r="DT40" i="67"/>
  <c r="EH40" i="67"/>
  <c r="EX40" i="67"/>
  <c r="FV40" i="67"/>
  <c r="EI40" i="67"/>
  <c r="DV40" i="67"/>
  <c r="EJ40" i="67"/>
  <c r="ER40" i="67"/>
  <c r="EZ40" i="67"/>
  <c r="FX40" i="67"/>
  <c r="EQ40" i="67"/>
  <c r="FW40" i="67"/>
  <c r="EC40" i="67"/>
  <c r="Q66" i="67" s="1"/>
  <c r="EK40" i="67"/>
  <c r="ES40" i="67"/>
  <c r="FA40" i="67"/>
  <c r="FI40" i="67"/>
  <c r="FQ40" i="67"/>
  <c r="FY40" i="67"/>
  <c r="EP40" i="67"/>
  <c r="FN40" i="67"/>
  <c r="DU40" i="67"/>
  <c r="EY40" i="67"/>
  <c r="FO40" i="67"/>
  <c r="DP40" i="67"/>
  <c r="ED40" i="67"/>
  <c r="EL40" i="67"/>
  <c r="ET40" i="67"/>
  <c r="FB40" i="67"/>
  <c r="FZ40" i="67"/>
  <c r="EE40" i="67"/>
  <c r="EM40" i="67"/>
  <c r="EU40" i="67"/>
  <c r="FC40" i="67"/>
  <c r="FK40" i="67"/>
  <c r="FS40" i="67"/>
  <c r="DO40" i="67"/>
  <c r="FB40" i="68"/>
  <c r="FA40" i="68"/>
  <c r="FC40" i="68"/>
  <c r="FD40" i="68"/>
  <c r="ES40" i="68"/>
  <c r="ET40" i="68"/>
  <c r="EU40" i="68"/>
  <c r="EV40" i="68"/>
  <c r="EL40" i="68"/>
  <c r="DV31" i="68"/>
  <c r="DV32" i="68"/>
  <c r="DV33" i="68"/>
  <c r="DV34" i="68"/>
  <c r="DV35" i="68"/>
  <c r="DV36" i="68"/>
  <c r="DV10" i="68"/>
  <c r="DV11" i="68"/>
  <c r="DV12" i="68"/>
  <c r="DV13" i="68"/>
  <c r="DV14" i="68"/>
  <c r="DV15" i="68"/>
  <c r="DV16" i="68"/>
  <c r="DV17" i="68"/>
  <c r="DV18" i="68"/>
  <c r="DV19" i="68"/>
  <c r="DV20" i="68"/>
  <c r="DV21" i="68"/>
  <c r="DV22" i="68"/>
  <c r="DV23" i="68"/>
  <c r="DV24" i="68"/>
  <c r="DV25" i="68"/>
  <c r="DV26" i="68"/>
  <c r="DV27" i="68"/>
  <c r="DV28" i="68"/>
  <c r="DV29" i="68"/>
  <c r="DV30" i="68"/>
  <c r="DR9" i="68"/>
  <c r="DR10" i="68"/>
  <c r="DR11" i="68"/>
  <c r="DR12" i="68"/>
  <c r="DR13" i="68"/>
  <c r="DR14" i="68"/>
  <c r="DR15" i="68"/>
  <c r="DR16" i="68"/>
  <c r="DR17" i="68"/>
  <c r="DR18" i="68"/>
  <c r="DR19" i="68"/>
  <c r="DR20" i="68"/>
  <c r="DR21" i="68"/>
  <c r="DR22" i="68"/>
  <c r="DR23" i="68"/>
  <c r="DR24" i="68"/>
  <c r="DR25" i="68"/>
  <c r="DR26" i="68"/>
  <c r="DR27" i="68"/>
  <c r="DR28" i="68"/>
  <c r="DR31" i="68"/>
  <c r="DR32" i="68"/>
  <c r="DR33" i="68"/>
  <c r="DR34" i="68"/>
  <c r="DR35" i="68"/>
  <c r="DR36" i="68"/>
  <c r="DR37" i="68"/>
  <c r="DR30" i="68"/>
  <c r="DP30" i="68"/>
  <c r="DQ30" i="68"/>
  <c r="DS30" i="68"/>
  <c r="DT30" i="68"/>
  <c r="DU30" i="68"/>
  <c r="DP31" i="68"/>
  <c r="DQ31" i="68"/>
  <c r="DS31" i="68"/>
  <c r="DT31" i="68"/>
  <c r="DU31" i="68"/>
  <c r="DP32" i="68"/>
  <c r="DQ32" i="68"/>
  <c r="DS32" i="68"/>
  <c r="DT32" i="68"/>
  <c r="DU32" i="68"/>
  <c r="DP33" i="68"/>
  <c r="DQ33" i="68"/>
  <c r="DS33" i="68"/>
  <c r="DT33" i="68"/>
  <c r="DU33" i="68"/>
  <c r="DP34" i="68"/>
  <c r="DQ34" i="68"/>
  <c r="DS34" i="68"/>
  <c r="DT34" i="68"/>
  <c r="DU34" i="68"/>
  <c r="DP35" i="68"/>
  <c r="DQ35" i="68"/>
  <c r="DS35" i="68"/>
  <c r="DT35" i="68"/>
  <c r="DU35" i="68"/>
  <c r="DP36" i="68"/>
  <c r="DQ36" i="68"/>
  <c r="DS36" i="68"/>
  <c r="DT36" i="68"/>
  <c r="DU36" i="68"/>
  <c r="DP37" i="68"/>
  <c r="DQ37" i="68"/>
  <c r="DS37" i="68"/>
  <c r="DT37" i="68"/>
  <c r="DU37" i="68"/>
  <c r="DV37" i="68"/>
  <c r="DP9" i="68"/>
  <c r="DP10" i="68"/>
  <c r="DQ10" i="68"/>
  <c r="DS10" i="68"/>
  <c r="DT10" i="68"/>
  <c r="DU10" i="68"/>
  <c r="DP11" i="68"/>
  <c r="DQ11" i="68"/>
  <c r="DS11" i="68"/>
  <c r="DT11" i="68"/>
  <c r="DU11" i="68"/>
  <c r="DP12" i="68"/>
  <c r="DQ12" i="68"/>
  <c r="DS12" i="68"/>
  <c r="DT12" i="68"/>
  <c r="DU12" i="68"/>
  <c r="DP13" i="68"/>
  <c r="DQ13" i="68"/>
  <c r="DS13" i="68"/>
  <c r="DT13" i="68"/>
  <c r="DU13" i="68"/>
  <c r="DP14" i="68"/>
  <c r="DQ14" i="68"/>
  <c r="DS14" i="68"/>
  <c r="DT14" i="68"/>
  <c r="DU14" i="68"/>
  <c r="DP15" i="68"/>
  <c r="DQ15" i="68"/>
  <c r="DS15" i="68"/>
  <c r="DT15" i="68"/>
  <c r="DU15" i="68"/>
  <c r="DP16" i="68"/>
  <c r="DQ16" i="68"/>
  <c r="DS16" i="68"/>
  <c r="DT16" i="68"/>
  <c r="DU16" i="68"/>
  <c r="DP17" i="68"/>
  <c r="DQ17" i="68"/>
  <c r="DS17" i="68"/>
  <c r="DT17" i="68"/>
  <c r="DU17" i="68"/>
  <c r="DP18" i="68"/>
  <c r="DQ18" i="68"/>
  <c r="DS18" i="68"/>
  <c r="DT18" i="68"/>
  <c r="DU18" i="68"/>
  <c r="DP19" i="68"/>
  <c r="DQ19" i="68"/>
  <c r="DS19" i="68"/>
  <c r="DT19" i="68"/>
  <c r="DU19" i="68"/>
  <c r="DP20" i="68"/>
  <c r="DQ20" i="68"/>
  <c r="DS20" i="68"/>
  <c r="DT20" i="68"/>
  <c r="DU20" i="68"/>
  <c r="DP21" i="68"/>
  <c r="DQ21" i="68"/>
  <c r="DS21" i="68"/>
  <c r="DT21" i="68"/>
  <c r="DU21" i="68"/>
  <c r="DP22" i="68"/>
  <c r="DQ22" i="68"/>
  <c r="DS22" i="68"/>
  <c r="DT22" i="68"/>
  <c r="DU22" i="68"/>
  <c r="DP23" i="68"/>
  <c r="DQ23" i="68"/>
  <c r="DS23" i="68"/>
  <c r="DT23" i="68"/>
  <c r="DU23" i="68"/>
  <c r="DP24" i="68"/>
  <c r="DQ24" i="68"/>
  <c r="DS24" i="68"/>
  <c r="DT24" i="68"/>
  <c r="DU24" i="68"/>
  <c r="DP25" i="68"/>
  <c r="DQ25" i="68"/>
  <c r="DS25" i="68"/>
  <c r="DT25" i="68"/>
  <c r="DU25" i="68"/>
  <c r="DP26" i="68"/>
  <c r="DQ26" i="68"/>
  <c r="DS26" i="68"/>
  <c r="DT26" i="68"/>
  <c r="DU26" i="68"/>
  <c r="DP27" i="68"/>
  <c r="DQ27" i="68"/>
  <c r="DS27" i="68"/>
  <c r="DT27" i="68"/>
  <c r="DU27" i="68"/>
  <c r="DP28" i="68"/>
  <c r="DQ28" i="68"/>
  <c r="DS28" i="68"/>
  <c r="DT28" i="68"/>
  <c r="DU28" i="68"/>
  <c r="DU29" i="68"/>
  <c r="DT29" i="68"/>
  <c r="DS29" i="68"/>
  <c r="EB7" i="68"/>
  <c r="EA7" i="68"/>
  <c r="DZ7" i="68"/>
  <c r="Q68" i="66" l="1"/>
  <c r="Q71" i="66"/>
  <c r="P65" i="41"/>
  <c r="P65" i="73"/>
  <c r="Q67" i="72"/>
  <c r="Q68" i="73"/>
  <c r="Q68" i="71"/>
  <c r="P65" i="64"/>
  <c r="Q68" i="64"/>
  <c r="Q67" i="70"/>
  <c r="Q67" i="65"/>
  <c r="Q68" i="67"/>
  <c r="I47" i="63"/>
  <c r="I48" i="69"/>
  <c r="I48" i="71"/>
  <c r="I48" i="64"/>
  <c r="I47" i="70"/>
  <c r="I48" i="67"/>
  <c r="Q68" i="41"/>
  <c r="I48" i="73"/>
  <c r="I47" i="65"/>
  <c r="I49" i="41"/>
  <c r="I48" i="66"/>
  <c r="P74" i="41"/>
  <c r="P73" i="65"/>
  <c r="P65" i="66"/>
  <c r="P65" i="67"/>
  <c r="P73" i="72"/>
  <c r="P74" i="66"/>
  <c r="P73" i="70"/>
  <c r="P74" i="67"/>
  <c r="P74" i="71"/>
  <c r="P73" i="63"/>
  <c r="Q72" i="72"/>
  <c r="Q72" i="70"/>
  <c r="Q73" i="71"/>
  <c r="Q73" i="66"/>
  <c r="Q72" i="65"/>
  <c r="Q73" i="73"/>
  <c r="Q73" i="69"/>
  <c r="Q73" i="67"/>
  <c r="Q73" i="41"/>
  <c r="P72" i="69"/>
  <c r="P72" i="64"/>
  <c r="P72" i="66"/>
  <c r="P71" i="70"/>
  <c r="P72" i="71"/>
  <c r="P71" i="63"/>
  <c r="Q71" i="41"/>
  <c r="Q70" i="72"/>
  <c r="Q70" i="70"/>
  <c r="Q71" i="71"/>
  <c r="Q70" i="65"/>
  <c r="Q71" i="73"/>
  <c r="Q71" i="67"/>
  <c r="Q71" i="69"/>
  <c r="P69" i="66"/>
  <c r="P69" i="67"/>
  <c r="P69" i="71"/>
  <c r="P68" i="63"/>
  <c r="P69" i="69"/>
  <c r="P64" i="63"/>
  <c r="P64" i="65"/>
  <c r="P64" i="72"/>
  <c r="P64" i="70"/>
  <c r="Q66" i="66"/>
  <c r="Q65" i="72"/>
  <c r="Q65" i="63"/>
  <c r="Q66" i="69"/>
  <c r="Q65" i="65"/>
  <c r="Q66" i="64"/>
  <c r="Q66" i="71"/>
  <c r="P65" i="69"/>
  <c r="P65" i="71"/>
  <c r="Q68" i="69"/>
  <c r="Q71" i="68"/>
  <c r="Q69" i="68"/>
  <c r="DQ40" i="68"/>
  <c r="DZ40" i="68"/>
  <c r="V44" i="41" l="1"/>
  <c r="AS29" i="43" l="1"/>
  <c r="AR29" i="43"/>
  <c r="AS28" i="43"/>
  <c r="AR28" i="43"/>
  <c r="AS27" i="43"/>
  <c r="AR27" i="43"/>
  <c r="AS26" i="43"/>
  <c r="AR26" i="43"/>
  <c r="AS25" i="43"/>
  <c r="AR25" i="43"/>
  <c r="AS24" i="43"/>
  <c r="AR24" i="43"/>
  <c r="AS23" i="43"/>
  <c r="AR23" i="43"/>
  <c r="AS22" i="43"/>
  <c r="AR22" i="43"/>
  <c r="AS21" i="43"/>
  <c r="AR21" i="43"/>
  <c r="AS20" i="43"/>
  <c r="AR20" i="43"/>
  <c r="AS19" i="43"/>
  <c r="AR19" i="43"/>
  <c r="AS18" i="43"/>
  <c r="AR18" i="43"/>
  <c r="AS17" i="43"/>
  <c r="AR17" i="43"/>
  <c r="AS16" i="43"/>
  <c r="AR16" i="43"/>
  <c r="AR11" i="43"/>
  <c r="AS11" i="43" s="1"/>
  <c r="B4" i="48" s="1"/>
  <c r="AE29" i="43"/>
  <c r="AD29" i="43"/>
  <c r="AE28" i="43"/>
  <c r="AD28" i="43"/>
  <c r="AE27" i="43"/>
  <c r="AD27" i="43"/>
  <c r="AE26" i="43"/>
  <c r="AD26" i="43"/>
  <c r="AE25" i="43"/>
  <c r="AD25" i="43"/>
  <c r="AE24" i="43"/>
  <c r="AD24" i="43"/>
  <c r="AE23" i="43"/>
  <c r="AD23" i="43"/>
  <c r="AE22" i="43"/>
  <c r="AD22" i="43"/>
  <c r="AE21" i="43"/>
  <c r="AD21" i="43"/>
  <c r="AE20" i="43"/>
  <c r="AD20" i="43"/>
  <c r="AD19" i="43"/>
  <c r="AE19" i="43" s="1"/>
  <c r="B12" i="49" s="1"/>
  <c r="AD18" i="43"/>
  <c r="AE18" i="43" s="1"/>
  <c r="B11" i="49" s="1"/>
  <c r="AD11" i="43"/>
  <c r="AE11" i="43" s="1"/>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A11" i="49"/>
  <c r="C11" i="49"/>
  <c r="D11" i="49"/>
  <c r="E11" i="49"/>
  <c r="F11" i="49"/>
  <c r="G11" i="49"/>
  <c r="A12" i="49"/>
  <c r="C12" i="49"/>
  <c r="D12" i="49"/>
  <c r="E12" i="49"/>
  <c r="F12" i="49"/>
  <c r="G12" i="49"/>
  <c r="A13" i="49"/>
  <c r="B13" i="49"/>
  <c r="C13" i="49"/>
  <c r="D13" i="49"/>
  <c r="E13" i="49"/>
  <c r="F13" i="49"/>
  <c r="G13" i="49"/>
  <c r="A14" i="49"/>
  <c r="B14" i="49"/>
  <c r="C14" i="49"/>
  <c r="D14" i="49"/>
  <c r="E14" i="49"/>
  <c r="F14" i="49"/>
  <c r="G14" i="49"/>
  <c r="A15" i="49"/>
  <c r="B15" i="49"/>
  <c r="C15" i="49"/>
  <c r="D15" i="49"/>
  <c r="E15" i="49"/>
  <c r="F15" i="49"/>
  <c r="G15" i="49"/>
  <c r="A16" i="49"/>
  <c r="B16" i="49"/>
  <c r="C16" i="49"/>
  <c r="D16" i="49"/>
  <c r="E16" i="49"/>
  <c r="F16" i="49"/>
  <c r="G16" i="49"/>
  <c r="A17" i="49"/>
  <c r="B17" i="49"/>
  <c r="C17" i="49"/>
  <c r="D17" i="49"/>
  <c r="E17" i="49"/>
  <c r="F17" i="49"/>
  <c r="G17" i="49"/>
  <c r="A18" i="49"/>
  <c r="B18" i="49"/>
  <c r="C18" i="49"/>
  <c r="D18" i="49"/>
  <c r="E18" i="49"/>
  <c r="F18" i="49"/>
  <c r="G18" i="49"/>
  <c r="A19" i="49"/>
  <c r="B19" i="49"/>
  <c r="C19" i="49"/>
  <c r="D19" i="49"/>
  <c r="E19" i="49"/>
  <c r="F19" i="49"/>
  <c r="G19" i="49"/>
  <c r="A20" i="49"/>
  <c r="B20" i="49"/>
  <c r="C20" i="49"/>
  <c r="D20" i="49"/>
  <c r="E20" i="49"/>
  <c r="F20" i="49"/>
  <c r="G20" i="49"/>
  <c r="A21" i="49"/>
  <c r="B21" i="49"/>
  <c r="C21" i="49"/>
  <c r="D21" i="49"/>
  <c r="E21" i="49"/>
  <c r="F21" i="49"/>
  <c r="G21" i="49"/>
  <c r="A22" i="49"/>
  <c r="B22" i="49"/>
  <c r="C22" i="49"/>
  <c r="D22" i="49"/>
  <c r="E22" i="49"/>
  <c r="F22" i="49"/>
  <c r="G22" i="49"/>
  <c r="C5" i="48"/>
  <c r="D5" i="48"/>
  <c r="E5" i="48"/>
  <c r="F5" i="48"/>
  <c r="G5" i="48"/>
  <c r="C6" i="48"/>
  <c r="D6" i="48"/>
  <c r="E6" i="48"/>
  <c r="F6" i="48"/>
  <c r="G6" i="48"/>
  <c r="C7" i="48"/>
  <c r="D7" i="48"/>
  <c r="E7" i="48"/>
  <c r="F7" i="48"/>
  <c r="G7" i="48"/>
  <c r="C8" i="48"/>
  <c r="D8" i="48"/>
  <c r="E8" i="48"/>
  <c r="F8" i="48"/>
  <c r="G8" i="48"/>
  <c r="A9" i="48"/>
  <c r="B9" i="48"/>
  <c r="C9" i="48"/>
  <c r="D9" i="48"/>
  <c r="E9" i="48"/>
  <c r="F9" i="48"/>
  <c r="G9" i="48"/>
  <c r="A10" i="48"/>
  <c r="B10" i="48"/>
  <c r="C10" i="48"/>
  <c r="D10" i="48"/>
  <c r="E10" i="48"/>
  <c r="F10" i="48"/>
  <c r="G10" i="48"/>
  <c r="A11" i="48"/>
  <c r="B11" i="48"/>
  <c r="C11" i="48"/>
  <c r="D11" i="48"/>
  <c r="E11" i="48"/>
  <c r="F11" i="48"/>
  <c r="G11" i="48"/>
  <c r="A12" i="48"/>
  <c r="B12" i="48"/>
  <c r="C12" i="48"/>
  <c r="D12" i="48"/>
  <c r="E12" i="48"/>
  <c r="F12" i="48"/>
  <c r="G12" i="48"/>
  <c r="A13" i="48"/>
  <c r="B13" i="48"/>
  <c r="C13" i="48"/>
  <c r="D13" i="48"/>
  <c r="E13" i="48"/>
  <c r="F13" i="48"/>
  <c r="G13" i="48"/>
  <c r="A14" i="48"/>
  <c r="B14" i="48"/>
  <c r="C14" i="48"/>
  <c r="D14" i="48"/>
  <c r="E14" i="48"/>
  <c r="F14" i="48"/>
  <c r="G14" i="48"/>
  <c r="A15" i="48"/>
  <c r="B15" i="48"/>
  <c r="C15" i="48"/>
  <c r="D15" i="48"/>
  <c r="E15" i="48"/>
  <c r="F15" i="48"/>
  <c r="G15" i="48"/>
  <c r="A16" i="48"/>
  <c r="B16" i="48"/>
  <c r="C16" i="48"/>
  <c r="D16" i="48"/>
  <c r="E16" i="48"/>
  <c r="F16" i="48"/>
  <c r="G16" i="48"/>
  <c r="A17" i="48"/>
  <c r="B17" i="48"/>
  <c r="C17" i="48"/>
  <c r="D17" i="48"/>
  <c r="E17" i="48"/>
  <c r="F17" i="48"/>
  <c r="G17" i="48"/>
  <c r="A18" i="48"/>
  <c r="B18" i="48"/>
  <c r="C18" i="48"/>
  <c r="D18" i="48"/>
  <c r="E18" i="48"/>
  <c r="F18" i="48"/>
  <c r="G18" i="48"/>
  <c r="A19" i="48"/>
  <c r="B19" i="48"/>
  <c r="C19" i="48"/>
  <c r="D19" i="48"/>
  <c r="E19" i="48"/>
  <c r="F19" i="48"/>
  <c r="G19" i="48"/>
  <c r="A20" i="48"/>
  <c r="B20" i="48"/>
  <c r="C20" i="48"/>
  <c r="D20" i="48"/>
  <c r="E20" i="48"/>
  <c r="F20" i="48"/>
  <c r="G20" i="48"/>
  <c r="A21" i="48"/>
  <c r="B21" i="48"/>
  <c r="C21" i="48"/>
  <c r="D21" i="48"/>
  <c r="E21" i="48"/>
  <c r="F21" i="48"/>
  <c r="G21" i="48"/>
  <c r="A22" i="48"/>
  <c r="B22" i="48"/>
  <c r="C22" i="48"/>
  <c r="D22" i="48"/>
  <c r="E22" i="48"/>
  <c r="F22" i="48"/>
  <c r="G22" i="48"/>
  <c r="G4" i="48"/>
  <c r="F4" i="48"/>
  <c r="E4" i="48"/>
  <c r="D4" i="48"/>
  <c r="C4" i="48"/>
  <c r="G4" i="49"/>
  <c r="F4" i="49"/>
  <c r="E4" i="49"/>
  <c r="D4" i="49"/>
  <c r="C4" i="49"/>
  <c r="A4" i="49"/>
  <c r="F2" i="48"/>
  <c r="D2" i="48"/>
  <c r="F2" i="49"/>
  <c r="D2" i="49"/>
  <c r="F2" i="47"/>
  <c r="D2" i="47"/>
  <c r="F2" i="46"/>
  <c r="C5" i="47"/>
  <c r="D5" i="47"/>
  <c r="E5" i="47"/>
  <c r="F5" i="47"/>
  <c r="G5" i="47"/>
  <c r="C6" i="47"/>
  <c r="D6" i="47"/>
  <c r="E6" i="47"/>
  <c r="F6" i="47"/>
  <c r="G6" i="47"/>
  <c r="C7" i="47"/>
  <c r="D7" i="47"/>
  <c r="E7" i="47"/>
  <c r="F7" i="47"/>
  <c r="G7" i="47"/>
  <c r="C8" i="47"/>
  <c r="D8" i="47"/>
  <c r="E8" i="47"/>
  <c r="F8" i="47"/>
  <c r="G8" i="47"/>
  <c r="C9" i="47"/>
  <c r="D9" i="47"/>
  <c r="E9" i="47"/>
  <c r="F9" i="47"/>
  <c r="G9" i="47"/>
  <c r="C10" i="47"/>
  <c r="D10" i="47"/>
  <c r="E10" i="47"/>
  <c r="F10" i="47"/>
  <c r="G10" i="47"/>
  <c r="C11" i="47"/>
  <c r="D11" i="47"/>
  <c r="E11" i="47"/>
  <c r="F11" i="47"/>
  <c r="G11" i="47"/>
  <c r="C12" i="47"/>
  <c r="D12" i="47"/>
  <c r="E12" i="47"/>
  <c r="F12" i="47"/>
  <c r="G12" i="47"/>
  <c r="C13" i="47"/>
  <c r="D13" i="47"/>
  <c r="E13" i="47"/>
  <c r="F13" i="47"/>
  <c r="G13" i="47"/>
  <c r="C14" i="47"/>
  <c r="D14" i="47"/>
  <c r="E14" i="47"/>
  <c r="F14" i="47"/>
  <c r="G14" i="47"/>
  <c r="C15" i="47"/>
  <c r="D15" i="47"/>
  <c r="E15" i="47"/>
  <c r="F15" i="47"/>
  <c r="G15" i="47"/>
  <c r="C16" i="47"/>
  <c r="D16" i="47"/>
  <c r="E16" i="47"/>
  <c r="F16" i="47"/>
  <c r="G16" i="47"/>
  <c r="A17" i="47"/>
  <c r="B17" i="47"/>
  <c r="C17" i="47"/>
  <c r="D17" i="47"/>
  <c r="E17" i="47"/>
  <c r="F17" i="47"/>
  <c r="G17" i="47"/>
  <c r="A18" i="47"/>
  <c r="B18" i="47"/>
  <c r="C18" i="47"/>
  <c r="D18" i="47"/>
  <c r="E18" i="47"/>
  <c r="F18" i="47"/>
  <c r="G18" i="47"/>
  <c r="A19" i="47"/>
  <c r="B19" i="47"/>
  <c r="C19" i="47"/>
  <c r="D19" i="47"/>
  <c r="E19" i="47"/>
  <c r="F19" i="47"/>
  <c r="G19" i="47"/>
  <c r="A20" i="47"/>
  <c r="B20" i="47"/>
  <c r="C20" i="47"/>
  <c r="D20" i="47"/>
  <c r="E20" i="47"/>
  <c r="F20" i="47"/>
  <c r="G20" i="47"/>
  <c r="A21" i="47"/>
  <c r="B21" i="47"/>
  <c r="C21" i="47"/>
  <c r="D21" i="47"/>
  <c r="E21" i="47"/>
  <c r="F21" i="47"/>
  <c r="G21" i="47"/>
  <c r="A22" i="47"/>
  <c r="B22" i="47"/>
  <c r="C22" i="47"/>
  <c r="D22" i="47"/>
  <c r="E22" i="47"/>
  <c r="F22" i="47"/>
  <c r="G22" i="47"/>
  <c r="G4" i="47"/>
  <c r="F4" i="47"/>
  <c r="E4" i="47"/>
  <c r="D4" i="47"/>
  <c r="C4" i="47"/>
  <c r="A4" i="48"/>
  <c r="AR12" i="43" l="1"/>
  <c r="AD12" i="43"/>
  <c r="B4" i="49"/>
  <c r="AS12" i="43" l="1"/>
  <c r="A5" i="48"/>
  <c r="AE12" i="43"/>
  <c r="A5" i="49"/>
  <c r="B5" i="48" l="1"/>
  <c r="AR13" i="43"/>
  <c r="AD13" i="43"/>
  <c r="B5" i="49"/>
  <c r="AS13" i="43" l="1"/>
  <c r="A6" i="48"/>
  <c r="AE13" i="43"/>
  <c r="A6" i="49"/>
  <c r="B6" i="48" l="1"/>
  <c r="AR14" i="43"/>
  <c r="AD14" i="43"/>
  <c r="B6" i="49"/>
  <c r="A7" i="48" l="1"/>
  <c r="AS14" i="43"/>
  <c r="A7" i="49"/>
  <c r="AE14" i="43"/>
  <c r="B7" i="48" l="1"/>
  <c r="AR15" i="43"/>
  <c r="B7" i="49"/>
  <c r="AD15" i="43"/>
  <c r="AE15" i="43" l="1"/>
  <c r="A8" i="49"/>
  <c r="AS15" i="43"/>
  <c r="B8" i="48" s="1"/>
  <c r="A8" i="48"/>
  <c r="B8" i="49" l="1"/>
  <c r="AD16" i="43"/>
  <c r="AE16" i="43" l="1"/>
  <c r="A9" i="49"/>
  <c r="B9" i="49" l="1"/>
  <c r="AD17" i="43"/>
  <c r="AE17" i="43" l="1"/>
  <c r="B10" i="49" s="1"/>
  <c r="A10" i="49"/>
  <c r="P11" i="43" l="1"/>
  <c r="A4" i="47" s="1"/>
  <c r="V105" i="73" l="1"/>
  <c r="R105" i="73"/>
  <c r="V104" i="73"/>
  <c r="R104" i="73"/>
  <c r="V103" i="73"/>
  <c r="R103" i="73"/>
  <c r="V102" i="73"/>
  <c r="R102" i="73"/>
  <c r="V101" i="73"/>
  <c r="R101" i="73"/>
  <c r="V100" i="73"/>
  <c r="R100" i="73"/>
  <c r="V99" i="73"/>
  <c r="R99" i="73"/>
  <c r="V98" i="73"/>
  <c r="R98" i="73"/>
  <c r="V97" i="73"/>
  <c r="R97" i="73"/>
  <c r="V96" i="73"/>
  <c r="R96" i="73"/>
  <c r="V95" i="73"/>
  <c r="R95" i="73"/>
  <c r="V94" i="73"/>
  <c r="R94" i="73"/>
  <c r="V93" i="73"/>
  <c r="R93" i="73"/>
  <c r="V92" i="73"/>
  <c r="R92" i="73"/>
  <c r="V91" i="73"/>
  <c r="R91" i="73"/>
  <c r="V90" i="73"/>
  <c r="R90" i="73"/>
  <c r="V89" i="73"/>
  <c r="R89" i="73"/>
  <c r="V88" i="73"/>
  <c r="R88" i="73"/>
  <c r="V87" i="73"/>
  <c r="R87" i="73"/>
  <c r="V86" i="73"/>
  <c r="R86" i="73"/>
  <c r="V85" i="73"/>
  <c r="R85" i="73"/>
  <c r="V84" i="73"/>
  <c r="R84" i="73"/>
  <c r="V83" i="73"/>
  <c r="R83" i="73"/>
  <c r="V82" i="73"/>
  <c r="R82" i="73"/>
  <c r="V81" i="73"/>
  <c r="R81" i="73"/>
  <c r="V80" i="73"/>
  <c r="R80" i="73"/>
  <c r="V79" i="73"/>
  <c r="R79" i="73"/>
  <c r="V78" i="73"/>
  <c r="R78" i="73"/>
  <c r="V77" i="73"/>
  <c r="R77" i="73"/>
  <c r="V76" i="73"/>
  <c r="R76" i="73"/>
  <c r="V75" i="73"/>
  <c r="R75" i="73"/>
  <c r="V104" i="72"/>
  <c r="R104" i="72"/>
  <c r="V103" i="72"/>
  <c r="R103" i="72"/>
  <c r="V102" i="72"/>
  <c r="R102" i="72"/>
  <c r="V101" i="72"/>
  <c r="R101" i="72"/>
  <c r="V100" i="72"/>
  <c r="R100" i="72"/>
  <c r="V99" i="72"/>
  <c r="R99" i="72"/>
  <c r="V98" i="72"/>
  <c r="R98" i="72"/>
  <c r="V97" i="72"/>
  <c r="R97" i="72"/>
  <c r="V96" i="72"/>
  <c r="R96" i="72"/>
  <c r="V95" i="72"/>
  <c r="R95" i="72"/>
  <c r="V94" i="72"/>
  <c r="R94" i="72"/>
  <c r="V93" i="72"/>
  <c r="R93" i="72"/>
  <c r="V92" i="72"/>
  <c r="R92" i="72"/>
  <c r="V91" i="72"/>
  <c r="R91" i="72"/>
  <c r="V90" i="72"/>
  <c r="R90" i="72"/>
  <c r="V89" i="72"/>
  <c r="R89" i="72"/>
  <c r="V88" i="72"/>
  <c r="R88" i="72"/>
  <c r="V87" i="72"/>
  <c r="R87" i="72"/>
  <c r="V86" i="72"/>
  <c r="R86" i="72"/>
  <c r="V85" i="72"/>
  <c r="R85" i="72"/>
  <c r="V84" i="72"/>
  <c r="R84" i="72"/>
  <c r="V83" i="72"/>
  <c r="R83" i="72"/>
  <c r="V82" i="72"/>
  <c r="R82" i="72"/>
  <c r="V81" i="72"/>
  <c r="R81" i="72"/>
  <c r="V80" i="72"/>
  <c r="R80" i="72"/>
  <c r="V79" i="72"/>
  <c r="R79" i="72"/>
  <c r="V78" i="72"/>
  <c r="R78" i="72"/>
  <c r="V77" i="72"/>
  <c r="R77" i="72"/>
  <c r="V76" i="72"/>
  <c r="R76" i="72"/>
  <c r="V75" i="72"/>
  <c r="R75" i="72"/>
  <c r="V74" i="72"/>
  <c r="R74" i="72"/>
  <c r="V105" i="71"/>
  <c r="R105" i="71"/>
  <c r="V104" i="71"/>
  <c r="R104" i="71"/>
  <c r="V103" i="71"/>
  <c r="R103" i="71"/>
  <c r="V102" i="71"/>
  <c r="R102" i="71"/>
  <c r="V101" i="71"/>
  <c r="R101" i="71"/>
  <c r="V100" i="71"/>
  <c r="R100" i="71"/>
  <c r="V99" i="71"/>
  <c r="R99" i="71"/>
  <c r="V98" i="71"/>
  <c r="R98" i="71"/>
  <c r="V97" i="71"/>
  <c r="R97" i="71"/>
  <c r="V96" i="71"/>
  <c r="R96" i="71"/>
  <c r="V95" i="71"/>
  <c r="R95" i="71"/>
  <c r="V94" i="71"/>
  <c r="R94" i="71"/>
  <c r="V93" i="71"/>
  <c r="R93" i="71"/>
  <c r="V92" i="71"/>
  <c r="R92" i="71"/>
  <c r="V91" i="71"/>
  <c r="R91" i="71"/>
  <c r="V90" i="71"/>
  <c r="R90" i="71"/>
  <c r="V89" i="71"/>
  <c r="R89" i="71"/>
  <c r="V88" i="71"/>
  <c r="R88" i="71"/>
  <c r="V87" i="71"/>
  <c r="R87" i="71"/>
  <c r="V86" i="71"/>
  <c r="R86" i="71"/>
  <c r="V85" i="71"/>
  <c r="R85" i="71"/>
  <c r="V84" i="71"/>
  <c r="R84" i="71"/>
  <c r="V83" i="71"/>
  <c r="R83" i="71"/>
  <c r="V82" i="71"/>
  <c r="R82" i="71"/>
  <c r="V81" i="71"/>
  <c r="R81" i="71"/>
  <c r="V80" i="71"/>
  <c r="R80" i="71"/>
  <c r="V79" i="71"/>
  <c r="R79" i="71"/>
  <c r="V78" i="71"/>
  <c r="R78" i="71"/>
  <c r="V77" i="71"/>
  <c r="R77" i="71"/>
  <c r="V76" i="71"/>
  <c r="R76" i="71"/>
  <c r="V75" i="71"/>
  <c r="R75" i="71"/>
  <c r="V104" i="70"/>
  <c r="R104" i="70"/>
  <c r="V103" i="70"/>
  <c r="R103" i="70"/>
  <c r="V102" i="70"/>
  <c r="R102" i="70"/>
  <c r="V101" i="70"/>
  <c r="R101" i="70"/>
  <c r="V100" i="70"/>
  <c r="R100" i="70"/>
  <c r="V99" i="70"/>
  <c r="R99" i="70"/>
  <c r="V98" i="70"/>
  <c r="R98" i="70"/>
  <c r="V97" i="70"/>
  <c r="R97" i="70"/>
  <c r="V96" i="70"/>
  <c r="R96" i="70"/>
  <c r="V95" i="70"/>
  <c r="R95" i="70"/>
  <c r="V94" i="70"/>
  <c r="R94" i="70"/>
  <c r="V93" i="70"/>
  <c r="R93" i="70"/>
  <c r="V92" i="70"/>
  <c r="R92" i="70"/>
  <c r="V91" i="70"/>
  <c r="R91" i="70"/>
  <c r="V90" i="70"/>
  <c r="R90" i="70"/>
  <c r="V89" i="70"/>
  <c r="R89" i="70"/>
  <c r="V88" i="70"/>
  <c r="R88" i="70"/>
  <c r="V87" i="70"/>
  <c r="R87" i="70"/>
  <c r="V86" i="70"/>
  <c r="R86" i="70"/>
  <c r="V85" i="70"/>
  <c r="R85" i="70"/>
  <c r="V84" i="70"/>
  <c r="R84" i="70"/>
  <c r="V83" i="70"/>
  <c r="R83" i="70"/>
  <c r="V82" i="70"/>
  <c r="R82" i="70"/>
  <c r="V81" i="70"/>
  <c r="R81" i="70"/>
  <c r="V80" i="70"/>
  <c r="R80" i="70"/>
  <c r="V79" i="70"/>
  <c r="R79" i="70"/>
  <c r="V78" i="70"/>
  <c r="R78" i="70"/>
  <c r="V77" i="70"/>
  <c r="R77" i="70"/>
  <c r="V76" i="70"/>
  <c r="R76" i="70"/>
  <c r="V75" i="70"/>
  <c r="R75" i="70"/>
  <c r="V74" i="70"/>
  <c r="R74" i="70"/>
  <c r="V105" i="69"/>
  <c r="R105" i="69"/>
  <c r="V104" i="69"/>
  <c r="R104" i="69"/>
  <c r="V103" i="69"/>
  <c r="R103" i="69"/>
  <c r="V102" i="69"/>
  <c r="R102" i="69"/>
  <c r="V101" i="69"/>
  <c r="R101" i="69"/>
  <c r="V100" i="69"/>
  <c r="R100" i="69"/>
  <c r="V99" i="69"/>
  <c r="R99" i="69"/>
  <c r="V98" i="69"/>
  <c r="R98" i="69"/>
  <c r="V97" i="69"/>
  <c r="R97" i="69"/>
  <c r="V96" i="69"/>
  <c r="R96" i="69"/>
  <c r="V95" i="69"/>
  <c r="R95" i="69"/>
  <c r="V94" i="69"/>
  <c r="R94" i="69"/>
  <c r="V93" i="69"/>
  <c r="R93" i="69"/>
  <c r="V92" i="69"/>
  <c r="R92" i="69"/>
  <c r="V91" i="69"/>
  <c r="R91" i="69"/>
  <c r="V90" i="69"/>
  <c r="R90" i="69"/>
  <c r="V89" i="69"/>
  <c r="R89" i="69"/>
  <c r="V88" i="69"/>
  <c r="R88" i="69"/>
  <c r="V87" i="69"/>
  <c r="R87" i="69"/>
  <c r="V86" i="69"/>
  <c r="R86" i="69"/>
  <c r="V85" i="69"/>
  <c r="R85" i="69"/>
  <c r="V84" i="69"/>
  <c r="R84" i="69"/>
  <c r="V83" i="69"/>
  <c r="R83" i="69"/>
  <c r="V82" i="69"/>
  <c r="R82" i="69"/>
  <c r="V81" i="69"/>
  <c r="R81" i="69"/>
  <c r="V80" i="69"/>
  <c r="R80" i="69"/>
  <c r="V79" i="69"/>
  <c r="R79" i="69"/>
  <c r="V78" i="69"/>
  <c r="R78" i="69"/>
  <c r="V77" i="69"/>
  <c r="R77" i="69"/>
  <c r="V76" i="69"/>
  <c r="R76" i="69"/>
  <c r="V75" i="69"/>
  <c r="R75" i="69"/>
  <c r="V103" i="68"/>
  <c r="R103" i="68"/>
  <c r="V102" i="68"/>
  <c r="R102" i="68"/>
  <c r="V101" i="68"/>
  <c r="R101" i="68"/>
  <c r="V100" i="68"/>
  <c r="R100" i="68"/>
  <c r="V99" i="68"/>
  <c r="R99" i="68"/>
  <c r="V98" i="68"/>
  <c r="R98" i="68"/>
  <c r="V97" i="68"/>
  <c r="R97" i="68"/>
  <c r="V96" i="68"/>
  <c r="R96" i="68"/>
  <c r="V95" i="68"/>
  <c r="R95" i="68"/>
  <c r="V94" i="68"/>
  <c r="R94" i="68"/>
  <c r="V93" i="68"/>
  <c r="R93" i="68"/>
  <c r="V92" i="68"/>
  <c r="R92" i="68"/>
  <c r="V91" i="68"/>
  <c r="R91" i="68"/>
  <c r="V90" i="68"/>
  <c r="R90" i="68"/>
  <c r="V89" i="68"/>
  <c r="R89" i="68"/>
  <c r="V88" i="68"/>
  <c r="R88" i="68"/>
  <c r="V87" i="68"/>
  <c r="R87" i="68"/>
  <c r="V86" i="68"/>
  <c r="R86" i="68"/>
  <c r="V85" i="68"/>
  <c r="R85" i="68"/>
  <c r="V84" i="68"/>
  <c r="R84" i="68"/>
  <c r="V83" i="68"/>
  <c r="R83" i="68"/>
  <c r="V82" i="68"/>
  <c r="R82" i="68"/>
  <c r="V81" i="68"/>
  <c r="R81" i="68"/>
  <c r="V80" i="68"/>
  <c r="R80" i="68"/>
  <c r="V79" i="68"/>
  <c r="R79" i="68"/>
  <c r="V78" i="68"/>
  <c r="R78" i="68"/>
  <c r="V77" i="68"/>
  <c r="R77" i="68"/>
  <c r="V76" i="68"/>
  <c r="R76" i="68"/>
  <c r="V75" i="68"/>
  <c r="R75" i="68"/>
  <c r="V74" i="68"/>
  <c r="R74" i="68"/>
  <c r="V73" i="68"/>
  <c r="R73" i="68"/>
  <c r="V105" i="67"/>
  <c r="R105" i="67"/>
  <c r="V104" i="67"/>
  <c r="R104" i="67"/>
  <c r="V103" i="67"/>
  <c r="R103" i="67"/>
  <c r="V102" i="67"/>
  <c r="R102" i="67"/>
  <c r="V101" i="67"/>
  <c r="R101" i="67"/>
  <c r="V100" i="67"/>
  <c r="R100" i="67"/>
  <c r="V99" i="67"/>
  <c r="R99" i="67"/>
  <c r="V98" i="67"/>
  <c r="R98" i="67"/>
  <c r="V97" i="67"/>
  <c r="R97" i="67"/>
  <c r="V96" i="67"/>
  <c r="R96" i="67"/>
  <c r="V95" i="67"/>
  <c r="R95" i="67"/>
  <c r="V94" i="67"/>
  <c r="R94" i="67"/>
  <c r="V93" i="67"/>
  <c r="R93" i="67"/>
  <c r="V92" i="67"/>
  <c r="R92" i="67"/>
  <c r="V91" i="67"/>
  <c r="R91" i="67"/>
  <c r="V90" i="67"/>
  <c r="R90" i="67"/>
  <c r="V89" i="67"/>
  <c r="R89" i="67"/>
  <c r="V88" i="67"/>
  <c r="R88" i="67"/>
  <c r="V87" i="67"/>
  <c r="R87" i="67"/>
  <c r="V86" i="67"/>
  <c r="R86" i="67"/>
  <c r="V85" i="67"/>
  <c r="R85" i="67"/>
  <c r="V84" i="67"/>
  <c r="R84" i="67"/>
  <c r="V83" i="67"/>
  <c r="R83" i="67"/>
  <c r="V82" i="67"/>
  <c r="R82" i="67"/>
  <c r="V81" i="67"/>
  <c r="R81" i="67"/>
  <c r="V80" i="67"/>
  <c r="R80" i="67"/>
  <c r="V79" i="67"/>
  <c r="R79" i="67"/>
  <c r="V78" i="67"/>
  <c r="R78" i="67"/>
  <c r="V77" i="67"/>
  <c r="R77" i="67"/>
  <c r="V76" i="67"/>
  <c r="R76" i="67"/>
  <c r="V75" i="67"/>
  <c r="R75" i="67"/>
  <c r="V105" i="66"/>
  <c r="R105" i="66"/>
  <c r="V104" i="66"/>
  <c r="R104" i="66"/>
  <c r="V103" i="66"/>
  <c r="R103" i="66"/>
  <c r="V102" i="66"/>
  <c r="R102" i="66"/>
  <c r="V101" i="66"/>
  <c r="R101" i="66"/>
  <c r="V100" i="66"/>
  <c r="R100" i="66"/>
  <c r="V99" i="66"/>
  <c r="R99" i="66"/>
  <c r="V98" i="66"/>
  <c r="R98" i="66"/>
  <c r="V97" i="66"/>
  <c r="R97" i="66"/>
  <c r="V96" i="66"/>
  <c r="R96" i="66"/>
  <c r="V95" i="66"/>
  <c r="R95" i="66"/>
  <c r="V94" i="66"/>
  <c r="R94" i="66"/>
  <c r="V93" i="66"/>
  <c r="R93" i="66"/>
  <c r="V92" i="66"/>
  <c r="R92" i="66"/>
  <c r="V91" i="66"/>
  <c r="R91" i="66"/>
  <c r="V90" i="66"/>
  <c r="R90" i="66"/>
  <c r="V89" i="66"/>
  <c r="R89" i="66"/>
  <c r="V88" i="66"/>
  <c r="R88" i="66"/>
  <c r="V87" i="66"/>
  <c r="R87" i="66"/>
  <c r="V86" i="66"/>
  <c r="R86" i="66"/>
  <c r="V85" i="66"/>
  <c r="R85" i="66"/>
  <c r="V84" i="66"/>
  <c r="R84" i="66"/>
  <c r="V83" i="66"/>
  <c r="R83" i="66"/>
  <c r="V82" i="66"/>
  <c r="R82" i="66"/>
  <c r="V81" i="66"/>
  <c r="R81" i="66"/>
  <c r="V80" i="66"/>
  <c r="R80" i="66"/>
  <c r="V79" i="66"/>
  <c r="R79" i="66"/>
  <c r="V78" i="66"/>
  <c r="R78" i="66"/>
  <c r="V77" i="66"/>
  <c r="R77" i="66"/>
  <c r="V76" i="66"/>
  <c r="R76" i="66"/>
  <c r="V75" i="66"/>
  <c r="R75" i="66"/>
  <c r="V104" i="65"/>
  <c r="R104" i="65"/>
  <c r="V103" i="65"/>
  <c r="R103" i="65"/>
  <c r="V102" i="65"/>
  <c r="R102" i="65"/>
  <c r="V101" i="65"/>
  <c r="R101" i="65"/>
  <c r="V100" i="65"/>
  <c r="R100" i="65"/>
  <c r="V99" i="65"/>
  <c r="R99" i="65"/>
  <c r="V98" i="65"/>
  <c r="R98" i="65"/>
  <c r="V97" i="65"/>
  <c r="R97" i="65"/>
  <c r="V96" i="65"/>
  <c r="R96" i="65"/>
  <c r="V95" i="65"/>
  <c r="R95" i="65"/>
  <c r="V94" i="65"/>
  <c r="R94" i="65"/>
  <c r="V93" i="65"/>
  <c r="R93" i="65"/>
  <c r="V92" i="65"/>
  <c r="R92" i="65"/>
  <c r="V91" i="65"/>
  <c r="R91" i="65"/>
  <c r="V90" i="65"/>
  <c r="R90" i="65"/>
  <c r="V89" i="65"/>
  <c r="R89" i="65"/>
  <c r="V88" i="65"/>
  <c r="R88" i="65"/>
  <c r="V87" i="65"/>
  <c r="R87" i="65"/>
  <c r="V86" i="65"/>
  <c r="R86" i="65"/>
  <c r="V85" i="65"/>
  <c r="R85" i="65"/>
  <c r="V84" i="65"/>
  <c r="R84" i="65"/>
  <c r="V83" i="65"/>
  <c r="R83" i="65"/>
  <c r="V82" i="65"/>
  <c r="R82" i="65"/>
  <c r="V81" i="65"/>
  <c r="R81" i="65"/>
  <c r="V80" i="65"/>
  <c r="R80" i="65"/>
  <c r="V79" i="65"/>
  <c r="R79" i="65"/>
  <c r="V78" i="65"/>
  <c r="R78" i="65"/>
  <c r="V77" i="65"/>
  <c r="R77" i="65"/>
  <c r="V76" i="65"/>
  <c r="R76" i="65"/>
  <c r="V75" i="65"/>
  <c r="R75" i="65"/>
  <c r="V74" i="65"/>
  <c r="R74" i="65"/>
  <c r="V105" i="64"/>
  <c r="R105" i="64"/>
  <c r="V104" i="64"/>
  <c r="R104" i="64"/>
  <c r="V103" i="64"/>
  <c r="R103" i="64"/>
  <c r="V102" i="64"/>
  <c r="R102" i="64"/>
  <c r="V101" i="64"/>
  <c r="R101" i="64"/>
  <c r="V100" i="64"/>
  <c r="R100" i="64"/>
  <c r="V99" i="64"/>
  <c r="R99" i="64"/>
  <c r="V98" i="64"/>
  <c r="R98" i="64"/>
  <c r="V97" i="64"/>
  <c r="R97" i="64"/>
  <c r="V96" i="64"/>
  <c r="R96" i="64"/>
  <c r="V95" i="64"/>
  <c r="R95" i="64"/>
  <c r="V94" i="64"/>
  <c r="R94" i="64"/>
  <c r="V93" i="64"/>
  <c r="R93" i="64"/>
  <c r="V92" i="64"/>
  <c r="R92" i="64"/>
  <c r="V91" i="64"/>
  <c r="R91" i="64"/>
  <c r="V90" i="64"/>
  <c r="R90" i="64"/>
  <c r="V89" i="64"/>
  <c r="R89" i="64"/>
  <c r="V88" i="64"/>
  <c r="R88" i="64"/>
  <c r="V87" i="64"/>
  <c r="R87" i="64"/>
  <c r="V86" i="64"/>
  <c r="R86" i="64"/>
  <c r="V85" i="64"/>
  <c r="R85" i="64"/>
  <c r="V84" i="64"/>
  <c r="R84" i="64"/>
  <c r="V83" i="64"/>
  <c r="R83" i="64"/>
  <c r="V82" i="64"/>
  <c r="R82" i="64"/>
  <c r="V81" i="64"/>
  <c r="R81" i="64"/>
  <c r="V80" i="64"/>
  <c r="R80" i="64"/>
  <c r="V79" i="64"/>
  <c r="R79" i="64"/>
  <c r="V78" i="64"/>
  <c r="R78" i="64"/>
  <c r="V77" i="64"/>
  <c r="R77" i="64"/>
  <c r="V76" i="64"/>
  <c r="R76" i="64"/>
  <c r="V75" i="64"/>
  <c r="R75" i="64"/>
  <c r="GC37" i="68"/>
  <c r="GB37" i="68"/>
  <c r="GA37" i="68"/>
  <c r="FZ37" i="68"/>
  <c r="FY37" i="68"/>
  <c r="FX37" i="68"/>
  <c r="FW37" i="68"/>
  <c r="FV37" i="68"/>
  <c r="FT37" i="68"/>
  <c r="FS37" i="68"/>
  <c r="FQ37" i="68"/>
  <c r="FO37" i="68"/>
  <c r="FN37" i="68"/>
  <c r="FM37" i="68"/>
  <c r="FK37" i="68"/>
  <c r="FI37" i="68"/>
  <c r="ER37" i="68"/>
  <c r="EQ37" i="68"/>
  <c r="EP37" i="68"/>
  <c r="EO37" i="68"/>
  <c r="EN37" i="68"/>
  <c r="EM37" i="68"/>
  <c r="EK37" i="68"/>
  <c r="EI37" i="68"/>
  <c r="EH37" i="68"/>
  <c r="EG37" i="68"/>
  <c r="EE37" i="68"/>
  <c r="ED37" i="68"/>
  <c r="EC37" i="68"/>
  <c r="GC36" i="68"/>
  <c r="GB36" i="68"/>
  <c r="GA36" i="68"/>
  <c r="FZ36" i="68"/>
  <c r="FY36" i="68"/>
  <c r="FX36" i="68"/>
  <c r="FW36" i="68"/>
  <c r="FV36" i="68"/>
  <c r="FT36" i="68"/>
  <c r="FS36" i="68"/>
  <c r="FQ36" i="68"/>
  <c r="FO36" i="68"/>
  <c r="FN36" i="68"/>
  <c r="FM36" i="68"/>
  <c r="FK36" i="68"/>
  <c r="FI36" i="68"/>
  <c r="GC35" i="68"/>
  <c r="GB35" i="68"/>
  <c r="GA35" i="68"/>
  <c r="FZ35" i="68"/>
  <c r="FY35" i="68"/>
  <c r="FX35" i="68"/>
  <c r="FW35" i="68"/>
  <c r="FV35" i="68"/>
  <c r="FT35" i="68"/>
  <c r="FS35" i="68"/>
  <c r="FQ35" i="68"/>
  <c r="FO35" i="68"/>
  <c r="FN35" i="68"/>
  <c r="FM35" i="68"/>
  <c r="FK35" i="68"/>
  <c r="FI35" i="68"/>
  <c r="GC34" i="68"/>
  <c r="GB34" i="68"/>
  <c r="GA34" i="68"/>
  <c r="FZ34" i="68"/>
  <c r="FY34" i="68"/>
  <c r="FX34" i="68"/>
  <c r="FW34" i="68"/>
  <c r="FV34" i="68"/>
  <c r="FT34" i="68"/>
  <c r="FS34" i="68"/>
  <c r="FQ34" i="68"/>
  <c r="FO34" i="68"/>
  <c r="FN34" i="68"/>
  <c r="FM34" i="68"/>
  <c r="FK34" i="68"/>
  <c r="FI34" i="68"/>
  <c r="GC33" i="68"/>
  <c r="GB33" i="68"/>
  <c r="GA33" i="68"/>
  <c r="FZ33" i="68"/>
  <c r="FY33" i="68"/>
  <c r="FX33" i="68"/>
  <c r="FW33" i="68"/>
  <c r="FV33" i="68"/>
  <c r="FT33" i="68"/>
  <c r="FS33" i="68"/>
  <c r="FQ33" i="68"/>
  <c r="FO33" i="68"/>
  <c r="FN33" i="68"/>
  <c r="FM33" i="68"/>
  <c r="FK33" i="68"/>
  <c r="FI33" i="68"/>
  <c r="GC32" i="68"/>
  <c r="GB32" i="68"/>
  <c r="GA32" i="68"/>
  <c r="FZ32" i="68"/>
  <c r="FY32" i="68"/>
  <c r="FX32" i="68"/>
  <c r="FW32" i="68"/>
  <c r="FV32" i="68"/>
  <c r="FT32" i="68"/>
  <c r="FS32" i="68"/>
  <c r="FQ32" i="68"/>
  <c r="FO32" i="68"/>
  <c r="FN32" i="68"/>
  <c r="FM32" i="68"/>
  <c r="FK32" i="68"/>
  <c r="FI32" i="68"/>
  <c r="GC31" i="68"/>
  <c r="GB31" i="68"/>
  <c r="GA31" i="68"/>
  <c r="FZ31" i="68"/>
  <c r="FY31" i="68"/>
  <c r="FX31" i="68"/>
  <c r="FW31" i="68"/>
  <c r="FV31" i="68"/>
  <c r="FT31" i="68"/>
  <c r="FS31" i="68"/>
  <c r="FQ31" i="68"/>
  <c r="FO31" i="68"/>
  <c r="FN31" i="68"/>
  <c r="FM31" i="68"/>
  <c r="FK31" i="68"/>
  <c r="FI31" i="68"/>
  <c r="GC30" i="68"/>
  <c r="GB30" i="68"/>
  <c r="GA30" i="68"/>
  <c r="FZ30" i="68"/>
  <c r="FY30" i="68"/>
  <c r="FX30" i="68"/>
  <c r="FW30" i="68"/>
  <c r="FV30" i="68"/>
  <c r="FT30" i="68"/>
  <c r="FS30" i="68"/>
  <c r="FQ30" i="68"/>
  <c r="FO30" i="68"/>
  <c r="FN30" i="68"/>
  <c r="FM30" i="68"/>
  <c r="FK30" i="68"/>
  <c r="FI30" i="68"/>
  <c r="GC29" i="68"/>
  <c r="GB29" i="68"/>
  <c r="GA29" i="68"/>
  <c r="FZ29" i="68"/>
  <c r="FY29" i="68"/>
  <c r="FX29" i="68"/>
  <c r="FW29" i="68"/>
  <c r="FV29" i="68"/>
  <c r="FT29" i="68"/>
  <c r="FS29" i="68"/>
  <c r="FQ29" i="68"/>
  <c r="FO29" i="68"/>
  <c r="FN29" i="68"/>
  <c r="FM29" i="68"/>
  <c r="FK29" i="68"/>
  <c r="FI29" i="68"/>
  <c r="GC28" i="68"/>
  <c r="GB28" i="68"/>
  <c r="GA28" i="68"/>
  <c r="FZ28" i="68"/>
  <c r="FY28" i="68"/>
  <c r="FX28" i="68"/>
  <c r="FW28" i="68"/>
  <c r="FV28" i="68"/>
  <c r="FT28" i="68"/>
  <c r="FS28" i="68"/>
  <c r="FQ28" i="68"/>
  <c r="FO28" i="68"/>
  <c r="FN28" i="68"/>
  <c r="FM28" i="68"/>
  <c r="FK28" i="68"/>
  <c r="FI28" i="68"/>
  <c r="GC27" i="68"/>
  <c r="GB27" i="68"/>
  <c r="GA27" i="68"/>
  <c r="FZ27" i="68"/>
  <c r="FY27" i="68"/>
  <c r="FX27" i="68"/>
  <c r="FW27" i="68"/>
  <c r="FV27" i="68"/>
  <c r="FT27" i="68"/>
  <c r="FS27" i="68"/>
  <c r="FQ27" i="68"/>
  <c r="FO27" i="68"/>
  <c r="FN27" i="68"/>
  <c r="FM27" i="68"/>
  <c r="FK27" i="68"/>
  <c r="FI27" i="68"/>
  <c r="GC26" i="68"/>
  <c r="GB26" i="68"/>
  <c r="GA26" i="68"/>
  <c r="FZ26" i="68"/>
  <c r="FY26" i="68"/>
  <c r="FX26" i="68"/>
  <c r="FW26" i="68"/>
  <c r="FV26" i="68"/>
  <c r="FT26" i="68"/>
  <c r="FS26" i="68"/>
  <c r="FQ26" i="68"/>
  <c r="FO26" i="68"/>
  <c r="FN26" i="68"/>
  <c r="FM26" i="68"/>
  <c r="FK26" i="68"/>
  <c r="FI26" i="68"/>
  <c r="GC25" i="68"/>
  <c r="GB25" i="68"/>
  <c r="GA25" i="68"/>
  <c r="FZ25" i="68"/>
  <c r="FY25" i="68"/>
  <c r="FX25" i="68"/>
  <c r="FW25" i="68"/>
  <c r="FV25" i="68"/>
  <c r="FT25" i="68"/>
  <c r="FS25" i="68"/>
  <c r="FQ25" i="68"/>
  <c r="FO25" i="68"/>
  <c r="FN25" i="68"/>
  <c r="FM25" i="68"/>
  <c r="FK25" i="68"/>
  <c r="FI25" i="68"/>
  <c r="GC24" i="68"/>
  <c r="GB24" i="68"/>
  <c r="GA24" i="68"/>
  <c r="FZ24" i="68"/>
  <c r="FY24" i="68"/>
  <c r="FX24" i="68"/>
  <c r="FW24" i="68"/>
  <c r="FV24" i="68"/>
  <c r="FT24" i="68"/>
  <c r="FS24" i="68"/>
  <c r="FQ24" i="68"/>
  <c r="FO24" i="68"/>
  <c r="FN24" i="68"/>
  <c r="FM24" i="68"/>
  <c r="FK24" i="68"/>
  <c r="FI24" i="68"/>
  <c r="GC23" i="68"/>
  <c r="GB23" i="68"/>
  <c r="GA23" i="68"/>
  <c r="FZ23" i="68"/>
  <c r="FY23" i="68"/>
  <c r="FX23" i="68"/>
  <c r="FW23" i="68"/>
  <c r="FV23" i="68"/>
  <c r="FT23" i="68"/>
  <c r="FS23" i="68"/>
  <c r="FQ23" i="68"/>
  <c r="FO23" i="68"/>
  <c r="FN23" i="68"/>
  <c r="FM23" i="68"/>
  <c r="FK23" i="68"/>
  <c r="FI23" i="68"/>
  <c r="GC22" i="68"/>
  <c r="GB22" i="68"/>
  <c r="GA22" i="68"/>
  <c r="FZ22" i="68"/>
  <c r="FY22" i="68"/>
  <c r="FX22" i="68"/>
  <c r="FW22" i="68"/>
  <c r="FV22" i="68"/>
  <c r="FT22" i="68"/>
  <c r="FS22" i="68"/>
  <c r="FQ22" i="68"/>
  <c r="FO22" i="68"/>
  <c r="FN22" i="68"/>
  <c r="FM22" i="68"/>
  <c r="FK22" i="68"/>
  <c r="FI22" i="68"/>
  <c r="GC21" i="68"/>
  <c r="GB21" i="68"/>
  <c r="GA21" i="68"/>
  <c r="FZ21" i="68"/>
  <c r="FY21" i="68"/>
  <c r="FX21" i="68"/>
  <c r="FW21" i="68"/>
  <c r="FV21" i="68"/>
  <c r="FT21" i="68"/>
  <c r="FS21" i="68"/>
  <c r="FQ21" i="68"/>
  <c r="FO21" i="68"/>
  <c r="FN21" i="68"/>
  <c r="FM21" i="68"/>
  <c r="FK21" i="68"/>
  <c r="FI21" i="68"/>
  <c r="GC20" i="68"/>
  <c r="GB20" i="68"/>
  <c r="GA20" i="68"/>
  <c r="FZ20" i="68"/>
  <c r="FY20" i="68"/>
  <c r="FX20" i="68"/>
  <c r="FW20" i="68"/>
  <c r="FV20" i="68"/>
  <c r="FT20" i="68"/>
  <c r="FS20" i="68"/>
  <c r="FQ20" i="68"/>
  <c r="FO20" i="68"/>
  <c r="FN20" i="68"/>
  <c r="FM20" i="68"/>
  <c r="FK20" i="68"/>
  <c r="FI20" i="68"/>
  <c r="GC19" i="68"/>
  <c r="GB19" i="68"/>
  <c r="GA19" i="68"/>
  <c r="FZ19" i="68"/>
  <c r="FY19" i="68"/>
  <c r="FX19" i="68"/>
  <c r="FW19" i="68"/>
  <c r="FV19" i="68"/>
  <c r="FT19" i="68"/>
  <c r="FS19" i="68"/>
  <c r="FQ19" i="68"/>
  <c r="FO19" i="68"/>
  <c r="FN19" i="68"/>
  <c r="FM19" i="68"/>
  <c r="FK19" i="68"/>
  <c r="FI19" i="68"/>
  <c r="GC18" i="68"/>
  <c r="GB18" i="68"/>
  <c r="GA18" i="68"/>
  <c r="FZ18" i="68"/>
  <c r="FY18" i="68"/>
  <c r="FX18" i="68"/>
  <c r="FW18" i="68"/>
  <c r="FV18" i="68"/>
  <c r="FT18" i="68"/>
  <c r="FS18" i="68"/>
  <c r="FQ18" i="68"/>
  <c r="FO18" i="68"/>
  <c r="FN18" i="68"/>
  <c r="FM18" i="68"/>
  <c r="FK18" i="68"/>
  <c r="FI18" i="68"/>
  <c r="GC17" i="68"/>
  <c r="GB17" i="68"/>
  <c r="GA17" i="68"/>
  <c r="FZ17" i="68"/>
  <c r="FY17" i="68"/>
  <c r="FX17" i="68"/>
  <c r="FW17" i="68"/>
  <c r="FV17" i="68"/>
  <c r="FT17" i="68"/>
  <c r="FS17" i="68"/>
  <c r="FQ17" i="68"/>
  <c r="FO17" i="68"/>
  <c r="FN17" i="68"/>
  <c r="FM17" i="68"/>
  <c r="FK17" i="68"/>
  <c r="FI17" i="68"/>
  <c r="GC16" i="68"/>
  <c r="GB16" i="68"/>
  <c r="GA16" i="68"/>
  <c r="FZ16" i="68"/>
  <c r="FY16" i="68"/>
  <c r="FX16" i="68"/>
  <c r="FW16" i="68"/>
  <c r="FV16" i="68"/>
  <c r="FT16" i="68"/>
  <c r="FS16" i="68"/>
  <c r="FQ16" i="68"/>
  <c r="FO16" i="68"/>
  <c r="FN16" i="68"/>
  <c r="FM16" i="68"/>
  <c r="FK16" i="68"/>
  <c r="FI16" i="68"/>
  <c r="GC15" i="68"/>
  <c r="GB15" i="68"/>
  <c r="GA15" i="68"/>
  <c r="FZ15" i="68"/>
  <c r="FY15" i="68"/>
  <c r="FX15" i="68"/>
  <c r="FW15" i="68"/>
  <c r="FV15" i="68"/>
  <c r="FT15" i="68"/>
  <c r="FS15" i="68"/>
  <c r="FQ15" i="68"/>
  <c r="FO15" i="68"/>
  <c r="FN15" i="68"/>
  <c r="FM15" i="68"/>
  <c r="FK15" i="68"/>
  <c r="FI15" i="68"/>
  <c r="GC14" i="68"/>
  <c r="GB14" i="68"/>
  <c r="GA14" i="68"/>
  <c r="FZ14" i="68"/>
  <c r="FY14" i="68"/>
  <c r="FX14" i="68"/>
  <c r="FW14" i="68"/>
  <c r="FV14" i="68"/>
  <c r="FT14" i="68"/>
  <c r="FS14" i="68"/>
  <c r="FQ14" i="68"/>
  <c r="FO14" i="68"/>
  <c r="FN14" i="68"/>
  <c r="FM14" i="68"/>
  <c r="FK14" i="68"/>
  <c r="FI14" i="68"/>
  <c r="GC13" i="68"/>
  <c r="GB13" i="68"/>
  <c r="GA13" i="68"/>
  <c r="FZ13" i="68"/>
  <c r="FY13" i="68"/>
  <c r="FX13" i="68"/>
  <c r="FW13" i="68"/>
  <c r="FV13" i="68"/>
  <c r="FT13" i="68"/>
  <c r="FS13" i="68"/>
  <c r="FQ13" i="68"/>
  <c r="FO13" i="68"/>
  <c r="FN13" i="68"/>
  <c r="FM13" i="68"/>
  <c r="FK13" i="68"/>
  <c r="FI13" i="68"/>
  <c r="GC12" i="68"/>
  <c r="GB12" i="68"/>
  <c r="GA12" i="68"/>
  <c r="FZ12" i="68"/>
  <c r="FY12" i="68"/>
  <c r="FX12" i="68"/>
  <c r="FW12" i="68"/>
  <c r="FV12" i="68"/>
  <c r="FT12" i="68"/>
  <c r="FS12" i="68"/>
  <c r="FQ12" i="68"/>
  <c r="FO12" i="68"/>
  <c r="FN12" i="68"/>
  <c r="FM12" i="68"/>
  <c r="FK12" i="68"/>
  <c r="FI12" i="68"/>
  <c r="GC11" i="68"/>
  <c r="GB11" i="68"/>
  <c r="GA11" i="68"/>
  <c r="FZ11" i="68"/>
  <c r="FY11" i="68"/>
  <c r="FX11" i="68"/>
  <c r="FW11" i="68"/>
  <c r="FV11" i="68"/>
  <c r="FT11" i="68"/>
  <c r="FS11" i="68"/>
  <c r="FQ11" i="68"/>
  <c r="FO11" i="68"/>
  <c r="FN11" i="68"/>
  <c r="FM11" i="68"/>
  <c r="FK11" i="68"/>
  <c r="FI11" i="68"/>
  <c r="GC10" i="68"/>
  <c r="GB10" i="68"/>
  <c r="GA10" i="68"/>
  <c r="FZ10" i="68"/>
  <c r="FY10" i="68"/>
  <c r="FX10" i="68"/>
  <c r="FW10" i="68"/>
  <c r="FV10" i="68"/>
  <c r="FT10" i="68"/>
  <c r="FS10" i="68"/>
  <c r="FQ10" i="68"/>
  <c r="FO10" i="68"/>
  <c r="FN10" i="68"/>
  <c r="FM10" i="68"/>
  <c r="FK10" i="68"/>
  <c r="FI10" i="68"/>
  <c r="GC9" i="68"/>
  <c r="GB9" i="68"/>
  <c r="GA9" i="68"/>
  <c r="FZ9" i="68"/>
  <c r="FY9" i="68"/>
  <c r="FX9" i="68"/>
  <c r="FW9" i="68"/>
  <c r="FV9" i="68"/>
  <c r="FT9" i="68"/>
  <c r="FS9" i="68"/>
  <c r="FQ9" i="68"/>
  <c r="FO9" i="68"/>
  <c r="FN9" i="68"/>
  <c r="FM9" i="68"/>
  <c r="FL9" i="68"/>
  <c r="FK9" i="68"/>
  <c r="FJ9" i="68"/>
  <c r="FI9" i="68"/>
  <c r="DV7" i="68"/>
  <c r="DT7" i="68"/>
  <c r="V104" i="63"/>
  <c r="R104" i="63"/>
  <c r="V103" i="63"/>
  <c r="R103" i="63"/>
  <c r="V102" i="63"/>
  <c r="R102" i="63"/>
  <c r="V101" i="63"/>
  <c r="R101" i="63"/>
  <c r="V100" i="63"/>
  <c r="R100" i="63"/>
  <c r="V99" i="63"/>
  <c r="R99" i="63"/>
  <c r="V98" i="63"/>
  <c r="R98" i="63"/>
  <c r="V97" i="63"/>
  <c r="R97" i="63"/>
  <c r="V96" i="63"/>
  <c r="R96" i="63"/>
  <c r="V95" i="63"/>
  <c r="R95" i="63"/>
  <c r="V94" i="63"/>
  <c r="R94" i="63"/>
  <c r="V93" i="63"/>
  <c r="R93" i="63"/>
  <c r="V92" i="63"/>
  <c r="R92" i="63"/>
  <c r="V91" i="63"/>
  <c r="R91" i="63"/>
  <c r="V90" i="63"/>
  <c r="R90" i="63"/>
  <c r="V89" i="63"/>
  <c r="R89" i="63"/>
  <c r="V88" i="63"/>
  <c r="R88" i="63"/>
  <c r="V87" i="63"/>
  <c r="R87" i="63"/>
  <c r="V86" i="63"/>
  <c r="R86" i="63"/>
  <c r="V85" i="63"/>
  <c r="R85" i="63"/>
  <c r="V84" i="63"/>
  <c r="R84" i="63"/>
  <c r="V83" i="63"/>
  <c r="R83" i="63"/>
  <c r="V82" i="63"/>
  <c r="R82" i="63"/>
  <c r="V81" i="63"/>
  <c r="R81" i="63"/>
  <c r="V80" i="63"/>
  <c r="R80" i="63"/>
  <c r="V79" i="63"/>
  <c r="R79" i="63"/>
  <c r="V78" i="63"/>
  <c r="R78" i="63"/>
  <c r="V77" i="63"/>
  <c r="R77" i="63"/>
  <c r="V76" i="63"/>
  <c r="R76" i="63"/>
  <c r="V75" i="63"/>
  <c r="R75" i="63"/>
  <c r="V74" i="63"/>
  <c r="R74" i="63"/>
  <c r="B17" i="41"/>
  <c r="V41" i="41"/>
  <c r="R75" i="41"/>
  <c r="V76" i="41"/>
  <c r="R76" i="41"/>
  <c r="X41" i="41"/>
  <c r="V75" i="41"/>
  <c r="R106" i="71" l="1"/>
  <c r="V106" i="67"/>
  <c r="FX40" i="68"/>
  <c r="FI40" i="68"/>
  <c r="FQ40" i="68"/>
  <c r="FY40" i="68"/>
  <c r="FZ40" i="68"/>
  <c r="FK40" i="68"/>
  <c r="GB40" i="68"/>
  <c r="EO40" i="68"/>
  <c r="FV40" i="68"/>
  <c r="ED40" i="68"/>
  <c r="EE40" i="68"/>
  <c r="DV40" i="68"/>
  <c r="R106" i="73"/>
  <c r="DP40" i="68"/>
  <c r="R106" i="66"/>
  <c r="R105" i="65"/>
  <c r="V105" i="65"/>
  <c r="V106" i="66"/>
  <c r="R106" i="67"/>
  <c r="EK40" i="68"/>
  <c r="EC40" i="68"/>
  <c r="R105" i="70"/>
  <c r="R105" i="72"/>
  <c r="V105" i="72"/>
  <c r="V106" i="71"/>
  <c r="V105" i="70"/>
  <c r="R106" i="69"/>
  <c r="V106" i="69"/>
  <c r="DR40" i="68"/>
  <c r="EI40" i="68"/>
  <c r="ER40" i="68"/>
  <c r="DS40" i="68"/>
  <c r="FS40" i="68"/>
  <c r="EG40" i="68"/>
  <c r="EH40" i="68"/>
  <c r="EQ40" i="68"/>
  <c r="EM40" i="68"/>
  <c r="GA40" i="68"/>
  <c r="FM40" i="68"/>
  <c r="V104" i="68"/>
  <c r="EN40" i="68"/>
  <c r="DO40" i="68"/>
  <c r="FU40" i="68"/>
  <c r="GC40" i="68"/>
  <c r="DT40" i="68"/>
  <c r="FT40" i="68"/>
  <c r="R104" i="68" s="1"/>
  <c r="R106" i="64"/>
  <c r="V106" i="64"/>
  <c r="FO40" i="68"/>
  <c r="FW40" i="68"/>
  <c r="EP40" i="68"/>
  <c r="FN40" i="68"/>
  <c r="V106" i="73"/>
  <c r="V105" i="63"/>
  <c r="R105" i="63"/>
  <c r="V77" i="41"/>
  <c r="V78" i="41"/>
  <c r="V79" i="41"/>
  <c r="V80"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R105" i="41"/>
  <c r="R77" i="41"/>
  <c r="R78" i="41"/>
  <c r="R79" i="41"/>
  <c r="R80" i="41"/>
  <c r="R81" i="41"/>
  <c r="R82" i="41"/>
  <c r="R83" i="41"/>
  <c r="R84" i="41"/>
  <c r="R85" i="41"/>
  <c r="R86" i="41"/>
  <c r="R87" i="41"/>
  <c r="R88" i="41"/>
  <c r="R89" i="41"/>
  <c r="R90" i="41"/>
  <c r="R91" i="41"/>
  <c r="R92" i="41"/>
  <c r="R93" i="41"/>
  <c r="R94" i="41"/>
  <c r="R95" i="41"/>
  <c r="R96" i="41"/>
  <c r="R97" i="41"/>
  <c r="R98" i="41"/>
  <c r="R99" i="41"/>
  <c r="R100" i="41"/>
  <c r="R101" i="41"/>
  <c r="R102" i="41"/>
  <c r="R103" i="41"/>
  <c r="R104" i="41"/>
  <c r="I46" i="68" l="1"/>
  <c r="Q66" i="68"/>
  <c r="V106" i="41"/>
  <c r="R106" i="41"/>
  <c r="I51" i="41" s="1"/>
  <c r="P67" i="68"/>
  <c r="V42" i="72"/>
  <c r="V44" i="71" l="1"/>
  <c r="V42" i="70"/>
  <c r="V44" i="67"/>
  <c r="V44" i="66"/>
  <c r="V42" i="65"/>
  <c r="V43" i="63"/>
  <c r="V44" i="64"/>
  <c r="V43" i="71"/>
  <c r="V43" i="67"/>
  <c r="V43" i="65"/>
  <c r="V43" i="72"/>
  <c r="V43" i="70"/>
  <c r="V43" i="66"/>
  <c r="V44" i="69"/>
  <c r="V42" i="63"/>
  <c r="V45" i="41" l="1"/>
  <c r="CL39" i="66" l="1"/>
  <c r="CL10" i="66"/>
  <c r="CL11" i="66"/>
  <c r="CL12" i="66"/>
  <c r="CL13" i="66"/>
  <c r="CL14" i="66"/>
  <c r="CL15" i="66"/>
  <c r="CL16" i="66"/>
  <c r="CL17" i="66"/>
  <c r="CL18" i="66"/>
  <c r="CL19" i="66"/>
  <c r="CL20" i="66"/>
  <c r="CL21" i="66"/>
  <c r="CL22" i="66"/>
  <c r="CL23" i="66"/>
  <c r="CL24" i="66"/>
  <c r="CL25" i="66"/>
  <c r="CL26" i="66"/>
  <c r="CL27" i="66"/>
  <c r="CL28" i="66"/>
  <c r="CL29" i="66"/>
  <c r="CL30" i="66"/>
  <c r="CL31" i="66"/>
  <c r="CL32" i="66"/>
  <c r="CL33" i="66"/>
  <c r="CL34" i="66"/>
  <c r="CL35" i="66"/>
  <c r="CL36" i="66"/>
  <c r="CL37" i="66"/>
  <c r="CL38" i="66"/>
  <c r="CL9" i="66"/>
  <c r="CL10" i="73"/>
  <c r="CL11" i="73"/>
  <c r="CL12" i="73"/>
  <c r="CL13" i="73"/>
  <c r="CL14" i="73"/>
  <c r="CL15" i="73"/>
  <c r="CL16" i="73"/>
  <c r="CL17" i="73"/>
  <c r="CL18" i="73"/>
  <c r="CL19" i="73"/>
  <c r="CL20" i="73"/>
  <c r="CL21" i="73"/>
  <c r="CL22" i="73"/>
  <c r="CL23" i="73"/>
  <c r="CL24" i="73"/>
  <c r="CL25" i="73"/>
  <c r="CL26" i="73"/>
  <c r="CL27" i="73"/>
  <c r="CL28" i="73"/>
  <c r="CL29" i="73"/>
  <c r="CL30" i="73"/>
  <c r="CL31" i="73"/>
  <c r="CL32" i="73"/>
  <c r="CL33" i="73"/>
  <c r="CL34" i="73"/>
  <c r="CL35" i="73"/>
  <c r="CL36" i="73"/>
  <c r="CL37" i="73"/>
  <c r="CL38" i="73"/>
  <c r="CL39" i="73"/>
  <c r="CL9" i="73"/>
  <c r="CL10" i="72"/>
  <c r="CL11" i="72"/>
  <c r="CL12" i="72"/>
  <c r="CL13" i="72"/>
  <c r="CL14" i="72"/>
  <c r="CL15" i="72"/>
  <c r="CL16" i="72"/>
  <c r="CL17" i="72"/>
  <c r="CL18" i="72"/>
  <c r="CL19" i="72"/>
  <c r="CL21" i="72"/>
  <c r="CL22" i="72"/>
  <c r="CL23" i="72"/>
  <c r="CL24" i="72"/>
  <c r="CL25" i="72"/>
  <c r="CL26" i="72"/>
  <c r="CL28" i="72"/>
  <c r="CL29" i="72"/>
  <c r="CL30" i="72"/>
  <c r="CL31" i="72"/>
  <c r="CL32" i="72"/>
  <c r="CL33" i="72"/>
  <c r="CL35" i="72"/>
  <c r="CL36" i="72"/>
  <c r="CL37" i="72"/>
  <c r="CL38" i="72"/>
  <c r="CL9" i="72"/>
  <c r="CL10" i="71"/>
  <c r="CL11" i="71"/>
  <c r="CL12" i="71"/>
  <c r="CL13" i="71"/>
  <c r="CL14" i="71"/>
  <c r="CL15" i="71"/>
  <c r="CL17" i="71"/>
  <c r="CL18" i="71"/>
  <c r="CL19" i="71"/>
  <c r="CL20" i="71"/>
  <c r="CL21" i="71"/>
  <c r="CL22" i="71"/>
  <c r="CL23" i="71"/>
  <c r="CL24" i="71"/>
  <c r="CL25" i="71"/>
  <c r="CL26" i="71"/>
  <c r="CL27" i="71"/>
  <c r="CL28" i="71"/>
  <c r="CL29" i="71"/>
  <c r="CL31" i="71"/>
  <c r="CL32" i="71"/>
  <c r="CL33" i="71"/>
  <c r="CL34" i="71"/>
  <c r="CL35" i="71"/>
  <c r="CL36" i="71"/>
  <c r="CL37" i="71"/>
  <c r="CL38" i="71"/>
  <c r="CL39" i="71"/>
  <c r="CL10" i="70"/>
  <c r="CL12" i="70"/>
  <c r="CL13" i="70"/>
  <c r="CL14" i="70"/>
  <c r="CL15" i="70"/>
  <c r="CL16" i="70"/>
  <c r="CL17" i="70"/>
  <c r="CL19" i="70"/>
  <c r="CL20" i="70"/>
  <c r="CL21" i="70"/>
  <c r="CL22" i="70"/>
  <c r="CL23" i="70"/>
  <c r="CL24" i="70"/>
  <c r="CL25" i="70"/>
  <c r="CL26" i="70"/>
  <c r="CL27" i="70"/>
  <c r="CL28" i="70"/>
  <c r="CL29" i="70"/>
  <c r="CL30" i="70"/>
  <c r="CL31" i="70"/>
  <c r="CL33" i="70"/>
  <c r="CL34" i="70"/>
  <c r="CL35" i="70"/>
  <c r="CL36" i="70"/>
  <c r="CL37" i="70"/>
  <c r="CL38" i="70"/>
  <c r="CL9" i="70"/>
  <c r="CL10" i="69"/>
  <c r="CL11" i="69"/>
  <c r="CL12" i="69"/>
  <c r="CL13" i="69"/>
  <c r="CL15" i="69"/>
  <c r="CL16" i="69"/>
  <c r="CL17" i="69"/>
  <c r="CL18" i="69"/>
  <c r="CL19" i="69"/>
  <c r="CL20" i="69"/>
  <c r="CL22" i="69"/>
  <c r="CL23" i="69"/>
  <c r="CL24" i="69"/>
  <c r="CL25" i="69"/>
  <c r="CL26" i="69"/>
  <c r="CL27" i="69"/>
  <c r="CL28" i="69"/>
  <c r="CL29" i="69"/>
  <c r="CL30" i="69"/>
  <c r="CL31" i="69"/>
  <c r="CL32" i="69"/>
  <c r="CL33" i="69"/>
  <c r="CL34" i="69"/>
  <c r="CL36" i="69"/>
  <c r="CL37" i="69"/>
  <c r="CL38" i="69"/>
  <c r="CL9" i="69"/>
  <c r="CL39" i="69"/>
  <c r="CL37" i="68"/>
  <c r="CL10" i="67"/>
  <c r="CL11" i="67"/>
  <c r="CL12" i="67"/>
  <c r="CL13" i="67"/>
  <c r="CL14" i="67"/>
  <c r="CL15" i="67"/>
  <c r="CL16" i="67"/>
  <c r="CL18" i="67"/>
  <c r="CL19" i="67"/>
  <c r="CL20" i="67"/>
  <c r="CL21" i="67"/>
  <c r="CL22" i="67"/>
  <c r="CL23" i="67"/>
  <c r="CL25" i="67"/>
  <c r="CL26" i="67"/>
  <c r="CL27" i="67"/>
  <c r="CL28" i="67"/>
  <c r="CL29" i="67"/>
  <c r="CL30" i="67"/>
  <c r="CL32" i="67"/>
  <c r="CL33" i="67"/>
  <c r="CL34" i="67"/>
  <c r="CL35" i="67"/>
  <c r="CL36" i="67"/>
  <c r="CL37" i="67"/>
  <c r="CL39" i="67"/>
  <c r="CL9" i="67"/>
  <c r="CL10" i="65"/>
  <c r="CL11" i="65"/>
  <c r="CL12" i="65"/>
  <c r="CL13" i="65"/>
  <c r="CL14" i="65"/>
  <c r="CL15" i="65"/>
  <c r="CL16" i="65"/>
  <c r="CL17" i="65"/>
  <c r="CL18" i="65"/>
  <c r="CL19" i="65"/>
  <c r="CL20" i="65"/>
  <c r="CL21" i="65"/>
  <c r="CL22" i="65"/>
  <c r="CL23" i="65"/>
  <c r="CL24" i="65"/>
  <c r="CL25" i="65"/>
  <c r="CL26" i="65"/>
  <c r="CL27" i="65"/>
  <c r="CL28" i="65"/>
  <c r="CL29" i="65"/>
  <c r="CL30" i="65"/>
  <c r="CL31" i="65"/>
  <c r="CL32" i="65"/>
  <c r="CL33" i="65"/>
  <c r="CL34" i="65"/>
  <c r="CL35" i="65"/>
  <c r="CL36" i="65"/>
  <c r="CL37" i="65"/>
  <c r="CL38" i="65"/>
  <c r="CL9" i="65"/>
  <c r="CL10" i="64"/>
  <c r="CL11" i="64"/>
  <c r="CL12" i="64"/>
  <c r="CL13" i="64"/>
  <c r="CL14" i="64"/>
  <c r="CL15" i="64"/>
  <c r="CL16" i="64"/>
  <c r="CL17" i="64"/>
  <c r="CL18" i="64"/>
  <c r="CL19" i="64"/>
  <c r="CL20" i="64"/>
  <c r="CL21" i="64"/>
  <c r="CL22" i="64"/>
  <c r="CL23" i="64"/>
  <c r="CL24" i="64"/>
  <c r="CL25" i="64"/>
  <c r="CL26" i="64"/>
  <c r="CL27" i="64"/>
  <c r="CL28" i="64"/>
  <c r="CL29" i="64"/>
  <c r="CL30" i="64"/>
  <c r="CL31" i="64"/>
  <c r="CL33" i="64"/>
  <c r="CL34" i="64"/>
  <c r="CL35" i="64"/>
  <c r="CL36" i="64"/>
  <c r="CL9" i="64"/>
  <c r="CL10" i="63"/>
  <c r="CL11" i="63"/>
  <c r="CL12" i="63"/>
  <c r="CL13" i="63"/>
  <c r="CL14" i="63"/>
  <c r="CL15" i="63"/>
  <c r="CL16" i="63"/>
  <c r="CL17" i="63"/>
  <c r="CL18" i="63"/>
  <c r="CL19" i="63"/>
  <c r="CL20" i="63"/>
  <c r="CL21" i="63"/>
  <c r="CL22" i="63"/>
  <c r="CL23" i="63"/>
  <c r="CL24" i="63"/>
  <c r="CL25" i="63"/>
  <c r="CL26" i="63"/>
  <c r="CL27" i="63"/>
  <c r="CL28" i="63"/>
  <c r="CL29" i="63"/>
  <c r="CL30" i="63"/>
  <c r="CL31" i="63"/>
  <c r="CL32" i="63"/>
  <c r="CL33" i="63"/>
  <c r="CL34" i="63"/>
  <c r="CL35" i="63"/>
  <c r="CL36" i="63"/>
  <c r="CL37" i="63"/>
  <c r="CL38" i="63"/>
  <c r="CL9" i="63"/>
  <c r="CL11" i="41"/>
  <c r="CL12" i="41"/>
  <c r="CL13" i="41"/>
  <c r="CL14" i="41"/>
  <c r="CL15" i="41"/>
  <c r="CL16" i="41"/>
  <c r="CL17" i="41"/>
  <c r="CL18" i="41"/>
  <c r="CL19" i="41"/>
  <c r="CL20" i="41"/>
  <c r="CL21" i="41"/>
  <c r="CL22" i="41"/>
  <c r="CL23" i="41"/>
  <c r="CL25" i="41"/>
  <c r="CL26" i="41"/>
  <c r="CL27" i="41"/>
  <c r="CL28" i="41"/>
  <c r="CL29" i="41"/>
  <c r="CL30" i="41"/>
  <c r="CL32" i="41"/>
  <c r="CL33" i="41"/>
  <c r="CL34" i="41"/>
  <c r="CL35" i="41"/>
  <c r="CL36" i="41"/>
  <c r="CL37" i="41"/>
  <c r="CL39" i="41"/>
  <c r="CL40" i="41"/>
  <c r="CL10" i="41"/>
  <c r="AG30" i="43"/>
  <c r="S31" i="43"/>
  <c r="M31" i="43"/>
  <c r="K31" i="43"/>
  <c r="I31" i="43"/>
  <c r="G31" i="43"/>
  <c r="E31" i="43"/>
  <c r="G70" i="1" l="1"/>
  <c r="F70" i="1"/>
  <c r="G97" i="1"/>
  <c r="F97" i="1"/>
  <c r="G88" i="1"/>
  <c r="F88" i="1"/>
  <c r="G79" i="1"/>
  <c r="F79" i="1"/>
  <c r="CD39" i="73"/>
  <c r="CE39" i="73"/>
  <c r="CF39" i="73"/>
  <c r="CG39" i="73"/>
  <c r="CH39" i="73"/>
  <c r="CI39" i="73"/>
  <c r="CJ39" i="73"/>
  <c r="CK39" i="73"/>
  <c r="CM39" i="73"/>
  <c r="CN39" i="73"/>
  <c r="CO39" i="73"/>
  <c r="CP39" i="73"/>
  <c r="CQ39" i="73"/>
  <c r="CR39" i="73"/>
  <c r="CS39" i="73"/>
  <c r="CT39" i="73"/>
  <c r="CU39" i="73"/>
  <c r="CV39" i="73"/>
  <c r="CW39" i="73"/>
  <c r="CD10" i="73"/>
  <c r="CE10" i="73"/>
  <c r="CF10" i="73"/>
  <c r="CG10" i="73"/>
  <c r="CH10" i="73"/>
  <c r="CI10" i="73"/>
  <c r="CJ10" i="73"/>
  <c r="CK10" i="73"/>
  <c r="CM10" i="73"/>
  <c r="CN10" i="73"/>
  <c r="CO10" i="73"/>
  <c r="CP10" i="73"/>
  <c r="CQ10" i="73"/>
  <c r="CR10" i="73"/>
  <c r="CS10" i="73"/>
  <c r="CT10" i="73"/>
  <c r="CU10" i="73"/>
  <c r="CV10" i="73"/>
  <c r="CW10" i="73"/>
  <c r="CD11" i="73"/>
  <c r="CE11" i="73"/>
  <c r="CF11" i="73"/>
  <c r="CG11" i="73"/>
  <c r="CH11" i="73"/>
  <c r="CI11" i="73"/>
  <c r="CJ11" i="73"/>
  <c r="CK11" i="73"/>
  <c r="CM11" i="73"/>
  <c r="CN11" i="73"/>
  <c r="CO11" i="73"/>
  <c r="CP11" i="73"/>
  <c r="CQ11" i="73"/>
  <c r="CR11" i="73"/>
  <c r="CS11" i="73"/>
  <c r="CT11" i="73"/>
  <c r="CU11" i="73"/>
  <c r="CV11" i="73"/>
  <c r="CW11" i="73"/>
  <c r="CD12" i="73"/>
  <c r="CE12" i="73"/>
  <c r="CF12" i="73"/>
  <c r="CG12" i="73"/>
  <c r="CH12" i="73"/>
  <c r="CI12" i="73"/>
  <c r="CJ12" i="73"/>
  <c r="CK12" i="73"/>
  <c r="CM12" i="73"/>
  <c r="CN12" i="73"/>
  <c r="CO12" i="73"/>
  <c r="CP12" i="73"/>
  <c r="CQ12" i="73"/>
  <c r="CR12" i="73"/>
  <c r="CS12" i="73"/>
  <c r="CT12" i="73"/>
  <c r="CU12" i="73"/>
  <c r="CV12" i="73"/>
  <c r="CW12" i="73"/>
  <c r="CD13" i="73"/>
  <c r="CE13" i="73"/>
  <c r="CF13" i="73"/>
  <c r="CG13" i="73"/>
  <c r="CH13" i="73"/>
  <c r="CI13" i="73"/>
  <c r="CJ13" i="73"/>
  <c r="CK13" i="73"/>
  <c r="CM13" i="73"/>
  <c r="CN13" i="73"/>
  <c r="CO13" i="73"/>
  <c r="CP13" i="73"/>
  <c r="CQ13" i="73"/>
  <c r="CR13" i="73"/>
  <c r="CS13" i="73"/>
  <c r="CT13" i="73"/>
  <c r="CU13" i="73"/>
  <c r="CV13" i="73"/>
  <c r="CW13" i="73"/>
  <c r="CD14" i="73"/>
  <c r="CE14" i="73"/>
  <c r="CF14" i="73"/>
  <c r="CG14" i="73"/>
  <c r="CH14" i="73"/>
  <c r="CI14" i="73"/>
  <c r="CJ14" i="73"/>
  <c r="CK14" i="73"/>
  <c r="CM14" i="73"/>
  <c r="CN14" i="73"/>
  <c r="CO14" i="73"/>
  <c r="CP14" i="73"/>
  <c r="CQ14" i="73"/>
  <c r="CR14" i="73"/>
  <c r="CS14" i="73"/>
  <c r="CT14" i="73"/>
  <c r="CU14" i="73"/>
  <c r="CV14" i="73"/>
  <c r="CW14" i="73"/>
  <c r="CD15" i="73"/>
  <c r="CE15" i="73"/>
  <c r="CF15" i="73"/>
  <c r="CG15" i="73"/>
  <c r="CH15" i="73"/>
  <c r="CI15" i="73"/>
  <c r="CJ15" i="73"/>
  <c r="CK15" i="73"/>
  <c r="CM15" i="73"/>
  <c r="CN15" i="73"/>
  <c r="CO15" i="73"/>
  <c r="CP15" i="73"/>
  <c r="CQ15" i="73"/>
  <c r="CR15" i="73"/>
  <c r="CS15" i="73"/>
  <c r="CT15" i="73"/>
  <c r="CU15" i="73"/>
  <c r="CV15" i="73"/>
  <c r="CW15" i="73"/>
  <c r="CD16" i="73"/>
  <c r="CE16" i="73"/>
  <c r="CF16" i="73"/>
  <c r="CG16" i="73"/>
  <c r="CH16" i="73"/>
  <c r="CI16" i="73"/>
  <c r="CJ16" i="73"/>
  <c r="CK16" i="73"/>
  <c r="CM16" i="73"/>
  <c r="CN16" i="73"/>
  <c r="CO16" i="73"/>
  <c r="CP16" i="73"/>
  <c r="CQ16" i="73"/>
  <c r="CR16" i="73"/>
  <c r="CS16" i="73"/>
  <c r="CT16" i="73"/>
  <c r="CU16" i="73"/>
  <c r="CV16" i="73"/>
  <c r="CW16" i="73"/>
  <c r="CD17" i="73"/>
  <c r="CE17" i="73"/>
  <c r="CF17" i="73"/>
  <c r="CG17" i="73"/>
  <c r="CH17" i="73"/>
  <c r="CI17" i="73"/>
  <c r="CJ17" i="73"/>
  <c r="CK17" i="73"/>
  <c r="CM17" i="73"/>
  <c r="CN17" i="73"/>
  <c r="CO17" i="73"/>
  <c r="CP17" i="73"/>
  <c r="CQ17" i="73"/>
  <c r="CR17" i="73"/>
  <c r="CS17" i="73"/>
  <c r="CT17" i="73"/>
  <c r="CU17" i="73"/>
  <c r="CV17" i="73"/>
  <c r="CW17" i="73"/>
  <c r="CD18" i="73"/>
  <c r="CE18" i="73"/>
  <c r="CF18" i="73"/>
  <c r="CG18" i="73"/>
  <c r="CH18" i="73"/>
  <c r="CI18" i="73"/>
  <c r="CJ18" i="73"/>
  <c r="CK18" i="73"/>
  <c r="CM18" i="73"/>
  <c r="CN18" i="73"/>
  <c r="CO18" i="73"/>
  <c r="CP18" i="73"/>
  <c r="CQ18" i="73"/>
  <c r="CR18" i="73"/>
  <c r="CS18" i="73"/>
  <c r="CT18" i="73"/>
  <c r="CU18" i="73"/>
  <c r="CV18" i="73"/>
  <c r="CW18" i="73"/>
  <c r="CD19" i="73"/>
  <c r="CE19" i="73"/>
  <c r="CF19" i="73"/>
  <c r="CG19" i="73"/>
  <c r="CH19" i="73"/>
  <c r="CI19" i="73"/>
  <c r="CJ19" i="73"/>
  <c r="CK19" i="73"/>
  <c r="CM19" i="73"/>
  <c r="CN19" i="73"/>
  <c r="CO19" i="73"/>
  <c r="CP19" i="73"/>
  <c r="CQ19" i="73"/>
  <c r="CR19" i="73"/>
  <c r="CS19" i="73"/>
  <c r="CT19" i="73"/>
  <c r="CU19" i="73"/>
  <c r="CV19" i="73"/>
  <c r="CW19" i="73"/>
  <c r="CD20" i="73"/>
  <c r="CE20" i="73"/>
  <c r="CF20" i="73"/>
  <c r="CG20" i="73"/>
  <c r="CH20" i="73"/>
  <c r="CI20" i="73"/>
  <c r="CJ20" i="73"/>
  <c r="CK20" i="73"/>
  <c r="CM20" i="73"/>
  <c r="CN20" i="73"/>
  <c r="CO20" i="73"/>
  <c r="CP20" i="73"/>
  <c r="CQ20" i="73"/>
  <c r="CR20" i="73"/>
  <c r="CS20" i="73"/>
  <c r="CT20" i="73"/>
  <c r="CU20" i="73"/>
  <c r="CV20" i="73"/>
  <c r="CW20" i="73"/>
  <c r="CD21" i="73"/>
  <c r="CE21" i="73"/>
  <c r="CF21" i="73"/>
  <c r="CG21" i="73"/>
  <c r="CH21" i="73"/>
  <c r="CI21" i="73"/>
  <c r="CJ21" i="73"/>
  <c r="CK21" i="73"/>
  <c r="CM21" i="73"/>
  <c r="CN21" i="73"/>
  <c r="CO21" i="73"/>
  <c r="CP21" i="73"/>
  <c r="CQ21" i="73"/>
  <c r="CR21" i="73"/>
  <c r="CS21" i="73"/>
  <c r="CT21" i="73"/>
  <c r="CU21" i="73"/>
  <c r="CV21" i="73"/>
  <c r="CW21" i="73"/>
  <c r="CD22" i="73"/>
  <c r="CE22" i="73"/>
  <c r="CF22" i="73"/>
  <c r="CG22" i="73"/>
  <c r="CH22" i="73"/>
  <c r="CI22" i="73"/>
  <c r="CJ22" i="73"/>
  <c r="CK22" i="73"/>
  <c r="CM22" i="73"/>
  <c r="CN22" i="73"/>
  <c r="CO22" i="73"/>
  <c r="CP22" i="73"/>
  <c r="CQ22" i="73"/>
  <c r="CR22" i="73"/>
  <c r="CS22" i="73"/>
  <c r="CT22" i="73"/>
  <c r="CU22" i="73"/>
  <c r="CV22" i="73"/>
  <c r="CW22" i="73"/>
  <c r="CD23" i="73"/>
  <c r="CE23" i="73"/>
  <c r="CF23" i="73"/>
  <c r="CG23" i="73"/>
  <c r="CH23" i="73"/>
  <c r="CI23" i="73"/>
  <c r="CJ23" i="73"/>
  <c r="CK23" i="73"/>
  <c r="CM23" i="73"/>
  <c r="CN23" i="73"/>
  <c r="CO23" i="73"/>
  <c r="CP23" i="73"/>
  <c r="CQ23" i="73"/>
  <c r="CR23" i="73"/>
  <c r="CS23" i="73"/>
  <c r="CT23" i="73"/>
  <c r="CU23" i="73"/>
  <c r="CV23" i="73"/>
  <c r="CW23" i="73"/>
  <c r="CD24" i="73"/>
  <c r="CE24" i="73"/>
  <c r="CF24" i="73"/>
  <c r="CG24" i="73"/>
  <c r="CH24" i="73"/>
  <c r="CI24" i="73"/>
  <c r="CJ24" i="73"/>
  <c r="CK24" i="73"/>
  <c r="CM24" i="73"/>
  <c r="CN24" i="73"/>
  <c r="CO24" i="73"/>
  <c r="CP24" i="73"/>
  <c r="CQ24" i="73"/>
  <c r="CR24" i="73"/>
  <c r="CS24" i="73"/>
  <c r="CT24" i="73"/>
  <c r="CU24" i="73"/>
  <c r="CV24" i="73"/>
  <c r="CW24" i="73"/>
  <c r="CD25" i="73"/>
  <c r="CE25" i="73"/>
  <c r="CF25" i="73"/>
  <c r="CG25" i="73"/>
  <c r="CH25" i="73"/>
  <c r="CI25" i="73"/>
  <c r="CJ25" i="73"/>
  <c r="CK25" i="73"/>
  <c r="CM25" i="73"/>
  <c r="CN25" i="73"/>
  <c r="CO25" i="73"/>
  <c r="CP25" i="73"/>
  <c r="CQ25" i="73"/>
  <c r="CR25" i="73"/>
  <c r="CS25" i="73"/>
  <c r="CT25" i="73"/>
  <c r="CU25" i="73"/>
  <c r="CV25" i="73"/>
  <c r="CW25" i="73"/>
  <c r="CD26" i="73"/>
  <c r="CE26" i="73"/>
  <c r="CF26" i="73"/>
  <c r="CG26" i="73"/>
  <c r="CH26" i="73"/>
  <c r="CI26" i="73"/>
  <c r="CJ26" i="73"/>
  <c r="CK26" i="73"/>
  <c r="CM26" i="73"/>
  <c r="CN26" i="73"/>
  <c r="CO26" i="73"/>
  <c r="CP26" i="73"/>
  <c r="CQ26" i="73"/>
  <c r="CR26" i="73"/>
  <c r="CS26" i="73"/>
  <c r="CT26" i="73"/>
  <c r="CU26" i="73"/>
  <c r="CV26" i="73"/>
  <c r="CW26" i="73"/>
  <c r="CD27" i="73"/>
  <c r="CE27" i="73"/>
  <c r="CF27" i="73"/>
  <c r="CG27" i="73"/>
  <c r="CH27" i="73"/>
  <c r="CI27" i="73"/>
  <c r="CJ27" i="73"/>
  <c r="CK27" i="73"/>
  <c r="CM27" i="73"/>
  <c r="CN27" i="73"/>
  <c r="CO27" i="73"/>
  <c r="CP27" i="73"/>
  <c r="CQ27" i="73"/>
  <c r="CR27" i="73"/>
  <c r="CS27" i="73"/>
  <c r="CT27" i="73"/>
  <c r="CU27" i="73"/>
  <c r="CV27" i="73"/>
  <c r="CW27" i="73"/>
  <c r="CD28" i="73"/>
  <c r="CE28" i="73"/>
  <c r="CF28" i="73"/>
  <c r="CG28" i="73"/>
  <c r="CH28" i="73"/>
  <c r="CI28" i="73"/>
  <c r="CJ28" i="73"/>
  <c r="CK28" i="73"/>
  <c r="CM28" i="73"/>
  <c r="CN28" i="73"/>
  <c r="CO28" i="73"/>
  <c r="CP28" i="73"/>
  <c r="CQ28" i="73"/>
  <c r="CR28" i="73"/>
  <c r="CS28" i="73"/>
  <c r="CT28" i="73"/>
  <c r="CU28" i="73"/>
  <c r="CV28" i="73"/>
  <c r="CW28" i="73"/>
  <c r="CD29" i="73"/>
  <c r="CE29" i="73"/>
  <c r="CF29" i="73"/>
  <c r="CG29" i="73"/>
  <c r="CH29" i="73"/>
  <c r="CI29" i="73"/>
  <c r="CJ29" i="73"/>
  <c r="CK29" i="73"/>
  <c r="CM29" i="73"/>
  <c r="CN29" i="73"/>
  <c r="CO29" i="73"/>
  <c r="CP29" i="73"/>
  <c r="CQ29" i="73"/>
  <c r="CR29" i="73"/>
  <c r="CS29" i="73"/>
  <c r="CT29" i="73"/>
  <c r="CU29" i="73"/>
  <c r="CV29" i="73"/>
  <c r="CW29" i="73"/>
  <c r="CD30" i="73"/>
  <c r="CE30" i="73"/>
  <c r="CF30" i="73"/>
  <c r="CG30" i="73"/>
  <c r="CH30" i="73"/>
  <c r="CI30" i="73"/>
  <c r="CJ30" i="73"/>
  <c r="CK30" i="73"/>
  <c r="CM30" i="73"/>
  <c r="CN30" i="73"/>
  <c r="CO30" i="73"/>
  <c r="CP30" i="73"/>
  <c r="CQ30" i="73"/>
  <c r="CR30" i="73"/>
  <c r="CS30" i="73"/>
  <c r="CT30" i="73"/>
  <c r="CU30" i="73"/>
  <c r="CV30" i="73"/>
  <c r="CW30" i="73"/>
  <c r="CD31" i="73"/>
  <c r="CE31" i="73"/>
  <c r="CF31" i="73"/>
  <c r="CG31" i="73"/>
  <c r="CH31" i="73"/>
  <c r="CI31" i="73"/>
  <c r="CJ31" i="73"/>
  <c r="CK31" i="73"/>
  <c r="CM31" i="73"/>
  <c r="CN31" i="73"/>
  <c r="CO31" i="73"/>
  <c r="CP31" i="73"/>
  <c r="CQ31" i="73"/>
  <c r="CR31" i="73"/>
  <c r="CS31" i="73"/>
  <c r="CT31" i="73"/>
  <c r="CU31" i="73"/>
  <c r="CV31" i="73"/>
  <c r="CW31" i="73"/>
  <c r="CD32" i="73"/>
  <c r="CE32" i="73"/>
  <c r="CF32" i="73"/>
  <c r="CG32" i="73"/>
  <c r="CH32" i="73"/>
  <c r="CI32" i="73"/>
  <c r="CJ32" i="73"/>
  <c r="CK32" i="73"/>
  <c r="CM32" i="73"/>
  <c r="CN32" i="73"/>
  <c r="CO32" i="73"/>
  <c r="CP32" i="73"/>
  <c r="CQ32" i="73"/>
  <c r="CR32" i="73"/>
  <c r="CS32" i="73"/>
  <c r="CT32" i="73"/>
  <c r="CU32" i="73"/>
  <c r="CV32" i="73"/>
  <c r="CW32" i="73"/>
  <c r="CD33" i="73"/>
  <c r="CE33" i="73"/>
  <c r="CF33" i="73"/>
  <c r="CG33" i="73"/>
  <c r="CH33" i="73"/>
  <c r="CI33" i="73"/>
  <c r="CJ33" i="73"/>
  <c r="CK33" i="73"/>
  <c r="CM33" i="73"/>
  <c r="CN33" i="73"/>
  <c r="CO33" i="73"/>
  <c r="CP33" i="73"/>
  <c r="CQ33" i="73"/>
  <c r="CR33" i="73"/>
  <c r="CS33" i="73"/>
  <c r="CT33" i="73"/>
  <c r="CU33" i="73"/>
  <c r="CV33" i="73"/>
  <c r="CW33" i="73"/>
  <c r="CD34" i="73"/>
  <c r="CE34" i="73"/>
  <c r="CF34" i="73"/>
  <c r="CG34" i="73"/>
  <c r="CH34" i="73"/>
  <c r="CI34" i="73"/>
  <c r="CJ34" i="73"/>
  <c r="CK34" i="73"/>
  <c r="CM34" i="73"/>
  <c r="CN34" i="73"/>
  <c r="CO34" i="73"/>
  <c r="CP34" i="73"/>
  <c r="CQ34" i="73"/>
  <c r="CR34" i="73"/>
  <c r="CS34" i="73"/>
  <c r="CT34" i="73"/>
  <c r="CU34" i="73"/>
  <c r="CV34" i="73"/>
  <c r="CW34" i="73"/>
  <c r="CD35" i="73"/>
  <c r="CE35" i="73"/>
  <c r="CF35" i="73"/>
  <c r="CG35" i="73"/>
  <c r="CH35" i="73"/>
  <c r="CI35" i="73"/>
  <c r="CJ35" i="73"/>
  <c r="CK35" i="73"/>
  <c r="CM35" i="73"/>
  <c r="CN35" i="73"/>
  <c r="CO35" i="73"/>
  <c r="CP35" i="73"/>
  <c r="CQ35" i="73"/>
  <c r="CR35" i="73"/>
  <c r="CS35" i="73"/>
  <c r="CT35" i="73"/>
  <c r="CU35" i="73"/>
  <c r="CV35" i="73"/>
  <c r="CW35" i="73"/>
  <c r="CD36" i="73"/>
  <c r="CE36" i="73"/>
  <c r="CF36" i="73"/>
  <c r="CG36" i="73"/>
  <c r="CH36" i="73"/>
  <c r="CI36" i="73"/>
  <c r="CJ36" i="73"/>
  <c r="CK36" i="73"/>
  <c r="CM36" i="73"/>
  <c r="CN36" i="73"/>
  <c r="CO36" i="73"/>
  <c r="CP36" i="73"/>
  <c r="CQ36" i="73"/>
  <c r="CR36" i="73"/>
  <c r="CS36" i="73"/>
  <c r="CT36" i="73"/>
  <c r="CU36" i="73"/>
  <c r="CV36" i="73"/>
  <c r="CW36" i="73"/>
  <c r="CD37" i="73"/>
  <c r="CE37" i="73"/>
  <c r="CF37" i="73"/>
  <c r="CG37" i="73"/>
  <c r="CH37" i="73"/>
  <c r="CI37" i="73"/>
  <c r="CJ37" i="73"/>
  <c r="CK37" i="73"/>
  <c r="CM37" i="73"/>
  <c r="CN37" i="73"/>
  <c r="CO37" i="73"/>
  <c r="CP37" i="73"/>
  <c r="CQ37" i="73"/>
  <c r="CR37" i="73"/>
  <c r="CS37" i="73"/>
  <c r="CT37" i="73"/>
  <c r="CU37" i="73"/>
  <c r="CV37" i="73"/>
  <c r="CW37" i="73"/>
  <c r="CD38" i="73"/>
  <c r="CE38" i="73"/>
  <c r="CF38" i="73"/>
  <c r="CG38" i="73"/>
  <c r="CH38" i="73"/>
  <c r="CI38" i="73"/>
  <c r="CJ38" i="73"/>
  <c r="CK38" i="73"/>
  <c r="CM38" i="73"/>
  <c r="CN38" i="73"/>
  <c r="CO38" i="73"/>
  <c r="CP38" i="73"/>
  <c r="CQ38" i="73"/>
  <c r="CR38" i="73"/>
  <c r="CS38" i="73"/>
  <c r="CT38" i="73"/>
  <c r="CU38" i="73"/>
  <c r="CV38" i="73"/>
  <c r="CW38" i="73"/>
  <c r="CW9" i="73"/>
  <c r="CV9" i="73"/>
  <c r="CU9" i="73"/>
  <c r="CT9" i="73"/>
  <c r="CS9" i="73"/>
  <c r="CR9" i="73"/>
  <c r="CQ9" i="73"/>
  <c r="CP9" i="73"/>
  <c r="CO9" i="73"/>
  <c r="CN9" i="73"/>
  <c r="CM9" i="73"/>
  <c r="CK9" i="73"/>
  <c r="CJ9" i="73"/>
  <c r="CI9" i="73"/>
  <c r="CH9" i="73"/>
  <c r="CG9" i="73"/>
  <c r="CF9" i="73"/>
  <c r="CE9" i="73"/>
  <c r="CD9" i="73"/>
  <c r="CE10" i="72"/>
  <c r="CF10" i="72"/>
  <c r="CG10" i="72"/>
  <c r="CH10" i="72"/>
  <c r="CI10" i="72"/>
  <c r="CJ10" i="72"/>
  <c r="CK10" i="72"/>
  <c r="CM10" i="72"/>
  <c r="CN10" i="72"/>
  <c r="CO10" i="72"/>
  <c r="CP10" i="72"/>
  <c r="CQ10" i="72"/>
  <c r="CR10" i="72"/>
  <c r="CS10" i="72"/>
  <c r="CT10" i="72"/>
  <c r="CU10" i="72"/>
  <c r="CV10" i="72"/>
  <c r="CW10" i="72"/>
  <c r="CD11" i="72"/>
  <c r="CF11" i="72"/>
  <c r="CG11" i="72"/>
  <c r="CH11" i="72"/>
  <c r="CI11" i="72"/>
  <c r="CK11" i="72"/>
  <c r="CM11" i="72"/>
  <c r="CN11" i="72"/>
  <c r="CO11" i="72"/>
  <c r="CP11" i="72"/>
  <c r="CQ11" i="72"/>
  <c r="CR11" i="72"/>
  <c r="CS11" i="72"/>
  <c r="CT11" i="72"/>
  <c r="CU11" i="72"/>
  <c r="CV11" i="72"/>
  <c r="CW11" i="72"/>
  <c r="CD12" i="72"/>
  <c r="CE12" i="72"/>
  <c r="CG12" i="72"/>
  <c r="CH12" i="72"/>
  <c r="CI12" i="72"/>
  <c r="CJ12" i="72"/>
  <c r="CM12" i="72"/>
  <c r="CN12" i="72"/>
  <c r="CO12" i="72"/>
  <c r="CP12" i="72"/>
  <c r="CQ12" i="72"/>
  <c r="CR12" i="72"/>
  <c r="CS12" i="72"/>
  <c r="CT12" i="72"/>
  <c r="CU12" i="72"/>
  <c r="CV12" i="72"/>
  <c r="CW12" i="72"/>
  <c r="CD13" i="72"/>
  <c r="CE13" i="72"/>
  <c r="CF13" i="72"/>
  <c r="CG13" i="72"/>
  <c r="CH13" i="72"/>
  <c r="CI13" i="72"/>
  <c r="CJ13" i="72"/>
  <c r="CK13" i="72"/>
  <c r="CM13" i="72"/>
  <c r="CN13" i="72"/>
  <c r="CO13" i="72"/>
  <c r="CP13" i="72"/>
  <c r="CQ13" i="72"/>
  <c r="CR13" i="72"/>
  <c r="CS13" i="72"/>
  <c r="CT13" i="72"/>
  <c r="CU13" i="72"/>
  <c r="CV13" i="72"/>
  <c r="CW13" i="72"/>
  <c r="CD14" i="72"/>
  <c r="CE14" i="72"/>
  <c r="CF14" i="72"/>
  <c r="CG14" i="72"/>
  <c r="CI14" i="72"/>
  <c r="CJ14" i="72"/>
  <c r="CK14" i="72"/>
  <c r="CN14" i="72"/>
  <c r="CO14" i="72"/>
  <c r="CP14" i="72"/>
  <c r="CQ14" i="72"/>
  <c r="CR14" i="72"/>
  <c r="CS14" i="72"/>
  <c r="CT14" i="72"/>
  <c r="CU14" i="72"/>
  <c r="CV14" i="72"/>
  <c r="CW14" i="72"/>
  <c r="CD15" i="72"/>
  <c r="CE15" i="72"/>
  <c r="CF15" i="72"/>
  <c r="CG15" i="72"/>
  <c r="CH15" i="72"/>
  <c r="CI15" i="72"/>
  <c r="CJ15" i="72"/>
  <c r="CK15" i="72"/>
  <c r="CM15" i="72"/>
  <c r="CN15" i="72"/>
  <c r="CO15" i="72"/>
  <c r="CP15" i="72"/>
  <c r="CQ15" i="72"/>
  <c r="CR15" i="72"/>
  <c r="CS15" i="72"/>
  <c r="CT15" i="72"/>
  <c r="CU15" i="72"/>
  <c r="CV15" i="72"/>
  <c r="CW15" i="72"/>
  <c r="CD16" i="72"/>
  <c r="CE16" i="72"/>
  <c r="CF16" i="72"/>
  <c r="CG16" i="72"/>
  <c r="CH16" i="72"/>
  <c r="CI16" i="72"/>
  <c r="CJ16" i="72"/>
  <c r="CK16" i="72"/>
  <c r="CM16" i="72"/>
  <c r="CN16" i="72"/>
  <c r="CO16" i="72"/>
  <c r="CP16" i="72"/>
  <c r="CQ16" i="72"/>
  <c r="CR16" i="72"/>
  <c r="CS16" i="72"/>
  <c r="CT16" i="72"/>
  <c r="CU16" i="72"/>
  <c r="CV16" i="72"/>
  <c r="CW16" i="72"/>
  <c r="CD17" i="72"/>
  <c r="CE17" i="72"/>
  <c r="CF17" i="72"/>
  <c r="CG17" i="72"/>
  <c r="CH17" i="72"/>
  <c r="CI17" i="72"/>
  <c r="CJ17" i="72"/>
  <c r="CK17" i="72"/>
  <c r="CM17" i="72"/>
  <c r="CN17" i="72"/>
  <c r="CO17" i="72"/>
  <c r="CP17" i="72"/>
  <c r="CQ17" i="72"/>
  <c r="CR17" i="72"/>
  <c r="CS17" i="72"/>
  <c r="CT17" i="72"/>
  <c r="CU17" i="72"/>
  <c r="CV17" i="72"/>
  <c r="CW17" i="72"/>
  <c r="CD18" i="72"/>
  <c r="CF18" i="72"/>
  <c r="CG18" i="72"/>
  <c r="CH18" i="72"/>
  <c r="CI18" i="72"/>
  <c r="CK18" i="72"/>
  <c r="CM18" i="72"/>
  <c r="CN18" i="72"/>
  <c r="CO18" i="72"/>
  <c r="CP18" i="72"/>
  <c r="CQ18" i="72"/>
  <c r="CR18" i="72"/>
  <c r="CS18" i="72"/>
  <c r="CT18" i="72"/>
  <c r="CU18" i="72"/>
  <c r="CV18" i="72"/>
  <c r="CW18" i="72"/>
  <c r="CD19" i="72"/>
  <c r="CE19" i="72"/>
  <c r="CG19" i="72"/>
  <c r="CH19" i="72"/>
  <c r="CI19" i="72"/>
  <c r="CJ19" i="72"/>
  <c r="CM19" i="72"/>
  <c r="CN19" i="72"/>
  <c r="CO19" i="72"/>
  <c r="CP19" i="72"/>
  <c r="CQ19" i="72"/>
  <c r="CR19" i="72"/>
  <c r="CS19" i="72"/>
  <c r="CT19" i="72"/>
  <c r="CU19" i="72"/>
  <c r="CV19" i="72"/>
  <c r="CW19" i="72"/>
  <c r="CD20" i="72"/>
  <c r="CE20" i="72"/>
  <c r="CF20" i="72"/>
  <c r="CH20" i="72"/>
  <c r="CI20" i="72"/>
  <c r="CJ20" i="72"/>
  <c r="CK20" i="72"/>
  <c r="CM20" i="72"/>
  <c r="CN20" i="72"/>
  <c r="CO20" i="72"/>
  <c r="CP20" i="72"/>
  <c r="CQ20" i="72"/>
  <c r="CR20" i="72"/>
  <c r="CS20" i="72"/>
  <c r="CT20" i="72"/>
  <c r="CU20" i="72"/>
  <c r="CV20" i="72"/>
  <c r="CW20" i="72"/>
  <c r="CD21" i="72"/>
  <c r="CE21" i="72"/>
  <c r="CF21" i="72"/>
  <c r="CG21" i="72"/>
  <c r="CI21" i="72"/>
  <c r="CJ21" i="72"/>
  <c r="CK21" i="72"/>
  <c r="CN21" i="72"/>
  <c r="CO21" i="72"/>
  <c r="CP21" i="72"/>
  <c r="CQ21" i="72"/>
  <c r="CR21" i="72"/>
  <c r="CS21" i="72"/>
  <c r="CT21" i="72"/>
  <c r="CU21" i="72"/>
  <c r="CV21" i="72"/>
  <c r="CW21" i="72"/>
  <c r="CD22" i="72"/>
  <c r="CE22" i="72"/>
  <c r="CF22" i="72"/>
  <c r="CG22" i="72"/>
  <c r="CH22" i="72"/>
  <c r="CI22" i="72"/>
  <c r="CJ22" i="72"/>
  <c r="CK22" i="72"/>
  <c r="CM22" i="72"/>
  <c r="CN22" i="72"/>
  <c r="CO22" i="72"/>
  <c r="CP22" i="72"/>
  <c r="CQ22" i="72"/>
  <c r="CR22" i="72"/>
  <c r="CS22" i="72"/>
  <c r="CT22" i="72"/>
  <c r="CU22" i="72"/>
  <c r="CV22" i="72"/>
  <c r="CW22" i="72"/>
  <c r="CD23" i="72"/>
  <c r="CE23" i="72"/>
  <c r="CF23" i="72"/>
  <c r="CG23" i="72"/>
  <c r="CH23" i="72"/>
  <c r="CI23" i="72"/>
  <c r="CJ23" i="72"/>
  <c r="CK23" i="72"/>
  <c r="CM23" i="72"/>
  <c r="CN23" i="72"/>
  <c r="CO23" i="72"/>
  <c r="CP23" i="72"/>
  <c r="CQ23" i="72"/>
  <c r="CR23" i="72"/>
  <c r="CS23" i="72"/>
  <c r="CT23" i="72"/>
  <c r="CU23" i="72"/>
  <c r="CV23" i="72"/>
  <c r="CW23" i="72"/>
  <c r="CE24" i="72"/>
  <c r="CF24" i="72"/>
  <c r="CG24" i="72"/>
  <c r="CH24" i="72"/>
  <c r="CI24" i="72"/>
  <c r="CJ24" i="72"/>
  <c r="CK24" i="72"/>
  <c r="CM24" i="72"/>
  <c r="CN24" i="72"/>
  <c r="CO24" i="72"/>
  <c r="CP24" i="72"/>
  <c r="CQ24" i="72"/>
  <c r="CR24" i="72"/>
  <c r="CS24" i="72"/>
  <c r="CT24" i="72"/>
  <c r="CU24" i="72"/>
  <c r="CV24" i="72"/>
  <c r="CW24" i="72"/>
  <c r="CD25" i="72"/>
  <c r="CF25" i="72"/>
  <c r="CG25" i="72"/>
  <c r="CH25" i="72"/>
  <c r="CI25" i="72"/>
  <c r="CK25" i="72"/>
  <c r="CM25" i="72"/>
  <c r="CN25" i="72"/>
  <c r="CO25" i="72"/>
  <c r="CP25" i="72"/>
  <c r="CQ25" i="72"/>
  <c r="CR25" i="72"/>
  <c r="CS25" i="72"/>
  <c r="CT25" i="72"/>
  <c r="CU25" i="72"/>
  <c r="CV25" i="72"/>
  <c r="CW25" i="72"/>
  <c r="CD26" i="72"/>
  <c r="CE26" i="72"/>
  <c r="CG26" i="72"/>
  <c r="CH26" i="72"/>
  <c r="CI26" i="72"/>
  <c r="CJ26" i="72"/>
  <c r="CM26" i="72"/>
  <c r="CN26" i="72"/>
  <c r="CO26" i="72"/>
  <c r="CP26" i="72"/>
  <c r="CQ26" i="72"/>
  <c r="CR26" i="72"/>
  <c r="CS26" i="72"/>
  <c r="CT26" i="72"/>
  <c r="CU26" i="72"/>
  <c r="CV26" i="72"/>
  <c r="CW26" i="72"/>
  <c r="CD27" i="72"/>
  <c r="CE27" i="72"/>
  <c r="CF27" i="72"/>
  <c r="CH27" i="72"/>
  <c r="CI27" i="72"/>
  <c r="CJ27" i="72"/>
  <c r="CK27" i="72"/>
  <c r="CM27" i="72"/>
  <c r="CN27" i="72"/>
  <c r="CO27" i="72"/>
  <c r="CP27" i="72"/>
  <c r="CQ27" i="72"/>
  <c r="CR27" i="72"/>
  <c r="CS27" i="72"/>
  <c r="CT27" i="72"/>
  <c r="CU27" i="72"/>
  <c r="CV27" i="72"/>
  <c r="CW27" i="72"/>
  <c r="CD28" i="72"/>
  <c r="CE28" i="72"/>
  <c r="CF28" i="72"/>
  <c r="CG28" i="72"/>
  <c r="CI28" i="72"/>
  <c r="CJ28" i="72"/>
  <c r="CK28" i="72"/>
  <c r="CN28" i="72"/>
  <c r="CO28" i="72"/>
  <c r="CP28" i="72"/>
  <c r="CQ28" i="72"/>
  <c r="CR28" i="72"/>
  <c r="CS28" i="72"/>
  <c r="CT28" i="72"/>
  <c r="CU28" i="72"/>
  <c r="CV28" i="72"/>
  <c r="CW28" i="72"/>
  <c r="CD29" i="72"/>
  <c r="CE29" i="72"/>
  <c r="CF29" i="72"/>
  <c r="CG29" i="72"/>
  <c r="CH29" i="72"/>
  <c r="CI29" i="72"/>
  <c r="CJ29" i="72"/>
  <c r="CK29" i="72"/>
  <c r="CM29" i="72"/>
  <c r="CN29" i="72"/>
  <c r="CO29" i="72"/>
  <c r="CP29" i="72"/>
  <c r="CQ29" i="72"/>
  <c r="CR29" i="72"/>
  <c r="CS29" i="72"/>
  <c r="CT29" i="72"/>
  <c r="CU29" i="72"/>
  <c r="CV29" i="72"/>
  <c r="CW29" i="72"/>
  <c r="CD30" i="72"/>
  <c r="CE30" i="72"/>
  <c r="CF30" i="72"/>
  <c r="CG30" i="72"/>
  <c r="CH30" i="72"/>
  <c r="CI30" i="72"/>
  <c r="CJ30" i="72"/>
  <c r="CK30" i="72"/>
  <c r="CM30" i="72"/>
  <c r="CN30" i="72"/>
  <c r="CO30" i="72"/>
  <c r="CP30" i="72"/>
  <c r="CQ30" i="72"/>
  <c r="CR30" i="72"/>
  <c r="CS30" i="72"/>
  <c r="CT30" i="72"/>
  <c r="CU30" i="72"/>
  <c r="CV30" i="72"/>
  <c r="CW30" i="72"/>
  <c r="CE31" i="72"/>
  <c r="CF31" i="72"/>
  <c r="CG31" i="72"/>
  <c r="CH31" i="72"/>
  <c r="CI31" i="72"/>
  <c r="CJ31" i="72"/>
  <c r="CK31" i="72"/>
  <c r="CM31" i="72"/>
  <c r="CN31" i="72"/>
  <c r="CO31" i="72"/>
  <c r="CP31" i="72"/>
  <c r="CQ31" i="72"/>
  <c r="CR31" i="72"/>
  <c r="CS31" i="72"/>
  <c r="CT31" i="72"/>
  <c r="CU31" i="72"/>
  <c r="CV31" i="72"/>
  <c r="CW31" i="72"/>
  <c r="CD32" i="72"/>
  <c r="CF32" i="72"/>
  <c r="CG32" i="72"/>
  <c r="CH32" i="72"/>
  <c r="CI32" i="72"/>
  <c r="CK32" i="72"/>
  <c r="CM32" i="72"/>
  <c r="CN32" i="72"/>
  <c r="CO32" i="72"/>
  <c r="CP32" i="72"/>
  <c r="CQ32" i="72"/>
  <c r="CR32" i="72"/>
  <c r="CS32" i="72"/>
  <c r="CT32" i="72"/>
  <c r="CU32" i="72"/>
  <c r="CV32" i="72"/>
  <c r="CW32" i="72"/>
  <c r="CD33" i="72"/>
  <c r="CE33" i="72"/>
  <c r="CG33" i="72"/>
  <c r="CH33" i="72"/>
  <c r="CI33" i="72"/>
  <c r="CJ33" i="72"/>
  <c r="CM33" i="72"/>
  <c r="CN33" i="72"/>
  <c r="CO33" i="72"/>
  <c r="CP33" i="72"/>
  <c r="CQ33" i="72"/>
  <c r="CR33" i="72"/>
  <c r="CS33" i="72"/>
  <c r="CT33" i="72"/>
  <c r="CU33" i="72"/>
  <c r="CV33" i="72"/>
  <c r="CW33" i="72"/>
  <c r="CD34" i="72"/>
  <c r="CE34" i="72"/>
  <c r="CF34" i="72"/>
  <c r="CH34" i="72"/>
  <c r="CI34" i="72"/>
  <c r="CJ34" i="72"/>
  <c r="CK34" i="72"/>
  <c r="CM34" i="72"/>
  <c r="CN34" i="72"/>
  <c r="CO34" i="72"/>
  <c r="CP34" i="72"/>
  <c r="CQ34" i="72"/>
  <c r="CR34" i="72"/>
  <c r="CS34" i="72"/>
  <c r="CT34" i="72"/>
  <c r="CU34" i="72"/>
  <c r="CV34" i="72"/>
  <c r="CW34" i="72"/>
  <c r="CD35" i="72"/>
  <c r="CE35" i="72"/>
  <c r="CF35" i="72"/>
  <c r="CG35" i="72"/>
  <c r="CI35" i="72"/>
  <c r="CJ35" i="72"/>
  <c r="CK35" i="72"/>
  <c r="CM35" i="72"/>
  <c r="CN35" i="72"/>
  <c r="CO35" i="72"/>
  <c r="CP35" i="72"/>
  <c r="CQ35" i="72"/>
  <c r="CR35" i="72"/>
  <c r="CS35" i="72"/>
  <c r="CT35" i="72"/>
  <c r="CU35" i="72"/>
  <c r="CV35" i="72"/>
  <c r="CW35" i="72"/>
  <c r="CD36" i="72"/>
  <c r="CE36" i="72"/>
  <c r="CF36" i="72"/>
  <c r="CG36" i="72"/>
  <c r="CH36" i="72"/>
  <c r="CI36" i="72"/>
  <c r="CJ36" i="72"/>
  <c r="CK36" i="72"/>
  <c r="CM36" i="72"/>
  <c r="CN36" i="72"/>
  <c r="CO36" i="72"/>
  <c r="CP36" i="72"/>
  <c r="CQ36" i="72"/>
  <c r="CR36" i="72"/>
  <c r="CS36" i="72"/>
  <c r="CT36" i="72"/>
  <c r="CU36" i="72"/>
  <c r="CV36" i="72"/>
  <c r="CW36" i="72"/>
  <c r="CD37" i="72"/>
  <c r="CE37" i="72"/>
  <c r="CF37" i="72"/>
  <c r="CG37" i="72"/>
  <c r="CH37" i="72"/>
  <c r="CI37" i="72"/>
  <c r="CJ37" i="72"/>
  <c r="CK37" i="72"/>
  <c r="CM37" i="72"/>
  <c r="CN37" i="72"/>
  <c r="CO37" i="72"/>
  <c r="CP37" i="72"/>
  <c r="CQ37" i="72"/>
  <c r="CR37" i="72"/>
  <c r="CS37" i="72"/>
  <c r="CT37" i="72"/>
  <c r="CU37" i="72"/>
  <c r="CV37" i="72"/>
  <c r="CW37" i="72"/>
  <c r="CD38" i="72"/>
  <c r="CE38" i="72"/>
  <c r="CF38" i="72"/>
  <c r="CG38" i="72"/>
  <c r="CH38" i="72"/>
  <c r="CI38" i="72"/>
  <c r="CJ38" i="72"/>
  <c r="CK38" i="72"/>
  <c r="CM38" i="72"/>
  <c r="CN38" i="72"/>
  <c r="CO38" i="72"/>
  <c r="CP38" i="72"/>
  <c r="CQ38" i="72"/>
  <c r="CR38" i="72"/>
  <c r="CS38" i="72"/>
  <c r="CT38" i="72"/>
  <c r="CU38" i="72"/>
  <c r="CV38" i="72"/>
  <c r="CW38" i="72"/>
  <c r="CW9" i="72"/>
  <c r="CV9" i="72"/>
  <c r="CU9" i="72"/>
  <c r="CT9" i="72"/>
  <c r="CS9" i="72"/>
  <c r="CR9" i="72"/>
  <c r="CQ9" i="72"/>
  <c r="CP9" i="72"/>
  <c r="CO9" i="72"/>
  <c r="CN9" i="72"/>
  <c r="CM9" i="72"/>
  <c r="CK9" i="72"/>
  <c r="CJ9" i="72"/>
  <c r="CI9" i="72"/>
  <c r="CH9" i="72"/>
  <c r="CG9" i="72"/>
  <c r="CF9" i="72"/>
  <c r="CE9" i="72"/>
  <c r="CD9" i="72"/>
  <c r="CD10" i="71"/>
  <c r="CE10" i="71"/>
  <c r="CF10" i="71"/>
  <c r="CG10" i="71"/>
  <c r="CI10" i="71"/>
  <c r="CJ10" i="71"/>
  <c r="CK10" i="71"/>
  <c r="CN10" i="71"/>
  <c r="CO10" i="71"/>
  <c r="CP10" i="71"/>
  <c r="CQ10" i="71"/>
  <c r="CR10" i="71"/>
  <c r="CS10" i="71"/>
  <c r="CT10" i="71"/>
  <c r="CU10" i="71"/>
  <c r="CV10" i="71"/>
  <c r="CW10" i="71"/>
  <c r="CD11" i="71"/>
  <c r="CE11" i="71"/>
  <c r="CF11" i="71"/>
  <c r="CG11" i="71"/>
  <c r="CH11" i="71"/>
  <c r="CI11" i="71"/>
  <c r="CJ11" i="71"/>
  <c r="CK11" i="71"/>
  <c r="CM11" i="71"/>
  <c r="CN11" i="71"/>
  <c r="CO11" i="71"/>
  <c r="CP11" i="71"/>
  <c r="CQ11" i="71"/>
  <c r="CR11" i="71"/>
  <c r="CS11" i="71"/>
  <c r="CT11" i="71"/>
  <c r="CU11" i="71"/>
  <c r="CV11" i="71"/>
  <c r="CW11" i="71"/>
  <c r="CD12" i="71"/>
  <c r="CE12" i="71"/>
  <c r="CF12" i="71"/>
  <c r="CG12" i="71"/>
  <c r="CH12" i="71"/>
  <c r="CI12" i="71"/>
  <c r="CJ12" i="71"/>
  <c r="CK12" i="71"/>
  <c r="CM12" i="71"/>
  <c r="CN12" i="71"/>
  <c r="CO12" i="71"/>
  <c r="CP12" i="71"/>
  <c r="CQ12" i="71"/>
  <c r="CR12" i="71"/>
  <c r="CS12" i="71"/>
  <c r="CT12" i="71"/>
  <c r="CU12" i="71"/>
  <c r="CV12" i="71"/>
  <c r="CW12" i="71"/>
  <c r="CE13" i="71"/>
  <c r="CF13" i="71"/>
  <c r="CG13" i="71"/>
  <c r="CH13" i="71"/>
  <c r="CI13" i="71"/>
  <c r="CJ13" i="71"/>
  <c r="CK13" i="71"/>
  <c r="CM13" i="71"/>
  <c r="CN13" i="71"/>
  <c r="CO13" i="71"/>
  <c r="CP13" i="71"/>
  <c r="CQ13" i="71"/>
  <c r="CR13" i="71"/>
  <c r="CS13" i="71"/>
  <c r="CT13" i="71"/>
  <c r="CU13" i="71"/>
  <c r="CV13" i="71"/>
  <c r="CW13" i="71"/>
  <c r="CD14" i="71"/>
  <c r="CF14" i="71"/>
  <c r="CG14" i="71"/>
  <c r="CH14" i="71"/>
  <c r="CI14" i="71"/>
  <c r="CK14" i="71"/>
  <c r="CM14" i="71"/>
  <c r="CN14" i="71"/>
  <c r="CO14" i="71"/>
  <c r="CP14" i="71"/>
  <c r="CQ14" i="71"/>
  <c r="CR14" i="71"/>
  <c r="CS14" i="71"/>
  <c r="CT14" i="71"/>
  <c r="CU14" i="71"/>
  <c r="CV14" i="71"/>
  <c r="CW14" i="71"/>
  <c r="CD15" i="71"/>
  <c r="CE15" i="71"/>
  <c r="CG15" i="71"/>
  <c r="CH15" i="71"/>
  <c r="CI15" i="71"/>
  <c r="CJ15" i="71"/>
  <c r="CM15" i="71"/>
  <c r="CN15" i="71"/>
  <c r="CO15" i="71"/>
  <c r="CP15" i="71"/>
  <c r="CQ15" i="71"/>
  <c r="CR15" i="71"/>
  <c r="CS15" i="71"/>
  <c r="CT15" i="71"/>
  <c r="CU15" i="71"/>
  <c r="CV15" i="71"/>
  <c r="CW15" i="71"/>
  <c r="CD16" i="71"/>
  <c r="CE16" i="71"/>
  <c r="CF16" i="71"/>
  <c r="CH16" i="71"/>
  <c r="CI16" i="71"/>
  <c r="CJ16" i="71"/>
  <c r="CK16" i="71"/>
  <c r="CM16" i="71"/>
  <c r="CN16" i="71"/>
  <c r="CO16" i="71"/>
  <c r="CP16" i="71"/>
  <c r="CQ16" i="71"/>
  <c r="CR16" i="71"/>
  <c r="CS16" i="71"/>
  <c r="CT16" i="71"/>
  <c r="CU16" i="71"/>
  <c r="CV16" i="71"/>
  <c r="CW16" i="71"/>
  <c r="CD17" i="71"/>
  <c r="CE17" i="71"/>
  <c r="CF17" i="71"/>
  <c r="CG17" i="71"/>
  <c r="CI17" i="71"/>
  <c r="CJ17" i="71"/>
  <c r="CK17" i="71"/>
  <c r="CN17" i="71"/>
  <c r="CO17" i="71"/>
  <c r="CP17" i="71"/>
  <c r="CQ17" i="71"/>
  <c r="CR17" i="71"/>
  <c r="CS17" i="71"/>
  <c r="CT17" i="71"/>
  <c r="CU17" i="71"/>
  <c r="CV17" i="71"/>
  <c r="CW17" i="71"/>
  <c r="CD18" i="71"/>
  <c r="CE18" i="71"/>
  <c r="CF18" i="71"/>
  <c r="CG18" i="71"/>
  <c r="CH18" i="71"/>
  <c r="CI18" i="71"/>
  <c r="CJ18" i="71"/>
  <c r="CK18" i="71"/>
  <c r="CM18" i="71"/>
  <c r="CN18" i="71"/>
  <c r="CO18" i="71"/>
  <c r="CP18" i="71"/>
  <c r="CQ18" i="71"/>
  <c r="CR18" i="71"/>
  <c r="CS18" i="71"/>
  <c r="CT18" i="71"/>
  <c r="CU18" i="71"/>
  <c r="CV18" i="71"/>
  <c r="CW18" i="71"/>
  <c r="CD19" i="71"/>
  <c r="CE19" i="71"/>
  <c r="CF19" i="71"/>
  <c r="CG19" i="71"/>
  <c r="CH19" i="71"/>
  <c r="CI19" i="71"/>
  <c r="CJ19" i="71"/>
  <c r="CK19" i="71"/>
  <c r="CM19" i="71"/>
  <c r="CN19" i="71"/>
  <c r="CO19" i="71"/>
  <c r="CP19" i="71"/>
  <c r="CQ19" i="71"/>
  <c r="CR19" i="71"/>
  <c r="CS19" i="71"/>
  <c r="CT19" i="71"/>
  <c r="CU19" i="71"/>
  <c r="CV19" i="71"/>
  <c r="CW19" i="71"/>
  <c r="CE20" i="71"/>
  <c r="CF20" i="71"/>
  <c r="CG20" i="71"/>
  <c r="CH20" i="71"/>
  <c r="CI20" i="71"/>
  <c r="CJ20" i="71"/>
  <c r="CK20" i="71"/>
  <c r="CM20" i="71"/>
  <c r="CN20" i="71"/>
  <c r="CO20" i="71"/>
  <c r="CP20" i="71"/>
  <c r="CQ20" i="71"/>
  <c r="CR20" i="71"/>
  <c r="CS20" i="71"/>
  <c r="CT20" i="71"/>
  <c r="CU20" i="71"/>
  <c r="CV20" i="71"/>
  <c r="CW20" i="71"/>
  <c r="CD21" i="71"/>
  <c r="CF21" i="71"/>
  <c r="CG21" i="71"/>
  <c r="CH21" i="71"/>
  <c r="CI21" i="71"/>
  <c r="CJ21" i="71"/>
  <c r="CK21" i="71"/>
  <c r="CM21" i="71"/>
  <c r="CN21" i="71"/>
  <c r="CO21" i="71"/>
  <c r="CP21" i="71"/>
  <c r="CQ21" i="71"/>
  <c r="CR21" i="71"/>
  <c r="CS21" i="71"/>
  <c r="CT21" i="71"/>
  <c r="CU21" i="71"/>
  <c r="CV21" i="71"/>
  <c r="CW21" i="71"/>
  <c r="CD22" i="71"/>
  <c r="CE22" i="71"/>
  <c r="CG22" i="71"/>
  <c r="CH22" i="71"/>
  <c r="CI22" i="71"/>
  <c r="CJ22" i="71"/>
  <c r="CM22" i="71"/>
  <c r="CN22" i="71"/>
  <c r="CO22" i="71"/>
  <c r="CP22" i="71"/>
  <c r="CQ22" i="71"/>
  <c r="CR22" i="71"/>
  <c r="CS22" i="71"/>
  <c r="CT22" i="71"/>
  <c r="CU22" i="71"/>
  <c r="CV22" i="71"/>
  <c r="CW22" i="71"/>
  <c r="CD23" i="71"/>
  <c r="CE23" i="71"/>
  <c r="CF23" i="71"/>
  <c r="CH23" i="71"/>
  <c r="CI23" i="71"/>
  <c r="CJ23" i="71"/>
  <c r="CK23" i="71"/>
  <c r="CM23" i="71"/>
  <c r="CN23" i="71"/>
  <c r="CO23" i="71"/>
  <c r="CP23" i="71"/>
  <c r="CQ23" i="71"/>
  <c r="CR23" i="71"/>
  <c r="CS23" i="71"/>
  <c r="CT23" i="71"/>
  <c r="CU23" i="71"/>
  <c r="CV23" i="71"/>
  <c r="CW23" i="71"/>
  <c r="CD24" i="71"/>
  <c r="CE24" i="71"/>
  <c r="CF24" i="71"/>
  <c r="CG24" i="71"/>
  <c r="CI24" i="71"/>
  <c r="CJ24" i="71"/>
  <c r="CK24" i="71"/>
  <c r="CN24" i="71"/>
  <c r="CO24" i="71"/>
  <c r="CP24" i="71"/>
  <c r="CQ24" i="71"/>
  <c r="CR24" i="71"/>
  <c r="CS24" i="71"/>
  <c r="CT24" i="71"/>
  <c r="CU24" i="71"/>
  <c r="CV24" i="71"/>
  <c r="CW24" i="71"/>
  <c r="CD25" i="71"/>
  <c r="CE25" i="71"/>
  <c r="CF25" i="71"/>
  <c r="CG25" i="71"/>
  <c r="CH25" i="71"/>
  <c r="CI25" i="71"/>
  <c r="CJ25" i="71"/>
  <c r="CK25" i="71"/>
  <c r="CM25" i="71"/>
  <c r="CN25" i="71"/>
  <c r="CO25" i="71"/>
  <c r="CP25" i="71"/>
  <c r="CQ25" i="71"/>
  <c r="CR25" i="71"/>
  <c r="CS25" i="71"/>
  <c r="CT25" i="71"/>
  <c r="CU25" i="71"/>
  <c r="CV25" i="71"/>
  <c r="CW25" i="71"/>
  <c r="CD26" i="71"/>
  <c r="CE26" i="71"/>
  <c r="CF26" i="71"/>
  <c r="CG26" i="71"/>
  <c r="CH26" i="71"/>
  <c r="CI26" i="71"/>
  <c r="CJ26" i="71"/>
  <c r="CK26" i="71"/>
  <c r="CM26" i="71"/>
  <c r="CN26" i="71"/>
  <c r="CO26" i="71"/>
  <c r="CP26" i="71"/>
  <c r="CQ26" i="71"/>
  <c r="CR26" i="71"/>
  <c r="CS26" i="71"/>
  <c r="CT26" i="71"/>
  <c r="CU26" i="71"/>
  <c r="CV26" i="71"/>
  <c r="CW26" i="71"/>
  <c r="CE27" i="71"/>
  <c r="CF27" i="71"/>
  <c r="CG27" i="71"/>
  <c r="CH27" i="71"/>
  <c r="CI27" i="71"/>
  <c r="CJ27" i="71"/>
  <c r="CK27" i="71"/>
  <c r="CM27" i="71"/>
  <c r="CN27" i="71"/>
  <c r="CO27" i="71"/>
  <c r="CP27" i="71"/>
  <c r="CQ27" i="71"/>
  <c r="CR27" i="71"/>
  <c r="CS27" i="71"/>
  <c r="CT27" i="71"/>
  <c r="CU27" i="71"/>
  <c r="CV27" i="71"/>
  <c r="CW27" i="71"/>
  <c r="CD28" i="71"/>
  <c r="CF28" i="71"/>
  <c r="CG28" i="71"/>
  <c r="CH28" i="71"/>
  <c r="CI28" i="71"/>
  <c r="CK28" i="71"/>
  <c r="CM28" i="71"/>
  <c r="CN28" i="71"/>
  <c r="CO28" i="71"/>
  <c r="CP28" i="71"/>
  <c r="CQ28" i="71"/>
  <c r="CR28" i="71"/>
  <c r="CS28" i="71"/>
  <c r="CT28" i="71"/>
  <c r="CU28" i="71"/>
  <c r="CV28" i="71"/>
  <c r="CW28" i="71"/>
  <c r="CD29" i="71"/>
  <c r="CE29" i="71"/>
  <c r="CG29" i="71"/>
  <c r="CH29" i="71"/>
  <c r="CI29" i="71"/>
  <c r="CJ29" i="71"/>
  <c r="CM29" i="71"/>
  <c r="CN29" i="71"/>
  <c r="CO29" i="71"/>
  <c r="CP29" i="71"/>
  <c r="CQ29" i="71"/>
  <c r="CR29" i="71"/>
  <c r="CS29" i="71"/>
  <c r="CT29" i="71"/>
  <c r="CU29" i="71"/>
  <c r="CV29" i="71"/>
  <c r="CW29" i="71"/>
  <c r="CD30" i="71"/>
  <c r="CE30" i="71"/>
  <c r="CF30" i="71"/>
  <c r="CH30" i="71"/>
  <c r="CI30" i="71"/>
  <c r="CJ30" i="71"/>
  <c r="CK30" i="71"/>
  <c r="CM30" i="71"/>
  <c r="CN30" i="71"/>
  <c r="CO30" i="71"/>
  <c r="CP30" i="71"/>
  <c r="CQ30" i="71"/>
  <c r="CR30" i="71"/>
  <c r="CS30" i="71"/>
  <c r="CT30" i="71"/>
  <c r="CU30" i="71"/>
  <c r="CV30" i="71"/>
  <c r="CW30" i="71"/>
  <c r="CD31" i="71"/>
  <c r="CE31" i="71"/>
  <c r="CF31" i="71"/>
  <c r="CG31" i="71"/>
  <c r="CI31" i="71"/>
  <c r="CJ31" i="71"/>
  <c r="CK31" i="71"/>
  <c r="CN31" i="71"/>
  <c r="CO31" i="71"/>
  <c r="CP31" i="71"/>
  <c r="CQ31" i="71"/>
  <c r="CR31" i="71"/>
  <c r="CS31" i="71"/>
  <c r="CT31" i="71"/>
  <c r="CU31" i="71"/>
  <c r="CV31" i="71"/>
  <c r="CW31" i="71"/>
  <c r="CD32" i="71"/>
  <c r="CE32" i="71"/>
  <c r="CF32" i="71"/>
  <c r="CG32" i="71"/>
  <c r="CH32" i="71"/>
  <c r="CI32" i="71"/>
  <c r="CJ32" i="71"/>
  <c r="CK32" i="71"/>
  <c r="CM32" i="71"/>
  <c r="CN32" i="71"/>
  <c r="CO32" i="71"/>
  <c r="CP32" i="71"/>
  <c r="CQ32" i="71"/>
  <c r="CR32" i="71"/>
  <c r="CS32" i="71"/>
  <c r="CT32" i="71"/>
  <c r="CU32" i="71"/>
  <c r="CV32" i="71"/>
  <c r="CW32" i="71"/>
  <c r="CD33" i="71"/>
  <c r="CE33" i="71"/>
  <c r="CF33" i="71"/>
  <c r="CG33" i="71"/>
  <c r="CH33" i="71"/>
  <c r="CI33" i="71"/>
  <c r="CJ33" i="71"/>
  <c r="CK33" i="71"/>
  <c r="CM33" i="71"/>
  <c r="CN33" i="71"/>
  <c r="CO33" i="71"/>
  <c r="CP33" i="71"/>
  <c r="CQ33" i="71"/>
  <c r="CR33" i="71"/>
  <c r="CS33" i="71"/>
  <c r="CT33" i="71"/>
  <c r="CU33" i="71"/>
  <c r="CV33" i="71"/>
  <c r="CW33" i="71"/>
  <c r="CE34" i="71"/>
  <c r="CF34" i="71"/>
  <c r="CG34" i="71"/>
  <c r="CH34" i="71"/>
  <c r="CI34" i="71"/>
  <c r="CJ34" i="71"/>
  <c r="CK34" i="71"/>
  <c r="CM34" i="71"/>
  <c r="CN34" i="71"/>
  <c r="CO34" i="71"/>
  <c r="CP34" i="71"/>
  <c r="CQ34" i="71"/>
  <c r="CR34" i="71"/>
  <c r="CS34" i="71"/>
  <c r="CT34" i="71"/>
  <c r="CU34" i="71"/>
  <c r="CV34" i="71"/>
  <c r="CW34" i="71"/>
  <c r="CD35" i="71"/>
  <c r="CF35" i="71"/>
  <c r="CG35" i="71"/>
  <c r="CH35" i="71"/>
  <c r="CI35" i="71"/>
  <c r="CK35" i="71"/>
  <c r="CM35" i="71"/>
  <c r="CN35" i="71"/>
  <c r="CO35" i="71"/>
  <c r="CP35" i="71"/>
  <c r="CQ35" i="71"/>
  <c r="CR35" i="71"/>
  <c r="CS35" i="71"/>
  <c r="CT35" i="71"/>
  <c r="CU35" i="71"/>
  <c r="CV35" i="71"/>
  <c r="CW35" i="71"/>
  <c r="CD36" i="71"/>
  <c r="CE36" i="71"/>
  <c r="CG36" i="71"/>
  <c r="CH36" i="71"/>
  <c r="CI36" i="71"/>
  <c r="CJ36" i="71"/>
  <c r="CM36" i="71"/>
  <c r="CN36" i="71"/>
  <c r="CO36" i="71"/>
  <c r="CP36" i="71"/>
  <c r="CQ36" i="71"/>
  <c r="CR36" i="71"/>
  <c r="CS36" i="71"/>
  <c r="CT36" i="71"/>
  <c r="CU36" i="71"/>
  <c r="CV36" i="71"/>
  <c r="CW36" i="71"/>
  <c r="CD37" i="71"/>
  <c r="CE37" i="71"/>
  <c r="CF37" i="71"/>
  <c r="CG37" i="71"/>
  <c r="CH37" i="71"/>
  <c r="CI37" i="71"/>
  <c r="CJ37" i="71"/>
  <c r="CK37" i="71"/>
  <c r="CM37" i="71"/>
  <c r="CN37" i="71"/>
  <c r="CO37" i="71"/>
  <c r="CP37" i="71"/>
  <c r="CQ37" i="71"/>
  <c r="CR37" i="71"/>
  <c r="CS37" i="71"/>
  <c r="CT37" i="71"/>
  <c r="CU37" i="71"/>
  <c r="CV37" i="71"/>
  <c r="CW37" i="71"/>
  <c r="CD38" i="71"/>
  <c r="CE38" i="71"/>
  <c r="CF38" i="71"/>
  <c r="CG38" i="71"/>
  <c r="CH38" i="71"/>
  <c r="CI38" i="71"/>
  <c r="CJ38" i="71"/>
  <c r="CK38" i="71"/>
  <c r="CM38" i="71"/>
  <c r="CN38" i="71"/>
  <c r="CO38" i="71"/>
  <c r="CP38" i="71"/>
  <c r="CQ38" i="71"/>
  <c r="CR38" i="71"/>
  <c r="CS38" i="71"/>
  <c r="CT38" i="71"/>
  <c r="CU38" i="71"/>
  <c r="CV38" i="71"/>
  <c r="CW38" i="71"/>
  <c r="CD39" i="71"/>
  <c r="CE39" i="71"/>
  <c r="CF39" i="71"/>
  <c r="CG39" i="71"/>
  <c r="CH39" i="71"/>
  <c r="CI39" i="71"/>
  <c r="CJ39" i="71"/>
  <c r="CK39" i="71"/>
  <c r="CM39" i="71"/>
  <c r="CN39" i="71"/>
  <c r="CO39" i="71"/>
  <c r="CP39" i="71"/>
  <c r="CQ39" i="71"/>
  <c r="CR39" i="71"/>
  <c r="CS39" i="71"/>
  <c r="CT39" i="71"/>
  <c r="CU39" i="71"/>
  <c r="CV39" i="71"/>
  <c r="CW39" i="71"/>
  <c r="CW9" i="71"/>
  <c r="CV9" i="71"/>
  <c r="CU9" i="71"/>
  <c r="CT9" i="71"/>
  <c r="CS9" i="71"/>
  <c r="CR9" i="71"/>
  <c r="CQ9" i="71"/>
  <c r="CP9" i="71"/>
  <c r="CO9" i="71"/>
  <c r="CN9" i="71"/>
  <c r="CM9" i="71"/>
  <c r="CK9" i="71"/>
  <c r="CJ9" i="71"/>
  <c r="CI9" i="71"/>
  <c r="CH9" i="71"/>
  <c r="CF9" i="71"/>
  <c r="CE9" i="71"/>
  <c r="CD9" i="71"/>
  <c r="CD10" i="70"/>
  <c r="CE10" i="70"/>
  <c r="CG10" i="70"/>
  <c r="CH10" i="70"/>
  <c r="CI10" i="70"/>
  <c r="CJ10" i="70"/>
  <c r="CM10" i="70"/>
  <c r="CN10" i="70"/>
  <c r="CO10" i="70"/>
  <c r="CP10" i="70"/>
  <c r="CQ10" i="70"/>
  <c r="CR10" i="70"/>
  <c r="CS10" i="70"/>
  <c r="CT10" i="70"/>
  <c r="CU10" i="70"/>
  <c r="CV10" i="70"/>
  <c r="CW10" i="70"/>
  <c r="CD11" i="70"/>
  <c r="CE11" i="70"/>
  <c r="CF11" i="70"/>
  <c r="CH11" i="70"/>
  <c r="CI11" i="70"/>
  <c r="CJ11" i="70"/>
  <c r="CK11" i="70"/>
  <c r="CM11" i="70"/>
  <c r="CN11" i="70"/>
  <c r="CO11" i="70"/>
  <c r="CP11" i="70"/>
  <c r="CQ11" i="70"/>
  <c r="CR11" i="70"/>
  <c r="CS11" i="70"/>
  <c r="CT11" i="70"/>
  <c r="CU11" i="70"/>
  <c r="CV11" i="70"/>
  <c r="CW11" i="70"/>
  <c r="CD12" i="70"/>
  <c r="CE12" i="70"/>
  <c r="CF12" i="70"/>
  <c r="CG12" i="70"/>
  <c r="CI12" i="70"/>
  <c r="CJ12" i="70"/>
  <c r="CK12" i="70"/>
  <c r="CN12" i="70"/>
  <c r="CO12" i="70"/>
  <c r="CP12" i="70"/>
  <c r="CQ12" i="70"/>
  <c r="CR12" i="70"/>
  <c r="CS12" i="70"/>
  <c r="CT12" i="70"/>
  <c r="CU12" i="70"/>
  <c r="CV12" i="70"/>
  <c r="CW12" i="70"/>
  <c r="CD13" i="70"/>
  <c r="CE13" i="70"/>
  <c r="CF13" i="70"/>
  <c r="CG13" i="70"/>
  <c r="CH13" i="70"/>
  <c r="CI13" i="70"/>
  <c r="CJ13" i="70"/>
  <c r="CK13" i="70"/>
  <c r="CM13" i="70"/>
  <c r="CN13" i="70"/>
  <c r="CO13" i="70"/>
  <c r="CP13" i="70"/>
  <c r="CQ13" i="70"/>
  <c r="CR13" i="70"/>
  <c r="CS13" i="70"/>
  <c r="CT13" i="70"/>
  <c r="CU13" i="70"/>
  <c r="CV13" i="70"/>
  <c r="CW13" i="70"/>
  <c r="CD14" i="70"/>
  <c r="CE14" i="70"/>
  <c r="CF14" i="70"/>
  <c r="CG14" i="70"/>
  <c r="CH14" i="70"/>
  <c r="CI14" i="70"/>
  <c r="CJ14" i="70"/>
  <c r="CK14" i="70"/>
  <c r="CM14" i="70"/>
  <c r="CN14" i="70"/>
  <c r="CO14" i="70"/>
  <c r="CP14" i="70"/>
  <c r="CQ14" i="70"/>
  <c r="CR14" i="70"/>
  <c r="CS14" i="70"/>
  <c r="CT14" i="70"/>
  <c r="CU14" i="70"/>
  <c r="CV14" i="70"/>
  <c r="CW14" i="70"/>
  <c r="CE15" i="70"/>
  <c r="CF15" i="70"/>
  <c r="CG15" i="70"/>
  <c r="CH15" i="70"/>
  <c r="CI15" i="70"/>
  <c r="CJ15" i="70"/>
  <c r="CK15" i="70"/>
  <c r="CM15" i="70"/>
  <c r="CN15" i="70"/>
  <c r="CO15" i="70"/>
  <c r="CP15" i="70"/>
  <c r="CQ15" i="70"/>
  <c r="CR15" i="70"/>
  <c r="CS15" i="70"/>
  <c r="CT15" i="70"/>
  <c r="CU15" i="70"/>
  <c r="CV15" i="70"/>
  <c r="CW15" i="70"/>
  <c r="CD16" i="70"/>
  <c r="CF16" i="70"/>
  <c r="CG16" i="70"/>
  <c r="CH16" i="70"/>
  <c r="CI16" i="70"/>
  <c r="CK16" i="70"/>
  <c r="CM16" i="70"/>
  <c r="CN16" i="70"/>
  <c r="CO16" i="70"/>
  <c r="CP16" i="70"/>
  <c r="CQ16" i="70"/>
  <c r="CR16" i="70"/>
  <c r="CS16" i="70"/>
  <c r="CT16" i="70"/>
  <c r="CU16" i="70"/>
  <c r="CV16" i="70"/>
  <c r="CW16" i="70"/>
  <c r="CD17" i="70"/>
  <c r="CE17" i="70"/>
  <c r="CG17" i="70"/>
  <c r="CH17" i="70"/>
  <c r="CI17" i="70"/>
  <c r="CJ17" i="70"/>
  <c r="CM17" i="70"/>
  <c r="CN17" i="70"/>
  <c r="CO17" i="70"/>
  <c r="CP17" i="70"/>
  <c r="CQ17" i="70"/>
  <c r="CR17" i="70"/>
  <c r="CS17" i="70"/>
  <c r="CT17" i="70"/>
  <c r="CU17" i="70"/>
  <c r="CV17" i="70"/>
  <c r="CW17" i="70"/>
  <c r="CD18" i="70"/>
  <c r="CE18" i="70"/>
  <c r="CF18" i="70"/>
  <c r="CH18" i="70"/>
  <c r="CI18" i="70"/>
  <c r="CJ18" i="70"/>
  <c r="CK18" i="70"/>
  <c r="CM18" i="70"/>
  <c r="CN18" i="70"/>
  <c r="CO18" i="70"/>
  <c r="CP18" i="70"/>
  <c r="CQ18" i="70"/>
  <c r="CR18" i="70"/>
  <c r="CS18" i="70"/>
  <c r="CT18" i="70"/>
  <c r="CU18" i="70"/>
  <c r="CV18" i="70"/>
  <c r="CW18" i="70"/>
  <c r="CD19" i="70"/>
  <c r="CE19" i="70"/>
  <c r="CF19" i="70"/>
  <c r="CG19" i="70"/>
  <c r="CI19" i="70"/>
  <c r="CJ19" i="70"/>
  <c r="CK19" i="70"/>
  <c r="CN19" i="70"/>
  <c r="CO19" i="70"/>
  <c r="CP19" i="70"/>
  <c r="CQ19" i="70"/>
  <c r="CR19" i="70"/>
  <c r="CS19" i="70"/>
  <c r="CT19" i="70"/>
  <c r="CU19" i="70"/>
  <c r="CV19" i="70"/>
  <c r="CW19" i="70"/>
  <c r="CD20" i="70"/>
  <c r="CE20" i="70"/>
  <c r="CF20" i="70"/>
  <c r="CG20" i="70"/>
  <c r="CH20" i="70"/>
  <c r="CI20" i="70"/>
  <c r="CJ20" i="70"/>
  <c r="CK20" i="70"/>
  <c r="CM20" i="70"/>
  <c r="CN20" i="70"/>
  <c r="CO20" i="70"/>
  <c r="CP20" i="70"/>
  <c r="CQ20" i="70"/>
  <c r="CR20" i="70"/>
  <c r="CS20" i="70"/>
  <c r="CT20" i="70"/>
  <c r="CU20" i="70"/>
  <c r="CV20" i="70"/>
  <c r="CW20" i="70"/>
  <c r="CD21" i="70"/>
  <c r="CE21" i="70"/>
  <c r="CF21" i="70"/>
  <c r="CG21" i="70"/>
  <c r="CH21" i="70"/>
  <c r="CI21" i="70"/>
  <c r="CJ21" i="70"/>
  <c r="CK21" i="70"/>
  <c r="CM21" i="70"/>
  <c r="CN21" i="70"/>
  <c r="CO21" i="70"/>
  <c r="CP21" i="70"/>
  <c r="CQ21" i="70"/>
  <c r="CR21" i="70"/>
  <c r="CS21" i="70"/>
  <c r="CT21" i="70"/>
  <c r="CU21" i="70"/>
  <c r="CV21" i="70"/>
  <c r="CW21" i="70"/>
  <c r="CD22" i="70"/>
  <c r="CE22" i="70"/>
  <c r="CF22" i="70"/>
  <c r="CG22" i="70"/>
  <c r="CH22" i="70"/>
  <c r="CI22" i="70"/>
  <c r="CJ22" i="70"/>
  <c r="CK22" i="70"/>
  <c r="CM22" i="70"/>
  <c r="CN22" i="70"/>
  <c r="CO22" i="70"/>
  <c r="CP22" i="70"/>
  <c r="CQ22" i="70"/>
  <c r="CR22" i="70"/>
  <c r="CS22" i="70"/>
  <c r="CT22" i="70"/>
  <c r="CU22" i="70"/>
  <c r="CV22" i="70"/>
  <c r="CW22" i="70"/>
  <c r="CD23" i="70"/>
  <c r="CE23" i="70"/>
  <c r="CF23" i="70"/>
  <c r="CG23" i="70"/>
  <c r="CH23" i="70"/>
  <c r="CI23" i="70"/>
  <c r="CJ23" i="70"/>
  <c r="CK23" i="70"/>
  <c r="CM23" i="70"/>
  <c r="CN23" i="70"/>
  <c r="CO23" i="70"/>
  <c r="CP23" i="70"/>
  <c r="CQ23" i="70"/>
  <c r="CR23" i="70"/>
  <c r="CS23" i="70"/>
  <c r="CT23" i="70"/>
  <c r="CU23" i="70"/>
  <c r="CV23" i="70"/>
  <c r="CW23" i="70"/>
  <c r="CD24" i="70"/>
  <c r="CE24" i="70"/>
  <c r="CF24" i="70"/>
  <c r="CG24" i="70"/>
  <c r="CH24" i="70"/>
  <c r="CI24" i="70"/>
  <c r="CJ24" i="70"/>
  <c r="CK24" i="70"/>
  <c r="CM24" i="70"/>
  <c r="CN24" i="70"/>
  <c r="CO24" i="70"/>
  <c r="CP24" i="70"/>
  <c r="CQ24" i="70"/>
  <c r="CR24" i="70"/>
  <c r="CS24" i="70"/>
  <c r="CT24" i="70"/>
  <c r="CU24" i="70"/>
  <c r="CV24" i="70"/>
  <c r="CW24" i="70"/>
  <c r="CD25" i="70"/>
  <c r="CE25" i="70"/>
  <c r="CF25" i="70"/>
  <c r="CG25" i="70"/>
  <c r="CH25" i="70"/>
  <c r="CI25" i="70"/>
  <c r="CJ25" i="70"/>
  <c r="CK25" i="70"/>
  <c r="CM25" i="70"/>
  <c r="CN25" i="70"/>
  <c r="CO25" i="70"/>
  <c r="CP25" i="70"/>
  <c r="CQ25" i="70"/>
  <c r="CR25" i="70"/>
  <c r="CS25" i="70"/>
  <c r="CT25" i="70"/>
  <c r="CU25" i="70"/>
  <c r="CV25" i="70"/>
  <c r="CW25" i="70"/>
  <c r="CD26" i="70"/>
  <c r="CE26" i="70"/>
  <c r="CF26" i="70"/>
  <c r="CG26" i="70"/>
  <c r="CH26" i="70"/>
  <c r="CI26" i="70"/>
  <c r="CJ26" i="70"/>
  <c r="CK26" i="70"/>
  <c r="CM26" i="70"/>
  <c r="CN26" i="70"/>
  <c r="CO26" i="70"/>
  <c r="CP26" i="70"/>
  <c r="CQ26" i="70"/>
  <c r="CR26" i="70"/>
  <c r="CS26" i="70"/>
  <c r="CT26" i="70"/>
  <c r="CU26" i="70"/>
  <c r="CV26" i="70"/>
  <c r="CW26" i="70"/>
  <c r="CD27" i="70"/>
  <c r="CE27" i="70"/>
  <c r="CF27" i="70"/>
  <c r="CG27" i="70"/>
  <c r="CH27" i="70"/>
  <c r="CI27" i="70"/>
  <c r="CJ27" i="70"/>
  <c r="CK27" i="70"/>
  <c r="CM27" i="70"/>
  <c r="CN27" i="70"/>
  <c r="CO27" i="70"/>
  <c r="CP27" i="70"/>
  <c r="CQ27" i="70"/>
  <c r="CR27" i="70"/>
  <c r="CS27" i="70"/>
  <c r="CT27" i="70"/>
  <c r="CU27" i="70"/>
  <c r="CV27" i="70"/>
  <c r="CW27" i="70"/>
  <c r="CD28" i="70"/>
  <c r="CE28" i="70"/>
  <c r="CF28" i="70"/>
  <c r="CG28" i="70"/>
  <c r="CH28" i="70"/>
  <c r="CI28" i="70"/>
  <c r="CJ28" i="70"/>
  <c r="CK28" i="70"/>
  <c r="CM28" i="70"/>
  <c r="CN28" i="70"/>
  <c r="CO28" i="70"/>
  <c r="CP28" i="70"/>
  <c r="CQ28" i="70"/>
  <c r="CR28" i="70"/>
  <c r="CS28" i="70"/>
  <c r="CT28" i="70"/>
  <c r="CU28" i="70"/>
  <c r="CV28" i="70"/>
  <c r="CW28" i="70"/>
  <c r="CD29" i="70"/>
  <c r="CE29" i="70"/>
  <c r="CF29" i="70"/>
  <c r="CG29" i="70"/>
  <c r="CH29" i="70"/>
  <c r="CI29" i="70"/>
  <c r="CJ29" i="70"/>
  <c r="CK29" i="70"/>
  <c r="CM29" i="70"/>
  <c r="CN29" i="70"/>
  <c r="CO29" i="70"/>
  <c r="CP29" i="70"/>
  <c r="CQ29" i="70"/>
  <c r="CR29" i="70"/>
  <c r="CS29" i="70"/>
  <c r="CT29" i="70"/>
  <c r="CU29" i="70"/>
  <c r="CV29" i="70"/>
  <c r="CW29" i="70"/>
  <c r="CD30" i="70"/>
  <c r="CF30" i="70"/>
  <c r="CG30" i="70"/>
  <c r="CH30" i="70"/>
  <c r="CI30" i="70"/>
  <c r="CK30" i="70"/>
  <c r="CM30" i="70"/>
  <c r="CN30" i="70"/>
  <c r="CO30" i="70"/>
  <c r="CP30" i="70"/>
  <c r="CQ30" i="70"/>
  <c r="CR30" i="70"/>
  <c r="CS30" i="70"/>
  <c r="CT30" i="70"/>
  <c r="CU30" i="70"/>
  <c r="CV30" i="70"/>
  <c r="CW30" i="70"/>
  <c r="CD31" i="70"/>
  <c r="CE31" i="70"/>
  <c r="CG31" i="70"/>
  <c r="CH31" i="70"/>
  <c r="CI31" i="70"/>
  <c r="CJ31" i="70"/>
  <c r="CM31" i="70"/>
  <c r="CN31" i="70"/>
  <c r="CO31" i="70"/>
  <c r="CP31" i="70"/>
  <c r="CQ31" i="70"/>
  <c r="CR31" i="70"/>
  <c r="CS31" i="70"/>
  <c r="CT31" i="70"/>
  <c r="CU31" i="70"/>
  <c r="CV31" i="70"/>
  <c r="CW31" i="70"/>
  <c r="CD32" i="70"/>
  <c r="CE32" i="70"/>
  <c r="CF32" i="70"/>
  <c r="CH32" i="70"/>
  <c r="CI32" i="70"/>
  <c r="CJ32" i="70"/>
  <c r="CK32" i="70"/>
  <c r="CM32" i="70"/>
  <c r="CN32" i="70"/>
  <c r="CO32" i="70"/>
  <c r="CP32" i="70"/>
  <c r="CQ32" i="70"/>
  <c r="CR32" i="70"/>
  <c r="CS32" i="70"/>
  <c r="CT32" i="70"/>
  <c r="CU32" i="70"/>
  <c r="CV32" i="70"/>
  <c r="CW32" i="70"/>
  <c r="CD33" i="70"/>
  <c r="CE33" i="70"/>
  <c r="CF33" i="70"/>
  <c r="CG33" i="70"/>
  <c r="CI33" i="70"/>
  <c r="CJ33" i="70"/>
  <c r="CK33" i="70"/>
  <c r="CN33" i="70"/>
  <c r="CO33" i="70"/>
  <c r="CP33" i="70"/>
  <c r="CQ33" i="70"/>
  <c r="CR33" i="70"/>
  <c r="CS33" i="70"/>
  <c r="CT33" i="70"/>
  <c r="CU33" i="70"/>
  <c r="CV33" i="70"/>
  <c r="CW33" i="70"/>
  <c r="CD34" i="70"/>
  <c r="CE34" i="70"/>
  <c r="CF34" i="70"/>
  <c r="CG34" i="70"/>
  <c r="CH34" i="70"/>
  <c r="CI34" i="70"/>
  <c r="CJ34" i="70"/>
  <c r="CK34" i="70"/>
  <c r="CM34" i="70"/>
  <c r="CN34" i="70"/>
  <c r="CO34" i="70"/>
  <c r="CP34" i="70"/>
  <c r="CQ34" i="70"/>
  <c r="CR34" i="70"/>
  <c r="CS34" i="70"/>
  <c r="CT34" i="70"/>
  <c r="CU34" i="70"/>
  <c r="CV34" i="70"/>
  <c r="CW34" i="70"/>
  <c r="CD35" i="70"/>
  <c r="CE35" i="70"/>
  <c r="CF35" i="70"/>
  <c r="CG35" i="70"/>
  <c r="CH35" i="70"/>
  <c r="CI35" i="70"/>
  <c r="CJ35" i="70"/>
  <c r="CK35" i="70"/>
  <c r="CM35" i="70"/>
  <c r="CN35" i="70"/>
  <c r="CO35" i="70"/>
  <c r="CP35" i="70"/>
  <c r="CQ35" i="70"/>
  <c r="CR35" i="70"/>
  <c r="CS35" i="70"/>
  <c r="CT35" i="70"/>
  <c r="CU35" i="70"/>
  <c r="CV35" i="70"/>
  <c r="CW35" i="70"/>
  <c r="CE36" i="70"/>
  <c r="CF36" i="70"/>
  <c r="CG36" i="70"/>
  <c r="CH36" i="70"/>
  <c r="CI36" i="70"/>
  <c r="CJ36" i="70"/>
  <c r="CK36" i="70"/>
  <c r="CM36" i="70"/>
  <c r="CN36" i="70"/>
  <c r="CO36" i="70"/>
  <c r="CP36" i="70"/>
  <c r="CQ36" i="70"/>
  <c r="CR36" i="70"/>
  <c r="CS36" i="70"/>
  <c r="CT36" i="70"/>
  <c r="CU36" i="70"/>
  <c r="CV36" i="70"/>
  <c r="CW36" i="70"/>
  <c r="CD37" i="70"/>
  <c r="CF37" i="70"/>
  <c r="CG37" i="70"/>
  <c r="CH37" i="70"/>
  <c r="CI37" i="70"/>
  <c r="CK37" i="70"/>
  <c r="CM37" i="70"/>
  <c r="CN37" i="70"/>
  <c r="CO37" i="70"/>
  <c r="CP37" i="70"/>
  <c r="CQ37" i="70"/>
  <c r="CR37" i="70"/>
  <c r="CS37" i="70"/>
  <c r="CT37" i="70"/>
  <c r="CU37" i="70"/>
  <c r="CV37" i="70"/>
  <c r="CW37" i="70"/>
  <c r="CD38" i="70"/>
  <c r="CE38" i="70"/>
  <c r="CG38" i="70"/>
  <c r="CH38" i="70"/>
  <c r="CI38" i="70"/>
  <c r="CJ38" i="70"/>
  <c r="CM38" i="70"/>
  <c r="CN38" i="70"/>
  <c r="CO38" i="70"/>
  <c r="CP38" i="70"/>
  <c r="CQ38" i="70"/>
  <c r="CR38" i="70"/>
  <c r="CS38" i="70"/>
  <c r="CT38" i="70"/>
  <c r="CU38" i="70"/>
  <c r="CV38" i="70"/>
  <c r="CW38" i="70"/>
  <c r="CW9" i="70"/>
  <c r="CV9" i="70"/>
  <c r="CU9" i="70"/>
  <c r="CT9" i="70"/>
  <c r="CS9" i="70"/>
  <c r="CR9" i="70"/>
  <c r="CQ9" i="70"/>
  <c r="CP9" i="70"/>
  <c r="CO9" i="70"/>
  <c r="CN9" i="70"/>
  <c r="CM9" i="70"/>
  <c r="CK9" i="70"/>
  <c r="CI9" i="70"/>
  <c r="CH9" i="70"/>
  <c r="CG9" i="70"/>
  <c r="CF9" i="70"/>
  <c r="CD9" i="70"/>
  <c r="CD10" i="69"/>
  <c r="CE10" i="69"/>
  <c r="CF10" i="69"/>
  <c r="CG10" i="69"/>
  <c r="CH10" i="69"/>
  <c r="CI10" i="69"/>
  <c r="CJ10" i="69"/>
  <c r="CK10" i="69"/>
  <c r="CM10" i="69"/>
  <c r="CN10" i="69"/>
  <c r="CO10" i="69"/>
  <c r="CP10" i="69"/>
  <c r="CQ10" i="69"/>
  <c r="CR10" i="69"/>
  <c r="CS10" i="69"/>
  <c r="CT10" i="69"/>
  <c r="CU10" i="69"/>
  <c r="CV10" i="69"/>
  <c r="CW10" i="69"/>
  <c r="CE11" i="69"/>
  <c r="CF11" i="69"/>
  <c r="CG11" i="69"/>
  <c r="CH11" i="69"/>
  <c r="CI11" i="69"/>
  <c r="CJ11" i="69"/>
  <c r="CK11" i="69"/>
  <c r="CM11" i="69"/>
  <c r="CN11" i="69"/>
  <c r="CO11" i="69"/>
  <c r="CP11" i="69"/>
  <c r="CQ11" i="69"/>
  <c r="CR11" i="69"/>
  <c r="CS11" i="69"/>
  <c r="CT11" i="69"/>
  <c r="CU11" i="69"/>
  <c r="CV11" i="69"/>
  <c r="CW11" i="69"/>
  <c r="CD12" i="69"/>
  <c r="CF12" i="69"/>
  <c r="CG12" i="69"/>
  <c r="CH12" i="69"/>
  <c r="CI12" i="69"/>
  <c r="CK12" i="69"/>
  <c r="CM12" i="69"/>
  <c r="CN12" i="69"/>
  <c r="CO12" i="69"/>
  <c r="CP12" i="69"/>
  <c r="CQ12" i="69"/>
  <c r="CR12" i="69"/>
  <c r="CS12" i="69"/>
  <c r="CT12" i="69"/>
  <c r="CU12" i="69"/>
  <c r="CV12" i="69"/>
  <c r="CW12" i="69"/>
  <c r="CD13" i="69"/>
  <c r="CE13" i="69"/>
  <c r="CG13" i="69"/>
  <c r="CH13" i="69"/>
  <c r="CI13" i="69"/>
  <c r="CJ13" i="69"/>
  <c r="CM13" i="69"/>
  <c r="CN13" i="69"/>
  <c r="CO13" i="69"/>
  <c r="CP13" i="69"/>
  <c r="CQ13" i="69"/>
  <c r="CR13" i="69"/>
  <c r="CS13" i="69"/>
  <c r="CT13" i="69"/>
  <c r="CU13" i="69"/>
  <c r="CV13" i="69"/>
  <c r="CW13" i="69"/>
  <c r="CD14" i="69"/>
  <c r="CE14" i="69"/>
  <c r="CF14" i="69"/>
  <c r="CH14" i="69"/>
  <c r="CI14" i="69"/>
  <c r="CJ14" i="69"/>
  <c r="CK14" i="69"/>
  <c r="CM14" i="69"/>
  <c r="CN14" i="69"/>
  <c r="CO14" i="69"/>
  <c r="CP14" i="69"/>
  <c r="CQ14" i="69"/>
  <c r="CR14" i="69"/>
  <c r="CS14" i="69"/>
  <c r="CT14" i="69"/>
  <c r="CU14" i="69"/>
  <c r="CV14" i="69"/>
  <c r="CW14" i="69"/>
  <c r="CD15" i="69"/>
  <c r="CE15" i="69"/>
  <c r="CF15" i="69"/>
  <c r="CG15" i="69"/>
  <c r="CI15" i="69"/>
  <c r="CJ15" i="69"/>
  <c r="CK15" i="69"/>
  <c r="CN15" i="69"/>
  <c r="CO15" i="69"/>
  <c r="CP15" i="69"/>
  <c r="CQ15" i="69"/>
  <c r="CR15" i="69"/>
  <c r="CS15" i="69"/>
  <c r="CT15" i="69"/>
  <c r="CU15" i="69"/>
  <c r="CV15" i="69"/>
  <c r="CW15" i="69"/>
  <c r="CD16" i="69"/>
  <c r="CE16" i="69"/>
  <c r="CF16" i="69"/>
  <c r="CG16" i="69"/>
  <c r="CH16" i="69"/>
  <c r="CI16" i="69"/>
  <c r="CJ16" i="69"/>
  <c r="CK16" i="69"/>
  <c r="CM16" i="69"/>
  <c r="CN16" i="69"/>
  <c r="CO16" i="69"/>
  <c r="CP16" i="69"/>
  <c r="CQ16" i="69"/>
  <c r="CR16" i="69"/>
  <c r="CS16" i="69"/>
  <c r="CT16" i="69"/>
  <c r="CU16" i="69"/>
  <c r="CV16" i="69"/>
  <c r="CW16" i="69"/>
  <c r="CD17" i="69"/>
  <c r="CE17" i="69"/>
  <c r="CF17" i="69"/>
  <c r="CG17" i="69"/>
  <c r="CH17" i="69"/>
  <c r="CI17" i="69"/>
  <c r="CJ17" i="69"/>
  <c r="CK17" i="69"/>
  <c r="CM17" i="69"/>
  <c r="CN17" i="69"/>
  <c r="CO17" i="69"/>
  <c r="CP17" i="69"/>
  <c r="CQ17" i="69"/>
  <c r="CR17" i="69"/>
  <c r="CS17" i="69"/>
  <c r="CT17" i="69"/>
  <c r="CU17" i="69"/>
  <c r="CV17" i="69"/>
  <c r="CW17" i="69"/>
  <c r="CE18" i="69"/>
  <c r="CF18" i="69"/>
  <c r="CG18" i="69"/>
  <c r="CH18" i="69"/>
  <c r="CI18" i="69"/>
  <c r="CJ18" i="69"/>
  <c r="CK18" i="69"/>
  <c r="CM18" i="69"/>
  <c r="CO18" i="69"/>
  <c r="CP18" i="69"/>
  <c r="CQ18" i="69"/>
  <c r="CR18" i="69"/>
  <c r="CS18" i="69"/>
  <c r="CT18" i="69"/>
  <c r="CU18" i="69"/>
  <c r="CV18" i="69"/>
  <c r="CW18" i="69"/>
  <c r="CD19" i="69"/>
  <c r="CF19" i="69"/>
  <c r="CG19" i="69"/>
  <c r="CH19" i="69"/>
  <c r="CI19" i="69"/>
  <c r="CK19" i="69"/>
  <c r="CM19" i="69"/>
  <c r="CN19" i="69"/>
  <c r="CP19" i="69"/>
  <c r="CQ19" i="69"/>
  <c r="CR19" i="69"/>
  <c r="CS19" i="69"/>
  <c r="CT19" i="69"/>
  <c r="CU19" i="69"/>
  <c r="CV19" i="69"/>
  <c r="CW19" i="69"/>
  <c r="CD20" i="69"/>
  <c r="CE20" i="69"/>
  <c r="CG20" i="69"/>
  <c r="CH20" i="69"/>
  <c r="CI20" i="69"/>
  <c r="CJ20" i="69"/>
  <c r="CM20" i="69"/>
  <c r="CN20" i="69"/>
  <c r="CO20" i="69"/>
  <c r="CQ20" i="69"/>
  <c r="CR20" i="69"/>
  <c r="CS20" i="69"/>
  <c r="CT20" i="69"/>
  <c r="CU20" i="69"/>
  <c r="CV20" i="69"/>
  <c r="CW20" i="69"/>
  <c r="CD21" i="69"/>
  <c r="CE21" i="69"/>
  <c r="CF21" i="69"/>
  <c r="CH21" i="69"/>
  <c r="CI21" i="69"/>
  <c r="CJ21" i="69"/>
  <c r="CK21" i="69"/>
  <c r="CM21" i="69"/>
  <c r="CN21" i="69"/>
  <c r="CO21" i="69"/>
  <c r="CP21" i="69"/>
  <c r="CR21" i="69"/>
  <c r="CS21" i="69"/>
  <c r="CT21" i="69"/>
  <c r="CU21" i="69"/>
  <c r="CV21" i="69"/>
  <c r="CW21" i="69"/>
  <c r="CD22" i="69"/>
  <c r="CE22" i="69"/>
  <c r="CF22" i="69"/>
  <c r="CG22" i="69"/>
  <c r="CI22" i="69"/>
  <c r="CJ22" i="69"/>
  <c r="CK22" i="69"/>
  <c r="CM22" i="69"/>
  <c r="CN22" i="69"/>
  <c r="CO22" i="69"/>
  <c r="CP22" i="69"/>
  <c r="CQ22" i="69"/>
  <c r="CS22" i="69"/>
  <c r="CT22" i="69"/>
  <c r="CU22" i="69"/>
  <c r="CV22" i="69"/>
  <c r="CW22" i="69"/>
  <c r="CD23" i="69"/>
  <c r="CE23" i="69"/>
  <c r="CF23" i="69"/>
  <c r="CG23" i="69"/>
  <c r="CH23" i="69"/>
  <c r="CI23" i="69"/>
  <c r="CJ23" i="69"/>
  <c r="CK23" i="69"/>
  <c r="CM23" i="69"/>
  <c r="CN23" i="69"/>
  <c r="CO23" i="69"/>
  <c r="CP23" i="69"/>
  <c r="CQ23" i="69"/>
  <c r="CR23" i="69"/>
  <c r="CS23" i="69"/>
  <c r="CT23" i="69"/>
  <c r="CU23" i="69"/>
  <c r="CV23" i="69"/>
  <c r="CW23" i="69"/>
  <c r="CD24" i="69"/>
  <c r="CE24" i="69"/>
  <c r="CF24" i="69"/>
  <c r="CG24" i="69"/>
  <c r="CH24" i="69"/>
  <c r="CI24" i="69"/>
  <c r="CJ24" i="69"/>
  <c r="CK24" i="69"/>
  <c r="CM24" i="69"/>
  <c r="CN24" i="69"/>
  <c r="CO24" i="69"/>
  <c r="CP24" i="69"/>
  <c r="CQ24" i="69"/>
  <c r="CR24" i="69"/>
  <c r="CS24" i="69"/>
  <c r="CT24" i="69"/>
  <c r="CU24" i="69"/>
  <c r="CV24" i="69"/>
  <c r="CW24" i="69"/>
  <c r="CE25" i="69"/>
  <c r="CF25" i="69"/>
  <c r="CG25" i="69"/>
  <c r="CH25" i="69"/>
  <c r="CI25" i="69"/>
  <c r="CJ25" i="69"/>
  <c r="CK25" i="69"/>
  <c r="CM25" i="69"/>
  <c r="CN25" i="69"/>
  <c r="CO25" i="69"/>
  <c r="CP25" i="69"/>
  <c r="CQ25" i="69"/>
  <c r="CR25" i="69"/>
  <c r="CT25" i="69"/>
  <c r="CU25" i="69"/>
  <c r="CV25" i="69"/>
  <c r="CW25" i="69"/>
  <c r="CD26" i="69"/>
  <c r="CF26" i="69"/>
  <c r="CG26" i="69"/>
  <c r="CH26" i="69"/>
  <c r="CI26" i="69"/>
  <c r="CK26" i="69"/>
  <c r="CM26" i="69"/>
  <c r="CN26" i="69"/>
  <c r="CO26" i="69"/>
  <c r="CP26" i="69"/>
  <c r="CQ26" i="69"/>
  <c r="CR26" i="69"/>
  <c r="CS26" i="69"/>
  <c r="CU26" i="69"/>
  <c r="CV26" i="69"/>
  <c r="CW26" i="69"/>
  <c r="CD27" i="69"/>
  <c r="CE27" i="69"/>
  <c r="CG27" i="69"/>
  <c r="CH27" i="69"/>
  <c r="CI27" i="69"/>
  <c r="CJ27" i="69"/>
  <c r="CM27" i="69"/>
  <c r="CN27" i="69"/>
  <c r="CO27" i="69"/>
  <c r="CP27" i="69"/>
  <c r="CQ27" i="69"/>
  <c r="CR27" i="69"/>
  <c r="CS27" i="69"/>
  <c r="CT27" i="69"/>
  <c r="CV27" i="69"/>
  <c r="CW27" i="69"/>
  <c r="CD28" i="69"/>
  <c r="CE28" i="69"/>
  <c r="CF28" i="69"/>
  <c r="CH28" i="69"/>
  <c r="CI28" i="69"/>
  <c r="CJ28" i="69"/>
  <c r="CK28" i="69"/>
  <c r="CM28" i="69"/>
  <c r="CN28" i="69"/>
  <c r="CO28" i="69"/>
  <c r="CP28" i="69"/>
  <c r="CQ28" i="69"/>
  <c r="CR28" i="69"/>
  <c r="CS28" i="69"/>
  <c r="CT28" i="69"/>
  <c r="CU28" i="69"/>
  <c r="CW28" i="69"/>
  <c r="CD29" i="69"/>
  <c r="CE29" i="69"/>
  <c r="CF29" i="69"/>
  <c r="CG29" i="69"/>
  <c r="CI29" i="69"/>
  <c r="CJ29" i="69"/>
  <c r="CK29" i="69"/>
  <c r="CN29" i="69"/>
  <c r="CO29" i="69"/>
  <c r="CP29" i="69"/>
  <c r="CQ29" i="69"/>
  <c r="CR29" i="69"/>
  <c r="CS29" i="69"/>
  <c r="CT29" i="69"/>
  <c r="CU29" i="69"/>
  <c r="CV29" i="69"/>
  <c r="CD30" i="69"/>
  <c r="CE30" i="69"/>
  <c r="CF30" i="69"/>
  <c r="CG30" i="69"/>
  <c r="CH30" i="69"/>
  <c r="CI30" i="69"/>
  <c r="CJ30" i="69"/>
  <c r="CK30" i="69"/>
  <c r="CM30" i="69"/>
  <c r="CN30" i="69"/>
  <c r="CO30" i="69"/>
  <c r="CP30" i="69"/>
  <c r="CQ30" i="69"/>
  <c r="CR30" i="69"/>
  <c r="CS30" i="69"/>
  <c r="CT30" i="69"/>
  <c r="CU30" i="69"/>
  <c r="CV30" i="69"/>
  <c r="CW30" i="69"/>
  <c r="CD31" i="69"/>
  <c r="CE31" i="69"/>
  <c r="CF31" i="69"/>
  <c r="CG31" i="69"/>
  <c r="CH31" i="69"/>
  <c r="CI31" i="69"/>
  <c r="CJ31" i="69"/>
  <c r="CK31" i="69"/>
  <c r="CM31" i="69"/>
  <c r="CN31" i="69"/>
  <c r="CO31" i="69"/>
  <c r="CP31" i="69"/>
  <c r="CQ31" i="69"/>
  <c r="CR31" i="69"/>
  <c r="CS31" i="69"/>
  <c r="CT31" i="69"/>
  <c r="CU31" i="69"/>
  <c r="CV31" i="69"/>
  <c r="CW31" i="69"/>
  <c r="CE32" i="69"/>
  <c r="CF32" i="69"/>
  <c r="CG32" i="69"/>
  <c r="CH32" i="69"/>
  <c r="CI32" i="69"/>
  <c r="CJ32" i="69"/>
  <c r="CK32" i="69"/>
  <c r="CM32" i="69"/>
  <c r="CN32" i="69"/>
  <c r="CO32" i="69"/>
  <c r="CP32" i="69"/>
  <c r="CQ32" i="69"/>
  <c r="CR32" i="69"/>
  <c r="CS32" i="69"/>
  <c r="CT32" i="69"/>
  <c r="CU32" i="69"/>
  <c r="CV32" i="69"/>
  <c r="CW32" i="69"/>
  <c r="CD33" i="69"/>
  <c r="CF33" i="69"/>
  <c r="CG33" i="69"/>
  <c r="CH33" i="69"/>
  <c r="CI33" i="69"/>
  <c r="CK33" i="69"/>
  <c r="CM33" i="69"/>
  <c r="CN33" i="69"/>
  <c r="CO33" i="69"/>
  <c r="CP33" i="69"/>
  <c r="CQ33" i="69"/>
  <c r="CR33" i="69"/>
  <c r="CS33" i="69"/>
  <c r="CT33" i="69"/>
  <c r="CU33" i="69"/>
  <c r="CV33" i="69"/>
  <c r="CW33" i="69"/>
  <c r="CD34" i="69"/>
  <c r="CE34" i="69"/>
  <c r="CG34" i="69"/>
  <c r="CH34" i="69"/>
  <c r="CI34" i="69"/>
  <c r="CJ34" i="69"/>
  <c r="CM34" i="69"/>
  <c r="CN34" i="69"/>
  <c r="CO34" i="69"/>
  <c r="CP34" i="69"/>
  <c r="CQ34" i="69"/>
  <c r="CR34" i="69"/>
  <c r="CS34" i="69"/>
  <c r="CT34" i="69"/>
  <c r="CU34" i="69"/>
  <c r="CV34" i="69"/>
  <c r="CW34" i="69"/>
  <c r="CD35" i="69"/>
  <c r="CE35" i="69"/>
  <c r="CF35" i="69"/>
  <c r="CH35" i="69"/>
  <c r="CI35" i="69"/>
  <c r="CJ35" i="69"/>
  <c r="CK35" i="69"/>
  <c r="CM35" i="69"/>
  <c r="CN35" i="69"/>
  <c r="CO35" i="69"/>
  <c r="CP35" i="69"/>
  <c r="CQ35" i="69"/>
  <c r="CR35" i="69"/>
  <c r="CS35" i="69"/>
  <c r="CT35" i="69"/>
  <c r="CU35" i="69"/>
  <c r="CV35" i="69"/>
  <c r="CW35" i="69"/>
  <c r="CD36" i="69"/>
  <c r="CE36" i="69"/>
  <c r="CF36" i="69"/>
  <c r="CG36" i="69"/>
  <c r="CI36" i="69"/>
  <c r="CJ36" i="69"/>
  <c r="CK36" i="69"/>
  <c r="CN36" i="69"/>
  <c r="CO36" i="69"/>
  <c r="CP36" i="69"/>
  <c r="CQ36" i="69"/>
  <c r="CR36" i="69"/>
  <c r="CS36" i="69"/>
  <c r="CT36" i="69"/>
  <c r="CU36" i="69"/>
  <c r="CV36" i="69"/>
  <c r="CW36" i="69"/>
  <c r="CD37" i="69"/>
  <c r="CE37" i="69"/>
  <c r="CF37" i="69"/>
  <c r="CG37" i="69"/>
  <c r="CH37" i="69"/>
  <c r="CI37" i="69"/>
  <c r="CJ37" i="69"/>
  <c r="CK37" i="69"/>
  <c r="CM37" i="69"/>
  <c r="CN37" i="69"/>
  <c r="CO37" i="69"/>
  <c r="CP37" i="69"/>
  <c r="CQ37" i="69"/>
  <c r="CR37" i="69"/>
  <c r="CS37" i="69"/>
  <c r="CT37" i="69"/>
  <c r="CU37" i="69"/>
  <c r="CV37" i="69"/>
  <c r="CW37" i="69"/>
  <c r="CD38" i="69"/>
  <c r="CE38" i="69"/>
  <c r="CF38" i="69"/>
  <c r="CG38" i="69"/>
  <c r="CH38" i="69"/>
  <c r="CI38" i="69"/>
  <c r="CJ38" i="69"/>
  <c r="CK38" i="69"/>
  <c r="CM38" i="69"/>
  <c r="CN38" i="69"/>
  <c r="CO38" i="69"/>
  <c r="CP38" i="69"/>
  <c r="CQ38" i="69"/>
  <c r="CR38" i="69"/>
  <c r="CS38" i="69"/>
  <c r="CT38" i="69"/>
  <c r="CU38" i="69"/>
  <c r="CV38" i="69"/>
  <c r="CW38" i="69"/>
  <c r="CE39" i="69"/>
  <c r="CF39" i="69"/>
  <c r="CG39" i="69"/>
  <c r="CH39" i="69"/>
  <c r="CI39" i="69"/>
  <c r="CJ39" i="69"/>
  <c r="CK39" i="69"/>
  <c r="CM39" i="69"/>
  <c r="CN39" i="69"/>
  <c r="CO39" i="69"/>
  <c r="CP39" i="69"/>
  <c r="CQ39" i="69"/>
  <c r="CR39" i="69"/>
  <c r="CS39" i="69"/>
  <c r="CT39" i="69"/>
  <c r="CU39" i="69"/>
  <c r="CV39" i="69"/>
  <c r="CW39" i="69"/>
  <c r="CW9" i="69"/>
  <c r="CV9" i="69"/>
  <c r="CU9" i="69"/>
  <c r="CT9" i="69"/>
  <c r="CS9" i="69"/>
  <c r="CR9" i="69"/>
  <c r="CQ9" i="69"/>
  <c r="CP9" i="69"/>
  <c r="CO9" i="69"/>
  <c r="CN9" i="69"/>
  <c r="CM9" i="69"/>
  <c r="CK9" i="69"/>
  <c r="CJ9" i="69"/>
  <c r="CI9" i="69"/>
  <c r="CH9" i="69"/>
  <c r="CG9" i="69"/>
  <c r="CF9" i="69"/>
  <c r="CE9" i="69"/>
  <c r="CD9" i="69"/>
  <c r="CD37" i="68"/>
  <c r="CE37" i="68"/>
  <c r="CF37" i="68"/>
  <c r="CG37" i="68"/>
  <c r="CH37" i="68"/>
  <c r="CI37" i="68"/>
  <c r="CJ37" i="68"/>
  <c r="CK37" i="68"/>
  <c r="CM37" i="68"/>
  <c r="CN37" i="68"/>
  <c r="CO37" i="68"/>
  <c r="CP37" i="68"/>
  <c r="CQ37" i="68"/>
  <c r="CR37" i="68"/>
  <c r="CS37" i="68"/>
  <c r="CT37" i="68"/>
  <c r="CU37" i="68"/>
  <c r="CV37" i="68"/>
  <c r="CW37" i="68"/>
  <c r="CD38" i="68"/>
  <c r="CE38" i="68"/>
  <c r="CF38" i="68"/>
  <c r="CG38" i="68"/>
  <c r="CH38" i="68"/>
  <c r="CI38" i="68"/>
  <c r="CJ38" i="68"/>
  <c r="CK38" i="68"/>
  <c r="CL38" i="68"/>
  <c r="CM38" i="68"/>
  <c r="CN38" i="68"/>
  <c r="CO38" i="68"/>
  <c r="CP38" i="68"/>
  <c r="CQ38" i="68"/>
  <c r="CR38" i="68"/>
  <c r="CS38" i="68"/>
  <c r="CT38" i="68"/>
  <c r="CU38" i="68"/>
  <c r="CV38" i="68"/>
  <c r="CW38" i="68"/>
  <c r="CD10" i="67"/>
  <c r="CE10" i="67"/>
  <c r="CF10" i="67"/>
  <c r="CG10" i="67"/>
  <c r="CH10" i="67"/>
  <c r="CI10" i="67"/>
  <c r="CJ10" i="67"/>
  <c r="CK10" i="67"/>
  <c r="CM10" i="67"/>
  <c r="CN10" i="67"/>
  <c r="CO10" i="67"/>
  <c r="CP10" i="67"/>
  <c r="CQ10" i="67"/>
  <c r="CR10" i="67"/>
  <c r="CS10" i="67"/>
  <c r="CT10" i="67"/>
  <c r="CU10" i="67"/>
  <c r="CV10" i="67"/>
  <c r="CW10" i="67"/>
  <c r="CD11" i="67"/>
  <c r="CE11" i="67"/>
  <c r="CF11" i="67"/>
  <c r="CG11" i="67"/>
  <c r="CH11" i="67"/>
  <c r="CI11" i="67"/>
  <c r="CJ11" i="67"/>
  <c r="CK11" i="67"/>
  <c r="CM11" i="67"/>
  <c r="CN11" i="67"/>
  <c r="CO11" i="67"/>
  <c r="CP11" i="67"/>
  <c r="CQ11" i="67"/>
  <c r="CR11" i="67"/>
  <c r="CS11" i="67"/>
  <c r="CT11" i="67"/>
  <c r="CU11" i="67"/>
  <c r="CV11" i="67"/>
  <c r="CW11" i="67"/>
  <c r="CD12" i="67"/>
  <c r="CE12" i="67"/>
  <c r="CF12" i="67"/>
  <c r="CG12" i="67"/>
  <c r="CH12" i="67"/>
  <c r="CI12" i="67"/>
  <c r="CJ12" i="67"/>
  <c r="CK12" i="67"/>
  <c r="CM12" i="67"/>
  <c r="CN12" i="67"/>
  <c r="CO12" i="67"/>
  <c r="CP12" i="67"/>
  <c r="CQ12" i="67"/>
  <c r="CR12" i="67"/>
  <c r="CS12" i="67"/>
  <c r="CT12" i="67"/>
  <c r="CU12" i="67"/>
  <c r="CV12" i="67"/>
  <c r="CW12" i="67"/>
  <c r="CD13" i="67"/>
  <c r="CE13" i="67"/>
  <c r="CF13" i="67"/>
  <c r="CG13" i="67"/>
  <c r="CH13" i="67"/>
  <c r="CI13" i="67"/>
  <c r="CJ13" i="67"/>
  <c r="CK13" i="67"/>
  <c r="CM13" i="67"/>
  <c r="CN13" i="67"/>
  <c r="CO13" i="67"/>
  <c r="CP13" i="67"/>
  <c r="CQ13" i="67"/>
  <c r="CR13" i="67"/>
  <c r="CS13" i="67"/>
  <c r="CT13" i="67"/>
  <c r="CU13" i="67"/>
  <c r="CV13" i="67"/>
  <c r="CW13" i="67"/>
  <c r="CE14" i="67"/>
  <c r="CF14" i="67"/>
  <c r="CG14" i="67"/>
  <c r="CH14" i="67"/>
  <c r="CI14" i="67"/>
  <c r="CJ14" i="67"/>
  <c r="CK14" i="67"/>
  <c r="CM14" i="67"/>
  <c r="CN14" i="67"/>
  <c r="CO14" i="67"/>
  <c r="CP14" i="67"/>
  <c r="CQ14" i="67"/>
  <c r="CR14" i="67"/>
  <c r="CS14" i="67"/>
  <c r="CT14" i="67"/>
  <c r="CU14" i="67"/>
  <c r="CV14" i="67"/>
  <c r="CW14" i="67"/>
  <c r="CD15" i="67"/>
  <c r="CF15" i="67"/>
  <c r="CG15" i="67"/>
  <c r="CH15" i="67"/>
  <c r="CI15" i="67"/>
  <c r="CK15" i="67"/>
  <c r="CM15" i="67"/>
  <c r="CN15" i="67"/>
  <c r="CO15" i="67"/>
  <c r="CP15" i="67"/>
  <c r="CQ15" i="67"/>
  <c r="CR15" i="67"/>
  <c r="CS15" i="67"/>
  <c r="CT15" i="67"/>
  <c r="CU15" i="67"/>
  <c r="CV15" i="67"/>
  <c r="CW15" i="67"/>
  <c r="CD16" i="67"/>
  <c r="CE16" i="67"/>
  <c r="CG16" i="67"/>
  <c r="CH16" i="67"/>
  <c r="CI16" i="67"/>
  <c r="CJ16" i="67"/>
  <c r="CM16" i="67"/>
  <c r="CN16" i="67"/>
  <c r="CO16" i="67"/>
  <c r="CP16" i="67"/>
  <c r="CQ16" i="67"/>
  <c r="CR16" i="67"/>
  <c r="CS16" i="67"/>
  <c r="CT16" i="67"/>
  <c r="CU16" i="67"/>
  <c r="CV16" i="67"/>
  <c r="CW16" i="67"/>
  <c r="CD17" i="67"/>
  <c r="CE17" i="67"/>
  <c r="CF17" i="67"/>
  <c r="CH17" i="67"/>
  <c r="CI17" i="67"/>
  <c r="CJ17" i="67"/>
  <c r="CK17" i="67"/>
  <c r="CM17" i="67"/>
  <c r="CN17" i="67"/>
  <c r="CO17" i="67"/>
  <c r="CP17" i="67"/>
  <c r="CQ17" i="67"/>
  <c r="CR17" i="67"/>
  <c r="CS17" i="67"/>
  <c r="CT17" i="67"/>
  <c r="CU17" i="67"/>
  <c r="CV17" i="67"/>
  <c r="CW17" i="67"/>
  <c r="CD18" i="67"/>
  <c r="CE18" i="67"/>
  <c r="CF18" i="67"/>
  <c r="CG18" i="67"/>
  <c r="CI18" i="67"/>
  <c r="CJ18" i="67"/>
  <c r="CK18" i="67"/>
  <c r="CN18" i="67"/>
  <c r="CO18" i="67"/>
  <c r="CP18" i="67"/>
  <c r="CQ18" i="67"/>
  <c r="CR18" i="67"/>
  <c r="CS18" i="67"/>
  <c r="CT18" i="67"/>
  <c r="CU18" i="67"/>
  <c r="CV18" i="67"/>
  <c r="CW18" i="67"/>
  <c r="CD19" i="67"/>
  <c r="CE19" i="67"/>
  <c r="CF19" i="67"/>
  <c r="CG19" i="67"/>
  <c r="CH19" i="67"/>
  <c r="CI19" i="67"/>
  <c r="CJ19" i="67"/>
  <c r="CK19" i="67"/>
  <c r="CM19" i="67"/>
  <c r="CN19" i="67"/>
  <c r="CO19" i="67"/>
  <c r="CP19" i="67"/>
  <c r="CQ19" i="67"/>
  <c r="CR19" i="67"/>
  <c r="CS19" i="67"/>
  <c r="CT19" i="67"/>
  <c r="CU19" i="67"/>
  <c r="CV19" i="67"/>
  <c r="CW19" i="67"/>
  <c r="CD20" i="67"/>
  <c r="CE20" i="67"/>
  <c r="CF20" i="67"/>
  <c r="CG20" i="67"/>
  <c r="CH20" i="67"/>
  <c r="CI20" i="67"/>
  <c r="CJ20" i="67"/>
  <c r="CK20" i="67"/>
  <c r="CM20" i="67"/>
  <c r="CN20" i="67"/>
  <c r="CO20" i="67"/>
  <c r="CP20" i="67"/>
  <c r="CQ20" i="67"/>
  <c r="CR20" i="67"/>
  <c r="CS20" i="67"/>
  <c r="CT20" i="67"/>
  <c r="CU20" i="67"/>
  <c r="CV20" i="67"/>
  <c r="CW20" i="67"/>
  <c r="CE21" i="67"/>
  <c r="CF21" i="67"/>
  <c r="CG21" i="67"/>
  <c r="CH21" i="67"/>
  <c r="CI21" i="67"/>
  <c r="CJ21" i="67"/>
  <c r="CK21" i="67"/>
  <c r="CM21" i="67"/>
  <c r="CN21" i="67"/>
  <c r="CO21" i="67"/>
  <c r="CP21" i="67"/>
  <c r="CQ21" i="67"/>
  <c r="CR21" i="67"/>
  <c r="CS21" i="67"/>
  <c r="CT21" i="67"/>
  <c r="CU21" i="67"/>
  <c r="CV21" i="67"/>
  <c r="CW21" i="67"/>
  <c r="CD22" i="67"/>
  <c r="CF22" i="67"/>
  <c r="CG22" i="67"/>
  <c r="CH22" i="67"/>
  <c r="CI22" i="67"/>
  <c r="CK22" i="67"/>
  <c r="CM22" i="67"/>
  <c r="CN22" i="67"/>
  <c r="CO22" i="67"/>
  <c r="CP22" i="67"/>
  <c r="CQ22" i="67"/>
  <c r="CR22" i="67"/>
  <c r="CS22" i="67"/>
  <c r="CT22" i="67"/>
  <c r="CU22" i="67"/>
  <c r="CV22" i="67"/>
  <c r="CW22" i="67"/>
  <c r="CD23" i="67"/>
  <c r="CE23" i="67"/>
  <c r="CG23" i="67"/>
  <c r="CH23" i="67"/>
  <c r="CI23" i="67"/>
  <c r="CJ23" i="67"/>
  <c r="CM23" i="67"/>
  <c r="CN23" i="67"/>
  <c r="CO23" i="67"/>
  <c r="CP23" i="67"/>
  <c r="CQ23" i="67"/>
  <c r="CR23" i="67"/>
  <c r="CS23" i="67"/>
  <c r="CT23" i="67"/>
  <c r="CU23" i="67"/>
  <c r="CV23" i="67"/>
  <c r="CW23" i="67"/>
  <c r="CD24" i="67"/>
  <c r="CE24" i="67"/>
  <c r="CF24" i="67"/>
  <c r="CH24" i="67"/>
  <c r="CI24" i="67"/>
  <c r="CJ24" i="67"/>
  <c r="CK24" i="67"/>
  <c r="CM24" i="67"/>
  <c r="CN24" i="67"/>
  <c r="CO24" i="67"/>
  <c r="CP24" i="67"/>
  <c r="CQ24" i="67"/>
  <c r="CR24" i="67"/>
  <c r="CS24" i="67"/>
  <c r="CT24" i="67"/>
  <c r="CU24" i="67"/>
  <c r="CV24" i="67"/>
  <c r="CW24" i="67"/>
  <c r="CD25" i="67"/>
  <c r="CE25" i="67"/>
  <c r="CF25" i="67"/>
  <c r="CG25" i="67"/>
  <c r="CI25" i="67"/>
  <c r="CJ25" i="67"/>
  <c r="CK25" i="67"/>
  <c r="CN25" i="67"/>
  <c r="CO25" i="67"/>
  <c r="CP25" i="67"/>
  <c r="CQ25" i="67"/>
  <c r="CR25" i="67"/>
  <c r="CS25" i="67"/>
  <c r="CT25" i="67"/>
  <c r="CU25" i="67"/>
  <c r="CV25" i="67"/>
  <c r="CW25" i="67"/>
  <c r="CD26" i="67"/>
  <c r="CE26" i="67"/>
  <c r="CF26" i="67"/>
  <c r="CG26" i="67"/>
  <c r="CH26" i="67"/>
  <c r="CI26" i="67"/>
  <c r="CJ26" i="67"/>
  <c r="CK26" i="67"/>
  <c r="CM26" i="67"/>
  <c r="CN26" i="67"/>
  <c r="CO26" i="67"/>
  <c r="CP26" i="67"/>
  <c r="CQ26" i="67"/>
  <c r="CR26" i="67"/>
  <c r="CS26" i="67"/>
  <c r="CT26" i="67"/>
  <c r="CU26" i="67"/>
  <c r="CV26" i="67"/>
  <c r="CW26" i="67"/>
  <c r="CD27" i="67"/>
  <c r="CE27" i="67"/>
  <c r="CF27" i="67"/>
  <c r="CG27" i="67"/>
  <c r="CH27" i="67"/>
  <c r="CI27" i="67"/>
  <c r="CJ27" i="67"/>
  <c r="CK27" i="67"/>
  <c r="CM27" i="67"/>
  <c r="CN27" i="67"/>
  <c r="CO27" i="67"/>
  <c r="CP27" i="67"/>
  <c r="CQ27" i="67"/>
  <c r="CR27" i="67"/>
  <c r="CS27" i="67"/>
  <c r="CT27" i="67"/>
  <c r="CU27" i="67"/>
  <c r="CV27" i="67"/>
  <c r="CW27" i="67"/>
  <c r="CE28" i="67"/>
  <c r="CF28" i="67"/>
  <c r="CG28" i="67"/>
  <c r="CH28" i="67"/>
  <c r="CI28" i="67"/>
  <c r="CJ28" i="67"/>
  <c r="CK28" i="67"/>
  <c r="CM28" i="67"/>
  <c r="CN28" i="67"/>
  <c r="CO28" i="67"/>
  <c r="CP28" i="67"/>
  <c r="CQ28" i="67"/>
  <c r="CR28" i="67"/>
  <c r="CS28" i="67"/>
  <c r="CT28" i="67"/>
  <c r="CU28" i="67"/>
  <c r="CV28" i="67"/>
  <c r="CW28" i="67"/>
  <c r="CD29" i="67"/>
  <c r="CF29" i="67"/>
  <c r="CG29" i="67"/>
  <c r="CH29" i="67"/>
  <c r="CI29" i="67"/>
  <c r="CK29" i="67"/>
  <c r="CM29" i="67"/>
  <c r="CN29" i="67"/>
  <c r="CO29" i="67"/>
  <c r="CP29" i="67"/>
  <c r="CQ29" i="67"/>
  <c r="CR29" i="67"/>
  <c r="CS29" i="67"/>
  <c r="CT29" i="67"/>
  <c r="CU29" i="67"/>
  <c r="CV29" i="67"/>
  <c r="CW29" i="67"/>
  <c r="CD30" i="67"/>
  <c r="CE30" i="67"/>
  <c r="CG30" i="67"/>
  <c r="CH30" i="67"/>
  <c r="CI30" i="67"/>
  <c r="CJ30" i="67"/>
  <c r="CM30" i="67"/>
  <c r="CN30" i="67"/>
  <c r="CO30" i="67"/>
  <c r="CP30" i="67"/>
  <c r="CQ30" i="67"/>
  <c r="CR30" i="67"/>
  <c r="CS30" i="67"/>
  <c r="CT30" i="67"/>
  <c r="CU30" i="67"/>
  <c r="CV30" i="67"/>
  <c r="CW30" i="67"/>
  <c r="CD31" i="67"/>
  <c r="CE31" i="67"/>
  <c r="CF31" i="67"/>
  <c r="CH31" i="67"/>
  <c r="CI31" i="67"/>
  <c r="CJ31" i="67"/>
  <c r="CK31" i="67"/>
  <c r="CM31" i="67"/>
  <c r="CN31" i="67"/>
  <c r="CO31" i="67"/>
  <c r="CP31" i="67"/>
  <c r="CQ31" i="67"/>
  <c r="CR31" i="67"/>
  <c r="CS31" i="67"/>
  <c r="CT31" i="67"/>
  <c r="CU31" i="67"/>
  <c r="CV31" i="67"/>
  <c r="CW31" i="67"/>
  <c r="CD32" i="67"/>
  <c r="CE32" i="67"/>
  <c r="CF32" i="67"/>
  <c r="CG32" i="67"/>
  <c r="CI32" i="67"/>
  <c r="CJ32" i="67"/>
  <c r="CK32" i="67"/>
  <c r="CN32" i="67"/>
  <c r="CO32" i="67"/>
  <c r="CP32" i="67"/>
  <c r="CQ32" i="67"/>
  <c r="CR32" i="67"/>
  <c r="CS32" i="67"/>
  <c r="CT32" i="67"/>
  <c r="CU32" i="67"/>
  <c r="CV32" i="67"/>
  <c r="CW32" i="67"/>
  <c r="CD33" i="67"/>
  <c r="CE33" i="67"/>
  <c r="CF33" i="67"/>
  <c r="CG33" i="67"/>
  <c r="CH33" i="67"/>
  <c r="CI33" i="67"/>
  <c r="CJ33" i="67"/>
  <c r="CK33" i="67"/>
  <c r="CM33" i="67"/>
  <c r="CN33" i="67"/>
  <c r="CO33" i="67"/>
  <c r="CP33" i="67"/>
  <c r="CQ33" i="67"/>
  <c r="CR33" i="67"/>
  <c r="CS33" i="67"/>
  <c r="CT33" i="67"/>
  <c r="CU33" i="67"/>
  <c r="CV33" i="67"/>
  <c r="CW33" i="67"/>
  <c r="CD34" i="67"/>
  <c r="CE34" i="67"/>
  <c r="CF34" i="67"/>
  <c r="CG34" i="67"/>
  <c r="CH34" i="67"/>
  <c r="CI34" i="67"/>
  <c r="CJ34" i="67"/>
  <c r="CK34" i="67"/>
  <c r="CM34" i="67"/>
  <c r="CN34" i="67"/>
  <c r="CO34" i="67"/>
  <c r="CP34" i="67"/>
  <c r="CQ34" i="67"/>
  <c r="CR34" i="67"/>
  <c r="CS34" i="67"/>
  <c r="CT34" i="67"/>
  <c r="CU34" i="67"/>
  <c r="CV34" i="67"/>
  <c r="CW34" i="67"/>
  <c r="CE35" i="67"/>
  <c r="CF35" i="67"/>
  <c r="CG35" i="67"/>
  <c r="CH35" i="67"/>
  <c r="CI35" i="67"/>
  <c r="CJ35" i="67"/>
  <c r="CK35" i="67"/>
  <c r="CM35" i="67"/>
  <c r="CN35" i="67"/>
  <c r="CO35" i="67"/>
  <c r="CP35" i="67"/>
  <c r="CQ35" i="67"/>
  <c r="CR35" i="67"/>
  <c r="CS35" i="67"/>
  <c r="CT35" i="67"/>
  <c r="CU35" i="67"/>
  <c r="CV35" i="67"/>
  <c r="CW35" i="67"/>
  <c r="CD36" i="67"/>
  <c r="CF36" i="67"/>
  <c r="CG36" i="67"/>
  <c r="CH36" i="67"/>
  <c r="CI36" i="67"/>
  <c r="CK36" i="67"/>
  <c r="CM36" i="67"/>
  <c r="CN36" i="67"/>
  <c r="CO36" i="67"/>
  <c r="CP36" i="67"/>
  <c r="CQ36" i="67"/>
  <c r="CR36" i="67"/>
  <c r="CS36" i="67"/>
  <c r="CT36" i="67"/>
  <c r="CU36" i="67"/>
  <c r="CV36" i="67"/>
  <c r="CW36" i="67"/>
  <c r="CD37" i="67"/>
  <c r="CE37" i="67"/>
  <c r="CG37" i="67"/>
  <c r="CH37" i="67"/>
  <c r="CI37" i="67"/>
  <c r="CJ37" i="67"/>
  <c r="CM37" i="67"/>
  <c r="CN37" i="67"/>
  <c r="CO37" i="67"/>
  <c r="CP37" i="67"/>
  <c r="CQ37" i="67"/>
  <c r="CR37" i="67"/>
  <c r="CS37" i="67"/>
  <c r="CT37" i="67"/>
  <c r="CU37" i="67"/>
  <c r="CV37" i="67"/>
  <c r="CW37" i="67"/>
  <c r="CD38" i="67"/>
  <c r="CE38" i="67"/>
  <c r="CF38" i="67"/>
  <c r="CH38" i="67"/>
  <c r="CI38" i="67"/>
  <c r="CJ38" i="67"/>
  <c r="CK38" i="67"/>
  <c r="CM38" i="67"/>
  <c r="CN38" i="67"/>
  <c r="CO38" i="67"/>
  <c r="CP38" i="67"/>
  <c r="CQ38" i="67"/>
  <c r="CR38" i="67"/>
  <c r="CS38" i="67"/>
  <c r="CT38" i="67"/>
  <c r="CU38" i="67"/>
  <c r="CV38" i="67"/>
  <c r="CW38" i="67"/>
  <c r="CD39" i="67"/>
  <c r="CE39" i="67"/>
  <c r="CF39" i="67"/>
  <c r="CG39" i="67"/>
  <c r="CI39" i="67"/>
  <c r="CJ39" i="67"/>
  <c r="CK39" i="67"/>
  <c r="CN39" i="67"/>
  <c r="CO39" i="67"/>
  <c r="CP39" i="67"/>
  <c r="CQ39" i="67"/>
  <c r="CR39" i="67"/>
  <c r="CS39" i="67"/>
  <c r="CT39" i="67"/>
  <c r="CU39" i="67"/>
  <c r="CV39" i="67"/>
  <c r="CW39" i="67"/>
  <c r="CW9" i="67"/>
  <c r="CV9" i="67"/>
  <c r="CU9" i="67"/>
  <c r="CT9" i="67"/>
  <c r="CS9" i="67"/>
  <c r="CR9" i="67"/>
  <c r="CQ9" i="67"/>
  <c r="CP9" i="67"/>
  <c r="CO9" i="67"/>
  <c r="CN9" i="67"/>
  <c r="CM9" i="67"/>
  <c r="CK9" i="67"/>
  <c r="CJ9" i="67"/>
  <c r="CI9" i="67"/>
  <c r="CH9" i="67"/>
  <c r="CG9" i="67"/>
  <c r="CF9" i="67"/>
  <c r="CE9" i="67"/>
  <c r="CD9" i="67"/>
  <c r="CE10" i="66"/>
  <c r="CF10" i="66"/>
  <c r="CG10" i="66"/>
  <c r="CH10" i="66"/>
  <c r="CI10" i="66"/>
  <c r="CJ10" i="66"/>
  <c r="CK10" i="66"/>
  <c r="CM10" i="66"/>
  <c r="CN10" i="66"/>
  <c r="CO10" i="66"/>
  <c r="CP10" i="66"/>
  <c r="CQ10" i="66"/>
  <c r="CR10" i="66"/>
  <c r="CS10" i="66"/>
  <c r="CT10" i="66"/>
  <c r="CU10" i="66"/>
  <c r="CV10" i="66"/>
  <c r="CW10" i="66"/>
  <c r="CD11" i="66"/>
  <c r="CF11" i="66"/>
  <c r="CG11" i="66"/>
  <c r="CH11" i="66"/>
  <c r="CI11" i="66"/>
  <c r="CJ11" i="66"/>
  <c r="CK11" i="66"/>
  <c r="CM11" i="66"/>
  <c r="CN11" i="66"/>
  <c r="CO11" i="66"/>
  <c r="CP11" i="66"/>
  <c r="CQ11" i="66"/>
  <c r="CR11" i="66"/>
  <c r="CS11" i="66"/>
  <c r="CT11" i="66"/>
  <c r="CU11" i="66"/>
  <c r="CV11" i="66"/>
  <c r="CW11" i="66"/>
  <c r="CD12" i="66"/>
  <c r="CE12" i="66"/>
  <c r="CG12" i="66"/>
  <c r="CH12" i="66"/>
  <c r="CI12" i="66"/>
  <c r="CJ12" i="66"/>
  <c r="CM12" i="66"/>
  <c r="CN12" i="66"/>
  <c r="CO12" i="66"/>
  <c r="CP12" i="66"/>
  <c r="CQ12" i="66"/>
  <c r="CR12" i="66"/>
  <c r="CS12" i="66"/>
  <c r="CT12" i="66"/>
  <c r="CU12" i="66"/>
  <c r="CV12" i="66"/>
  <c r="CW12" i="66"/>
  <c r="CD13" i="66"/>
  <c r="CE13" i="66"/>
  <c r="CF13" i="66"/>
  <c r="CH13" i="66"/>
  <c r="CI13" i="66"/>
  <c r="CJ13" i="66"/>
  <c r="CK13" i="66"/>
  <c r="CM13" i="66"/>
  <c r="CN13" i="66"/>
  <c r="CO13" i="66"/>
  <c r="CP13" i="66"/>
  <c r="CQ13" i="66"/>
  <c r="CR13" i="66"/>
  <c r="CS13" i="66"/>
  <c r="CT13" i="66"/>
  <c r="CU13" i="66"/>
  <c r="CV13" i="66"/>
  <c r="CW13" i="66"/>
  <c r="CD14" i="66"/>
  <c r="CE14" i="66"/>
  <c r="CF14" i="66"/>
  <c r="CG14" i="66"/>
  <c r="CI14" i="66"/>
  <c r="CJ14" i="66"/>
  <c r="CK14" i="66"/>
  <c r="CM14" i="66"/>
  <c r="CN14" i="66"/>
  <c r="CO14" i="66"/>
  <c r="CP14" i="66"/>
  <c r="CQ14" i="66"/>
  <c r="CR14" i="66"/>
  <c r="CS14" i="66"/>
  <c r="CT14" i="66"/>
  <c r="CU14" i="66"/>
  <c r="CV14" i="66"/>
  <c r="CW14" i="66"/>
  <c r="CD15" i="66"/>
  <c r="CE15" i="66"/>
  <c r="CF15" i="66"/>
  <c r="CG15" i="66"/>
  <c r="CH15" i="66"/>
  <c r="CI15" i="66"/>
  <c r="CJ15" i="66"/>
  <c r="CK15" i="66"/>
  <c r="CM15" i="66"/>
  <c r="CN15" i="66"/>
  <c r="CO15" i="66"/>
  <c r="CP15" i="66"/>
  <c r="CQ15" i="66"/>
  <c r="CR15" i="66"/>
  <c r="CS15" i="66"/>
  <c r="CT15" i="66"/>
  <c r="CU15" i="66"/>
  <c r="CV15" i="66"/>
  <c r="CW15" i="66"/>
  <c r="CD16" i="66"/>
  <c r="CE16" i="66"/>
  <c r="CF16" i="66"/>
  <c r="CG16" i="66"/>
  <c r="CH16" i="66"/>
  <c r="CI16" i="66"/>
  <c r="CJ16" i="66"/>
  <c r="CK16" i="66"/>
  <c r="CM16" i="66"/>
  <c r="CN16" i="66"/>
  <c r="CO16" i="66"/>
  <c r="CP16" i="66"/>
  <c r="CQ16" i="66"/>
  <c r="CR16" i="66"/>
  <c r="CS16" i="66"/>
  <c r="CT16" i="66"/>
  <c r="CU16" i="66"/>
  <c r="CV16" i="66"/>
  <c r="CW16" i="66"/>
  <c r="CE17" i="66"/>
  <c r="CF17" i="66"/>
  <c r="CG17" i="66"/>
  <c r="CH17" i="66"/>
  <c r="CI17" i="66"/>
  <c r="CJ17" i="66"/>
  <c r="CK17" i="66"/>
  <c r="CM17" i="66"/>
  <c r="CN17" i="66"/>
  <c r="CO17" i="66"/>
  <c r="CP17" i="66"/>
  <c r="CQ17" i="66"/>
  <c r="CR17" i="66"/>
  <c r="CS17" i="66"/>
  <c r="CT17" i="66"/>
  <c r="CU17" i="66"/>
  <c r="CV17" i="66"/>
  <c r="CW17" i="66"/>
  <c r="CD18" i="66"/>
  <c r="CF18" i="66"/>
  <c r="CG18" i="66"/>
  <c r="CH18" i="66"/>
  <c r="CI18" i="66"/>
  <c r="CJ18" i="66"/>
  <c r="CK18" i="66"/>
  <c r="CM18" i="66"/>
  <c r="CN18" i="66"/>
  <c r="CO18" i="66"/>
  <c r="CP18" i="66"/>
  <c r="CQ18" i="66"/>
  <c r="CR18" i="66"/>
  <c r="CS18" i="66"/>
  <c r="CT18" i="66"/>
  <c r="CU18" i="66"/>
  <c r="CV18" i="66"/>
  <c r="CW18" i="66"/>
  <c r="CD19" i="66"/>
  <c r="CE19" i="66"/>
  <c r="CG19" i="66"/>
  <c r="CH19" i="66"/>
  <c r="CI19" i="66"/>
  <c r="CJ19" i="66"/>
  <c r="CM19" i="66"/>
  <c r="CN19" i="66"/>
  <c r="CO19" i="66"/>
  <c r="CP19" i="66"/>
  <c r="CQ19" i="66"/>
  <c r="CR19" i="66"/>
  <c r="CS19" i="66"/>
  <c r="CT19" i="66"/>
  <c r="CU19" i="66"/>
  <c r="CV19" i="66"/>
  <c r="CW19" i="66"/>
  <c r="CD20" i="66"/>
  <c r="CE20" i="66"/>
  <c r="CF20" i="66"/>
  <c r="CH20" i="66"/>
  <c r="CI20" i="66"/>
  <c r="CJ20" i="66"/>
  <c r="CK20" i="66"/>
  <c r="CM20" i="66"/>
  <c r="CN20" i="66"/>
  <c r="CO20" i="66"/>
  <c r="CP20" i="66"/>
  <c r="CQ20" i="66"/>
  <c r="CR20" i="66"/>
  <c r="CS20" i="66"/>
  <c r="CT20" i="66"/>
  <c r="CU20" i="66"/>
  <c r="CV20" i="66"/>
  <c r="CW20" i="66"/>
  <c r="CD21" i="66"/>
  <c r="CE21" i="66"/>
  <c r="CF21" i="66"/>
  <c r="CG21" i="66"/>
  <c r="CI21" i="66"/>
  <c r="CJ21" i="66"/>
  <c r="CK21" i="66"/>
  <c r="CM21" i="66"/>
  <c r="CN21" i="66"/>
  <c r="CO21" i="66"/>
  <c r="CP21" i="66"/>
  <c r="CQ21" i="66"/>
  <c r="CR21" i="66"/>
  <c r="CS21" i="66"/>
  <c r="CT21" i="66"/>
  <c r="CU21" i="66"/>
  <c r="CV21" i="66"/>
  <c r="CW21" i="66"/>
  <c r="CD22" i="66"/>
  <c r="CE22" i="66"/>
  <c r="CF22" i="66"/>
  <c r="CG22" i="66"/>
  <c r="CH22" i="66"/>
  <c r="CI22" i="66"/>
  <c r="CJ22" i="66"/>
  <c r="CK22" i="66"/>
  <c r="CM22" i="66"/>
  <c r="CN22" i="66"/>
  <c r="CO22" i="66"/>
  <c r="CP22" i="66"/>
  <c r="CQ22" i="66"/>
  <c r="CR22" i="66"/>
  <c r="CS22" i="66"/>
  <c r="CT22" i="66"/>
  <c r="CU22" i="66"/>
  <c r="CV22" i="66"/>
  <c r="CW22" i="66"/>
  <c r="CD23" i="66"/>
  <c r="CE23" i="66"/>
  <c r="CF23" i="66"/>
  <c r="CG23" i="66"/>
  <c r="CH23" i="66"/>
  <c r="CI23" i="66"/>
  <c r="CJ23" i="66"/>
  <c r="CK23" i="66"/>
  <c r="CM23" i="66"/>
  <c r="CN23" i="66"/>
  <c r="CO23" i="66"/>
  <c r="CP23" i="66"/>
  <c r="CQ23" i="66"/>
  <c r="CR23" i="66"/>
  <c r="CS23" i="66"/>
  <c r="CT23" i="66"/>
  <c r="CU23" i="66"/>
  <c r="CV23" i="66"/>
  <c r="CW23" i="66"/>
  <c r="CE24" i="66"/>
  <c r="CF24" i="66"/>
  <c r="CG24" i="66"/>
  <c r="CH24" i="66"/>
  <c r="CI24" i="66"/>
  <c r="CJ24" i="66"/>
  <c r="CK24" i="66"/>
  <c r="CM24" i="66"/>
  <c r="CN24" i="66"/>
  <c r="CO24" i="66"/>
  <c r="CP24" i="66"/>
  <c r="CQ24" i="66"/>
  <c r="CR24" i="66"/>
  <c r="CS24" i="66"/>
  <c r="CT24" i="66"/>
  <c r="CU24" i="66"/>
  <c r="CV24" i="66"/>
  <c r="CW24" i="66"/>
  <c r="CD25" i="66"/>
  <c r="CF25" i="66"/>
  <c r="CG25" i="66"/>
  <c r="CH25" i="66"/>
  <c r="CI25" i="66"/>
  <c r="CJ25" i="66"/>
  <c r="CK25" i="66"/>
  <c r="CM25" i="66"/>
  <c r="CN25" i="66"/>
  <c r="CO25" i="66"/>
  <c r="CP25" i="66"/>
  <c r="CQ25" i="66"/>
  <c r="CR25" i="66"/>
  <c r="CS25" i="66"/>
  <c r="CT25" i="66"/>
  <c r="CU25" i="66"/>
  <c r="CV25" i="66"/>
  <c r="CW25" i="66"/>
  <c r="CD26" i="66"/>
  <c r="CE26" i="66"/>
  <c r="CG26" i="66"/>
  <c r="CH26" i="66"/>
  <c r="CI26" i="66"/>
  <c r="CJ26" i="66"/>
  <c r="CM26" i="66"/>
  <c r="CN26" i="66"/>
  <c r="CO26" i="66"/>
  <c r="CP26" i="66"/>
  <c r="CQ26" i="66"/>
  <c r="CR26" i="66"/>
  <c r="CS26" i="66"/>
  <c r="CT26" i="66"/>
  <c r="CU26" i="66"/>
  <c r="CV26" i="66"/>
  <c r="CW26" i="66"/>
  <c r="CD27" i="66"/>
  <c r="CE27" i="66"/>
  <c r="CF27" i="66"/>
  <c r="CH27" i="66"/>
  <c r="CI27" i="66"/>
  <c r="CJ27" i="66"/>
  <c r="CK27" i="66"/>
  <c r="CM27" i="66"/>
  <c r="CN27" i="66"/>
  <c r="CO27" i="66"/>
  <c r="CP27" i="66"/>
  <c r="CQ27" i="66"/>
  <c r="CR27" i="66"/>
  <c r="CS27" i="66"/>
  <c r="CT27" i="66"/>
  <c r="CU27" i="66"/>
  <c r="CV27" i="66"/>
  <c r="CW27" i="66"/>
  <c r="CD28" i="66"/>
  <c r="CE28" i="66"/>
  <c r="CF28" i="66"/>
  <c r="CG28" i="66"/>
  <c r="CI28" i="66"/>
  <c r="CJ28" i="66"/>
  <c r="CK28" i="66"/>
  <c r="CM28" i="66"/>
  <c r="CN28" i="66"/>
  <c r="CO28" i="66"/>
  <c r="CP28" i="66"/>
  <c r="CQ28" i="66"/>
  <c r="CR28" i="66"/>
  <c r="CS28" i="66"/>
  <c r="CT28" i="66"/>
  <c r="CU28" i="66"/>
  <c r="CV28" i="66"/>
  <c r="CW28" i="66"/>
  <c r="CD29" i="66"/>
  <c r="CE29" i="66"/>
  <c r="CF29" i="66"/>
  <c r="CG29" i="66"/>
  <c r="CH29" i="66"/>
  <c r="CI29" i="66"/>
  <c r="CJ29" i="66"/>
  <c r="CK29" i="66"/>
  <c r="CM29" i="66"/>
  <c r="CN29" i="66"/>
  <c r="CO29" i="66"/>
  <c r="CP29" i="66"/>
  <c r="CQ29" i="66"/>
  <c r="CR29" i="66"/>
  <c r="CS29" i="66"/>
  <c r="CT29" i="66"/>
  <c r="CU29" i="66"/>
  <c r="CV29" i="66"/>
  <c r="CW29" i="66"/>
  <c r="CD30" i="66"/>
  <c r="CE30" i="66"/>
  <c r="CF30" i="66"/>
  <c r="CG30" i="66"/>
  <c r="CH30" i="66"/>
  <c r="CI30" i="66"/>
  <c r="CJ30" i="66"/>
  <c r="CK30" i="66"/>
  <c r="CM30" i="66"/>
  <c r="CN30" i="66"/>
  <c r="CO30" i="66"/>
  <c r="CP30" i="66"/>
  <c r="CQ30" i="66"/>
  <c r="CR30" i="66"/>
  <c r="CS30" i="66"/>
  <c r="CT30" i="66"/>
  <c r="CU30" i="66"/>
  <c r="CV30" i="66"/>
  <c r="CW30" i="66"/>
  <c r="CD31" i="66"/>
  <c r="CE31" i="66"/>
  <c r="CF31" i="66"/>
  <c r="CG31" i="66"/>
  <c r="CH31" i="66"/>
  <c r="CI31" i="66"/>
  <c r="CJ31" i="66"/>
  <c r="CK31" i="66"/>
  <c r="CM31" i="66"/>
  <c r="CN31" i="66"/>
  <c r="CO31" i="66"/>
  <c r="CP31" i="66"/>
  <c r="CQ31" i="66"/>
  <c r="CR31" i="66"/>
  <c r="CS31" i="66"/>
  <c r="CT31" i="66"/>
  <c r="CU31" i="66"/>
  <c r="CV31" i="66"/>
  <c r="CW31" i="66"/>
  <c r="CD32" i="66"/>
  <c r="CE32" i="66"/>
  <c r="CF32" i="66"/>
  <c r="CG32" i="66"/>
  <c r="CH32" i="66"/>
  <c r="CI32" i="66"/>
  <c r="CJ32" i="66"/>
  <c r="CK32" i="66"/>
  <c r="CM32" i="66"/>
  <c r="CN32" i="66"/>
  <c r="CO32" i="66"/>
  <c r="CP32" i="66"/>
  <c r="CQ32" i="66"/>
  <c r="CR32" i="66"/>
  <c r="CS32" i="66"/>
  <c r="CT32" i="66"/>
  <c r="CU32" i="66"/>
  <c r="CV32" i="66"/>
  <c r="CW32" i="66"/>
  <c r="CD33" i="66"/>
  <c r="CE33" i="66"/>
  <c r="CF33" i="66"/>
  <c r="CG33" i="66"/>
  <c r="CH33" i="66"/>
  <c r="CI33" i="66"/>
  <c r="CJ33" i="66"/>
  <c r="CK33" i="66"/>
  <c r="CM33" i="66"/>
  <c r="CN33" i="66"/>
  <c r="CO33" i="66"/>
  <c r="CP33" i="66"/>
  <c r="CQ33" i="66"/>
  <c r="CR33" i="66"/>
  <c r="CS33" i="66"/>
  <c r="CT33" i="66"/>
  <c r="CU33" i="66"/>
  <c r="CV33" i="66"/>
  <c r="CW33" i="66"/>
  <c r="CD34" i="66"/>
  <c r="CE34" i="66"/>
  <c r="CF34" i="66"/>
  <c r="CG34" i="66"/>
  <c r="CH34" i="66"/>
  <c r="CI34" i="66"/>
  <c r="CJ34" i="66"/>
  <c r="CK34" i="66"/>
  <c r="CM34" i="66"/>
  <c r="CN34" i="66"/>
  <c r="CO34" i="66"/>
  <c r="CP34" i="66"/>
  <c r="CQ34" i="66"/>
  <c r="CR34" i="66"/>
  <c r="CS34" i="66"/>
  <c r="CT34" i="66"/>
  <c r="CU34" i="66"/>
  <c r="CV34" i="66"/>
  <c r="CW34" i="66"/>
  <c r="CD35" i="66"/>
  <c r="CE35" i="66"/>
  <c r="CF35" i="66"/>
  <c r="CG35" i="66"/>
  <c r="CH35" i="66"/>
  <c r="CI35" i="66"/>
  <c r="CJ35" i="66"/>
  <c r="CK35" i="66"/>
  <c r="CM35" i="66"/>
  <c r="CN35" i="66"/>
  <c r="CO35" i="66"/>
  <c r="CP35" i="66"/>
  <c r="CQ35" i="66"/>
  <c r="CR35" i="66"/>
  <c r="CS35" i="66"/>
  <c r="CT35" i="66"/>
  <c r="CU35" i="66"/>
  <c r="CV35" i="66"/>
  <c r="CW35" i="66"/>
  <c r="CD36" i="66"/>
  <c r="CE36" i="66"/>
  <c r="CF36" i="66"/>
  <c r="CG36" i="66"/>
  <c r="CH36" i="66"/>
  <c r="CI36" i="66"/>
  <c r="CJ36" i="66"/>
  <c r="CK36" i="66"/>
  <c r="CM36" i="66"/>
  <c r="CN36" i="66"/>
  <c r="CO36" i="66"/>
  <c r="CP36" i="66"/>
  <c r="CQ36" i="66"/>
  <c r="CR36" i="66"/>
  <c r="CS36" i="66"/>
  <c r="CT36" i="66"/>
  <c r="CU36" i="66"/>
  <c r="CV36" i="66"/>
  <c r="CW36" i="66"/>
  <c r="CD37" i="66"/>
  <c r="CE37" i="66"/>
  <c r="CF37" i="66"/>
  <c r="CG37" i="66"/>
  <c r="CH37" i="66"/>
  <c r="CI37" i="66"/>
  <c r="CJ37" i="66"/>
  <c r="CK37" i="66"/>
  <c r="CM37" i="66"/>
  <c r="CN37" i="66"/>
  <c r="CO37" i="66"/>
  <c r="CP37" i="66"/>
  <c r="CQ37" i="66"/>
  <c r="CR37" i="66"/>
  <c r="CS37" i="66"/>
  <c r="CT37" i="66"/>
  <c r="CU37" i="66"/>
  <c r="CV37" i="66"/>
  <c r="CW37" i="66"/>
  <c r="CD38" i="66"/>
  <c r="CE38" i="66"/>
  <c r="CF38" i="66"/>
  <c r="CG38" i="66"/>
  <c r="CH38" i="66"/>
  <c r="CI38" i="66"/>
  <c r="CJ38" i="66"/>
  <c r="CK38" i="66"/>
  <c r="CM38" i="66"/>
  <c r="CN38" i="66"/>
  <c r="CO38" i="66"/>
  <c r="CP38" i="66"/>
  <c r="CQ38" i="66"/>
  <c r="CR38" i="66"/>
  <c r="CS38" i="66"/>
  <c r="CT38" i="66"/>
  <c r="CU38" i="66"/>
  <c r="CV38" i="66"/>
  <c r="CW38" i="66"/>
  <c r="CD39" i="66"/>
  <c r="CE39" i="66"/>
  <c r="CF39" i="66"/>
  <c r="CG39" i="66"/>
  <c r="CH39" i="66"/>
  <c r="CI39" i="66"/>
  <c r="CJ39" i="66"/>
  <c r="CK39" i="66"/>
  <c r="CM39" i="66"/>
  <c r="CN39" i="66"/>
  <c r="CO39" i="66"/>
  <c r="CP39" i="66"/>
  <c r="CQ39" i="66"/>
  <c r="CR39" i="66"/>
  <c r="CS39" i="66"/>
  <c r="CT39" i="66"/>
  <c r="CU39" i="66"/>
  <c r="CV39" i="66"/>
  <c r="CW39" i="66"/>
  <c r="CW9" i="66"/>
  <c r="CV9" i="66"/>
  <c r="CU9" i="66"/>
  <c r="CT9" i="66"/>
  <c r="CS9" i="66"/>
  <c r="CR9" i="66"/>
  <c r="CQ9" i="66"/>
  <c r="CP9" i="66"/>
  <c r="CO9" i="66"/>
  <c r="CN9" i="66"/>
  <c r="CM9" i="66"/>
  <c r="CK9" i="66"/>
  <c r="CJ9" i="66"/>
  <c r="CI9" i="66"/>
  <c r="CH9" i="66"/>
  <c r="CG9" i="66"/>
  <c r="CF9" i="66"/>
  <c r="CE9" i="66"/>
  <c r="CD9" i="66"/>
  <c r="CD10" i="65"/>
  <c r="CE10" i="65"/>
  <c r="CF10" i="65"/>
  <c r="CG10" i="65"/>
  <c r="CH10" i="65"/>
  <c r="CI10" i="65"/>
  <c r="CJ10" i="65"/>
  <c r="CK10" i="65"/>
  <c r="CM10" i="65"/>
  <c r="CN10" i="65"/>
  <c r="CO10" i="65"/>
  <c r="CP10" i="65"/>
  <c r="CQ10" i="65"/>
  <c r="CR10" i="65"/>
  <c r="CS10" i="65"/>
  <c r="CT10" i="65"/>
  <c r="CU10" i="65"/>
  <c r="CV10" i="65"/>
  <c r="CW10" i="65"/>
  <c r="CD11" i="65"/>
  <c r="CE11" i="65"/>
  <c r="CF11" i="65"/>
  <c r="CG11" i="65"/>
  <c r="CH11" i="65"/>
  <c r="CI11" i="65"/>
  <c r="CJ11" i="65"/>
  <c r="CK11" i="65"/>
  <c r="CM11" i="65"/>
  <c r="CN11" i="65"/>
  <c r="CO11" i="65"/>
  <c r="CP11" i="65"/>
  <c r="CQ11" i="65"/>
  <c r="CR11" i="65"/>
  <c r="CS11" i="65"/>
  <c r="CT11" i="65"/>
  <c r="CU11" i="65"/>
  <c r="CV11" i="65"/>
  <c r="CW11" i="65"/>
  <c r="CE12" i="65"/>
  <c r="CF12" i="65"/>
  <c r="CG12" i="65"/>
  <c r="CH12" i="65"/>
  <c r="CI12" i="65"/>
  <c r="CJ12" i="65"/>
  <c r="CK12" i="65"/>
  <c r="CM12" i="65"/>
  <c r="CN12" i="65"/>
  <c r="CO12" i="65"/>
  <c r="CP12" i="65"/>
  <c r="CQ12" i="65"/>
  <c r="CR12" i="65"/>
  <c r="CS12" i="65"/>
  <c r="CT12" i="65"/>
  <c r="CU12" i="65"/>
  <c r="CV12" i="65"/>
  <c r="CW12" i="65"/>
  <c r="CD13" i="65"/>
  <c r="CF13" i="65"/>
  <c r="CG13" i="65"/>
  <c r="CH13" i="65"/>
  <c r="CI13" i="65"/>
  <c r="CJ13" i="65"/>
  <c r="CK13" i="65"/>
  <c r="CM13" i="65"/>
  <c r="CN13" i="65"/>
  <c r="CO13" i="65"/>
  <c r="CP13" i="65"/>
  <c r="CQ13" i="65"/>
  <c r="CR13" i="65"/>
  <c r="CS13" i="65"/>
  <c r="CT13" i="65"/>
  <c r="CU13" i="65"/>
  <c r="CV13" i="65"/>
  <c r="CW13" i="65"/>
  <c r="CD14" i="65"/>
  <c r="CE14" i="65"/>
  <c r="CG14" i="65"/>
  <c r="CH14" i="65"/>
  <c r="CI14" i="65"/>
  <c r="CJ14" i="65"/>
  <c r="CM14" i="65"/>
  <c r="CN14" i="65"/>
  <c r="CO14" i="65"/>
  <c r="CP14" i="65"/>
  <c r="CQ14" i="65"/>
  <c r="CR14" i="65"/>
  <c r="CS14" i="65"/>
  <c r="CT14" i="65"/>
  <c r="CU14" i="65"/>
  <c r="CV14" i="65"/>
  <c r="CW14" i="65"/>
  <c r="CD15" i="65"/>
  <c r="CE15" i="65"/>
  <c r="CF15" i="65"/>
  <c r="CH15" i="65"/>
  <c r="CI15" i="65"/>
  <c r="CJ15" i="65"/>
  <c r="CK15" i="65"/>
  <c r="CM15" i="65"/>
  <c r="CN15" i="65"/>
  <c r="CO15" i="65"/>
  <c r="CP15" i="65"/>
  <c r="CQ15" i="65"/>
  <c r="CR15" i="65"/>
  <c r="CS15" i="65"/>
  <c r="CT15" i="65"/>
  <c r="CU15" i="65"/>
  <c r="CV15" i="65"/>
  <c r="CW15" i="65"/>
  <c r="CD16" i="65"/>
  <c r="CE16" i="65"/>
  <c r="CF16" i="65"/>
  <c r="CG16" i="65"/>
  <c r="CI16" i="65"/>
  <c r="CJ16" i="65"/>
  <c r="CK16" i="65"/>
  <c r="CM16" i="65"/>
  <c r="CN16" i="65"/>
  <c r="CO16" i="65"/>
  <c r="CP16" i="65"/>
  <c r="CQ16" i="65"/>
  <c r="CR16" i="65"/>
  <c r="CS16" i="65"/>
  <c r="CT16" i="65"/>
  <c r="CU16" i="65"/>
  <c r="CV16" i="65"/>
  <c r="CW16" i="65"/>
  <c r="CD17" i="65"/>
  <c r="CE17" i="65"/>
  <c r="CF17" i="65"/>
  <c r="CG17" i="65"/>
  <c r="CH17" i="65"/>
  <c r="CI17" i="65"/>
  <c r="CJ17" i="65"/>
  <c r="CK17" i="65"/>
  <c r="CM17" i="65"/>
  <c r="CN17" i="65"/>
  <c r="CO17" i="65"/>
  <c r="CP17" i="65"/>
  <c r="CQ17" i="65"/>
  <c r="CR17" i="65"/>
  <c r="CS17" i="65"/>
  <c r="CT17" i="65"/>
  <c r="CU17" i="65"/>
  <c r="CV17" i="65"/>
  <c r="CW17" i="65"/>
  <c r="CD18" i="65"/>
  <c r="CE18" i="65"/>
  <c r="CF18" i="65"/>
  <c r="CG18" i="65"/>
  <c r="CH18" i="65"/>
  <c r="CI18" i="65"/>
  <c r="CJ18" i="65"/>
  <c r="CK18" i="65"/>
  <c r="CM18" i="65"/>
  <c r="CN18" i="65"/>
  <c r="CO18" i="65"/>
  <c r="CP18" i="65"/>
  <c r="CQ18" i="65"/>
  <c r="CR18" i="65"/>
  <c r="CS18" i="65"/>
  <c r="CT18" i="65"/>
  <c r="CU18" i="65"/>
  <c r="CV18" i="65"/>
  <c r="CW18" i="65"/>
  <c r="CE19" i="65"/>
  <c r="CF19" i="65"/>
  <c r="CG19" i="65"/>
  <c r="CH19" i="65"/>
  <c r="CI19" i="65"/>
  <c r="CJ19" i="65"/>
  <c r="CK19" i="65"/>
  <c r="CM19" i="65"/>
  <c r="CN19" i="65"/>
  <c r="CO19" i="65"/>
  <c r="CP19" i="65"/>
  <c r="CQ19" i="65"/>
  <c r="CR19" i="65"/>
  <c r="CS19" i="65"/>
  <c r="CT19" i="65"/>
  <c r="CU19" i="65"/>
  <c r="CV19" i="65"/>
  <c r="CW19" i="65"/>
  <c r="CD20" i="65"/>
  <c r="CF20" i="65"/>
  <c r="CG20" i="65"/>
  <c r="CH20" i="65"/>
  <c r="CI20" i="65"/>
  <c r="CJ20" i="65"/>
  <c r="CK20" i="65"/>
  <c r="CM20" i="65"/>
  <c r="CN20" i="65"/>
  <c r="CO20" i="65"/>
  <c r="CP20" i="65"/>
  <c r="CQ20" i="65"/>
  <c r="CR20" i="65"/>
  <c r="CS20" i="65"/>
  <c r="CT20" i="65"/>
  <c r="CU20" i="65"/>
  <c r="CV20" i="65"/>
  <c r="CW20" i="65"/>
  <c r="CD21" i="65"/>
  <c r="CE21" i="65"/>
  <c r="CG21" i="65"/>
  <c r="CH21" i="65"/>
  <c r="CI21" i="65"/>
  <c r="CJ21" i="65"/>
  <c r="CM21" i="65"/>
  <c r="CN21" i="65"/>
  <c r="CO21" i="65"/>
  <c r="CP21" i="65"/>
  <c r="CQ21" i="65"/>
  <c r="CR21" i="65"/>
  <c r="CS21" i="65"/>
  <c r="CT21" i="65"/>
  <c r="CU21" i="65"/>
  <c r="CV21" i="65"/>
  <c r="CW21" i="65"/>
  <c r="CD22" i="65"/>
  <c r="CE22" i="65"/>
  <c r="CF22" i="65"/>
  <c r="CH22" i="65"/>
  <c r="CI22" i="65"/>
  <c r="CJ22" i="65"/>
  <c r="CK22" i="65"/>
  <c r="CM22" i="65"/>
  <c r="CN22" i="65"/>
  <c r="CO22" i="65"/>
  <c r="CP22" i="65"/>
  <c r="CQ22" i="65"/>
  <c r="CR22" i="65"/>
  <c r="CS22" i="65"/>
  <c r="CT22" i="65"/>
  <c r="CU22" i="65"/>
  <c r="CV22" i="65"/>
  <c r="CW22" i="65"/>
  <c r="CD23" i="65"/>
  <c r="CE23" i="65"/>
  <c r="CF23" i="65"/>
  <c r="CG23" i="65"/>
  <c r="CI23" i="65"/>
  <c r="CJ23" i="65"/>
  <c r="CK23" i="65"/>
  <c r="CM23" i="65"/>
  <c r="CN23" i="65"/>
  <c r="CO23" i="65"/>
  <c r="CP23" i="65"/>
  <c r="CQ23" i="65"/>
  <c r="CR23" i="65"/>
  <c r="CS23" i="65"/>
  <c r="CT23" i="65"/>
  <c r="CU23" i="65"/>
  <c r="CV23" i="65"/>
  <c r="CW23" i="65"/>
  <c r="CD24" i="65"/>
  <c r="CE24" i="65"/>
  <c r="CF24" i="65"/>
  <c r="CG24" i="65"/>
  <c r="CH24" i="65"/>
  <c r="CI24" i="65"/>
  <c r="CJ24" i="65"/>
  <c r="CK24" i="65"/>
  <c r="CM24" i="65"/>
  <c r="CN24" i="65"/>
  <c r="CO24" i="65"/>
  <c r="CP24" i="65"/>
  <c r="CQ24" i="65"/>
  <c r="CR24" i="65"/>
  <c r="CS24" i="65"/>
  <c r="CT24" i="65"/>
  <c r="CU24" i="65"/>
  <c r="CV24" i="65"/>
  <c r="CW24" i="65"/>
  <c r="CD25" i="65"/>
  <c r="CE25" i="65"/>
  <c r="CF25" i="65"/>
  <c r="CG25" i="65"/>
  <c r="CH25" i="65"/>
  <c r="CI25" i="65"/>
  <c r="CJ25" i="65"/>
  <c r="CK25" i="65"/>
  <c r="CM25" i="65"/>
  <c r="CN25" i="65"/>
  <c r="CO25" i="65"/>
  <c r="CP25" i="65"/>
  <c r="CQ25" i="65"/>
  <c r="CR25" i="65"/>
  <c r="CS25" i="65"/>
  <c r="CT25" i="65"/>
  <c r="CU25" i="65"/>
  <c r="CV25" i="65"/>
  <c r="CW25" i="65"/>
  <c r="CE26" i="65"/>
  <c r="CF26" i="65"/>
  <c r="CG26" i="65"/>
  <c r="CH26" i="65"/>
  <c r="CI26" i="65"/>
  <c r="CJ26" i="65"/>
  <c r="CK26" i="65"/>
  <c r="CM26" i="65"/>
  <c r="CN26" i="65"/>
  <c r="CO26" i="65"/>
  <c r="CP26" i="65"/>
  <c r="CQ26" i="65"/>
  <c r="CR26" i="65"/>
  <c r="CS26" i="65"/>
  <c r="CT26" i="65"/>
  <c r="CU26" i="65"/>
  <c r="CV26" i="65"/>
  <c r="CW26" i="65"/>
  <c r="CD27" i="65"/>
  <c r="CF27" i="65"/>
  <c r="CG27" i="65"/>
  <c r="CH27" i="65"/>
  <c r="CI27" i="65"/>
  <c r="CJ27" i="65"/>
  <c r="CK27" i="65"/>
  <c r="CM27" i="65"/>
  <c r="CN27" i="65"/>
  <c r="CO27" i="65"/>
  <c r="CP27" i="65"/>
  <c r="CQ27" i="65"/>
  <c r="CR27" i="65"/>
  <c r="CS27" i="65"/>
  <c r="CT27" i="65"/>
  <c r="CU27" i="65"/>
  <c r="CV27" i="65"/>
  <c r="CW27" i="65"/>
  <c r="CD28" i="65"/>
  <c r="CE28" i="65"/>
  <c r="CG28" i="65"/>
  <c r="CH28" i="65"/>
  <c r="CI28" i="65"/>
  <c r="CJ28" i="65"/>
  <c r="CM28" i="65"/>
  <c r="CN28" i="65"/>
  <c r="CO28" i="65"/>
  <c r="CP28" i="65"/>
  <c r="CQ28" i="65"/>
  <c r="CR28" i="65"/>
  <c r="CS28" i="65"/>
  <c r="CT28" i="65"/>
  <c r="CU28" i="65"/>
  <c r="CV28" i="65"/>
  <c r="CW28" i="65"/>
  <c r="CD29" i="65"/>
  <c r="CE29" i="65"/>
  <c r="CF29" i="65"/>
  <c r="CH29" i="65"/>
  <c r="CI29" i="65"/>
  <c r="CJ29" i="65"/>
  <c r="CK29" i="65"/>
  <c r="CM29" i="65"/>
  <c r="CN29" i="65"/>
  <c r="CO29" i="65"/>
  <c r="CP29" i="65"/>
  <c r="CQ29" i="65"/>
  <c r="CR29" i="65"/>
  <c r="CS29" i="65"/>
  <c r="CT29" i="65"/>
  <c r="CU29" i="65"/>
  <c r="CV29" i="65"/>
  <c r="CW29" i="65"/>
  <c r="CD30" i="65"/>
  <c r="CE30" i="65"/>
  <c r="CF30" i="65"/>
  <c r="CG30" i="65"/>
  <c r="CI30" i="65"/>
  <c r="CJ30" i="65"/>
  <c r="CK30" i="65"/>
  <c r="CM30" i="65"/>
  <c r="CN30" i="65"/>
  <c r="CO30" i="65"/>
  <c r="CP30" i="65"/>
  <c r="CQ30" i="65"/>
  <c r="CR30" i="65"/>
  <c r="CS30" i="65"/>
  <c r="CT30" i="65"/>
  <c r="CU30" i="65"/>
  <c r="CV30" i="65"/>
  <c r="CW30" i="65"/>
  <c r="CD31" i="65"/>
  <c r="CE31" i="65"/>
  <c r="CF31" i="65"/>
  <c r="CG31" i="65"/>
  <c r="CH31" i="65"/>
  <c r="CI31" i="65"/>
  <c r="CJ31" i="65"/>
  <c r="CK31" i="65"/>
  <c r="CM31" i="65"/>
  <c r="CN31" i="65"/>
  <c r="CO31" i="65"/>
  <c r="CP31" i="65"/>
  <c r="CQ31" i="65"/>
  <c r="CR31" i="65"/>
  <c r="CS31" i="65"/>
  <c r="CT31" i="65"/>
  <c r="CU31" i="65"/>
  <c r="CV31" i="65"/>
  <c r="CW31" i="65"/>
  <c r="CD32" i="65"/>
  <c r="CE32" i="65"/>
  <c r="CF32" i="65"/>
  <c r="CG32" i="65"/>
  <c r="CH32" i="65"/>
  <c r="CI32" i="65"/>
  <c r="CJ32" i="65"/>
  <c r="CK32" i="65"/>
  <c r="CM32" i="65"/>
  <c r="CN32" i="65"/>
  <c r="CO32" i="65"/>
  <c r="CP32" i="65"/>
  <c r="CQ32" i="65"/>
  <c r="CR32" i="65"/>
  <c r="CS32" i="65"/>
  <c r="CT32" i="65"/>
  <c r="CU32" i="65"/>
  <c r="CV32" i="65"/>
  <c r="CW32" i="65"/>
  <c r="CE33" i="65"/>
  <c r="CF33" i="65"/>
  <c r="CG33" i="65"/>
  <c r="CH33" i="65"/>
  <c r="CI33" i="65"/>
  <c r="CJ33" i="65"/>
  <c r="CK33" i="65"/>
  <c r="CM33" i="65"/>
  <c r="CN33" i="65"/>
  <c r="CO33" i="65"/>
  <c r="CP33" i="65"/>
  <c r="CQ33" i="65"/>
  <c r="CR33" i="65"/>
  <c r="CS33" i="65"/>
  <c r="CT33" i="65"/>
  <c r="CU33" i="65"/>
  <c r="CV33" i="65"/>
  <c r="CW33" i="65"/>
  <c r="CD34" i="65"/>
  <c r="CF34" i="65"/>
  <c r="CG34" i="65"/>
  <c r="CH34" i="65"/>
  <c r="CI34" i="65"/>
  <c r="CJ34" i="65"/>
  <c r="CK34" i="65"/>
  <c r="CM34" i="65"/>
  <c r="CN34" i="65"/>
  <c r="CO34" i="65"/>
  <c r="CP34" i="65"/>
  <c r="CQ34" i="65"/>
  <c r="CR34" i="65"/>
  <c r="CS34" i="65"/>
  <c r="CT34" i="65"/>
  <c r="CU34" i="65"/>
  <c r="CV34" i="65"/>
  <c r="CW34" i="65"/>
  <c r="CD35" i="65"/>
  <c r="CE35" i="65"/>
  <c r="CG35" i="65"/>
  <c r="CH35" i="65"/>
  <c r="CI35" i="65"/>
  <c r="CJ35" i="65"/>
  <c r="CM35" i="65"/>
  <c r="CN35" i="65"/>
  <c r="CO35" i="65"/>
  <c r="CP35" i="65"/>
  <c r="CQ35" i="65"/>
  <c r="CR35" i="65"/>
  <c r="CS35" i="65"/>
  <c r="CT35" i="65"/>
  <c r="CU35" i="65"/>
  <c r="CV35" i="65"/>
  <c r="CW35" i="65"/>
  <c r="CD36" i="65"/>
  <c r="CE36" i="65"/>
  <c r="CF36" i="65"/>
  <c r="CH36" i="65"/>
  <c r="CI36" i="65"/>
  <c r="CJ36" i="65"/>
  <c r="CK36" i="65"/>
  <c r="CM36" i="65"/>
  <c r="CN36" i="65"/>
  <c r="CO36" i="65"/>
  <c r="CP36" i="65"/>
  <c r="CQ36" i="65"/>
  <c r="CR36" i="65"/>
  <c r="CS36" i="65"/>
  <c r="CT36" i="65"/>
  <c r="CU36" i="65"/>
  <c r="CV36" i="65"/>
  <c r="CW36" i="65"/>
  <c r="CD37" i="65"/>
  <c r="CE37" i="65"/>
  <c r="CF37" i="65"/>
  <c r="CG37" i="65"/>
  <c r="CI37" i="65"/>
  <c r="CJ37" i="65"/>
  <c r="CK37" i="65"/>
  <c r="CM37" i="65"/>
  <c r="CN37" i="65"/>
  <c r="CO37" i="65"/>
  <c r="CP37" i="65"/>
  <c r="CQ37" i="65"/>
  <c r="CR37" i="65"/>
  <c r="CS37" i="65"/>
  <c r="CT37" i="65"/>
  <c r="CU37" i="65"/>
  <c r="CV37" i="65"/>
  <c r="CW37" i="65"/>
  <c r="CD38" i="65"/>
  <c r="CE38" i="65"/>
  <c r="CF38" i="65"/>
  <c r="CG38" i="65"/>
  <c r="CH38" i="65"/>
  <c r="CI38" i="65"/>
  <c r="CJ38" i="65"/>
  <c r="CK38" i="65"/>
  <c r="CM38" i="65"/>
  <c r="CN38" i="65"/>
  <c r="CO38" i="65"/>
  <c r="CP38" i="65"/>
  <c r="CQ38" i="65"/>
  <c r="CR38" i="65"/>
  <c r="CS38" i="65"/>
  <c r="CT38" i="65"/>
  <c r="CU38" i="65"/>
  <c r="CV38" i="65"/>
  <c r="CW38" i="65"/>
  <c r="CW9" i="65"/>
  <c r="CV9" i="65"/>
  <c r="CU9" i="65"/>
  <c r="CT9" i="65"/>
  <c r="CS9" i="65"/>
  <c r="CR9" i="65"/>
  <c r="CQ9" i="65"/>
  <c r="CP9" i="65"/>
  <c r="CO9" i="65"/>
  <c r="CN9" i="65"/>
  <c r="CM9" i="65"/>
  <c r="CK9" i="65"/>
  <c r="CJ9" i="65"/>
  <c r="CI9" i="65"/>
  <c r="CG9" i="65"/>
  <c r="CF9" i="65"/>
  <c r="CE9" i="65"/>
  <c r="CD9" i="65"/>
  <c r="CD10" i="64"/>
  <c r="CE10" i="64"/>
  <c r="CG10" i="64"/>
  <c r="CH10" i="64"/>
  <c r="CI10" i="64"/>
  <c r="CJ10" i="64"/>
  <c r="CM10" i="64"/>
  <c r="CN10" i="64"/>
  <c r="CO10" i="64"/>
  <c r="CP10" i="64"/>
  <c r="CQ10" i="64"/>
  <c r="CR10" i="64"/>
  <c r="CS10" i="64"/>
  <c r="CT10" i="64"/>
  <c r="CU10" i="64"/>
  <c r="CV10" i="64"/>
  <c r="CW10" i="64"/>
  <c r="CD11" i="64"/>
  <c r="CE11" i="64"/>
  <c r="CF11" i="64"/>
  <c r="CH11" i="64"/>
  <c r="CI11" i="64"/>
  <c r="CJ11" i="64"/>
  <c r="CK11" i="64"/>
  <c r="CM11" i="64"/>
  <c r="CN11" i="64"/>
  <c r="CO11" i="64"/>
  <c r="CP11" i="64"/>
  <c r="CQ11" i="64"/>
  <c r="CR11" i="64"/>
  <c r="CS11" i="64"/>
  <c r="CT11" i="64"/>
  <c r="CU11" i="64"/>
  <c r="CV11" i="64"/>
  <c r="CW11" i="64"/>
  <c r="CD12" i="64"/>
  <c r="CE12" i="64"/>
  <c r="CF12" i="64"/>
  <c r="CG12" i="64"/>
  <c r="CI12" i="64"/>
  <c r="CJ12" i="64"/>
  <c r="CK12" i="64"/>
  <c r="CM12" i="64"/>
  <c r="CN12" i="64"/>
  <c r="CO12" i="64"/>
  <c r="CP12" i="64"/>
  <c r="CQ12" i="64"/>
  <c r="CR12" i="64"/>
  <c r="CS12" i="64"/>
  <c r="CT12" i="64"/>
  <c r="CU12" i="64"/>
  <c r="CV12" i="64"/>
  <c r="CW12" i="64"/>
  <c r="CD13" i="64"/>
  <c r="CE13" i="64"/>
  <c r="CF13" i="64"/>
  <c r="CG13" i="64"/>
  <c r="CH13" i="64"/>
  <c r="CI13" i="64"/>
  <c r="CJ13" i="64"/>
  <c r="CK13" i="64"/>
  <c r="CM13" i="64"/>
  <c r="CN13" i="64"/>
  <c r="CO13" i="64"/>
  <c r="CP13" i="64"/>
  <c r="CQ13" i="64"/>
  <c r="CR13" i="64"/>
  <c r="CS13" i="64"/>
  <c r="CT13" i="64"/>
  <c r="CU13" i="64"/>
  <c r="CV13" i="64"/>
  <c r="CW13" i="64"/>
  <c r="CD14" i="64"/>
  <c r="CE14" i="64"/>
  <c r="CF14" i="64"/>
  <c r="CG14" i="64"/>
  <c r="CH14" i="64"/>
  <c r="CI14" i="64"/>
  <c r="CJ14" i="64"/>
  <c r="CK14" i="64"/>
  <c r="CM14" i="64"/>
  <c r="CN14" i="64"/>
  <c r="CO14" i="64"/>
  <c r="CP14" i="64"/>
  <c r="CQ14" i="64"/>
  <c r="CR14" i="64"/>
  <c r="CS14" i="64"/>
  <c r="CT14" i="64"/>
  <c r="CU14" i="64"/>
  <c r="CV14" i="64"/>
  <c r="CW14" i="64"/>
  <c r="CE15" i="64"/>
  <c r="CF15" i="64"/>
  <c r="CG15" i="64"/>
  <c r="CH15" i="64"/>
  <c r="CI15" i="64"/>
  <c r="CJ15" i="64"/>
  <c r="CK15" i="64"/>
  <c r="CM15" i="64"/>
  <c r="CN15" i="64"/>
  <c r="CO15" i="64"/>
  <c r="CP15" i="64"/>
  <c r="CQ15" i="64"/>
  <c r="CR15" i="64"/>
  <c r="CS15" i="64"/>
  <c r="CT15" i="64"/>
  <c r="CU15" i="64"/>
  <c r="CV15" i="64"/>
  <c r="CW15" i="64"/>
  <c r="CD16" i="64"/>
  <c r="CF16" i="64"/>
  <c r="CG16" i="64"/>
  <c r="CH16" i="64"/>
  <c r="CI16" i="64"/>
  <c r="CJ16" i="64"/>
  <c r="CK16" i="64"/>
  <c r="CM16" i="64"/>
  <c r="CN16" i="64"/>
  <c r="CO16" i="64"/>
  <c r="CP16" i="64"/>
  <c r="CQ16" i="64"/>
  <c r="CR16" i="64"/>
  <c r="CS16" i="64"/>
  <c r="CT16" i="64"/>
  <c r="CU16" i="64"/>
  <c r="CV16" i="64"/>
  <c r="CW16" i="64"/>
  <c r="CD17" i="64"/>
  <c r="CE17" i="64"/>
  <c r="CG17" i="64"/>
  <c r="CH17" i="64"/>
  <c r="CI17" i="64"/>
  <c r="CJ17" i="64"/>
  <c r="CM17" i="64"/>
  <c r="CN17" i="64"/>
  <c r="CO17" i="64"/>
  <c r="CP17" i="64"/>
  <c r="CQ17" i="64"/>
  <c r="CR17" i="64"/>
  <c r="CS17" i="64"/>
  <c r="CT17" i="64"/>
  <c r="CU17" i="64"/>
  <c r="CV17" i="64"/>
  <c r="CW17" i="64"/>
  <c r="CD18" i="64"/>
  <c r="CE18" i="64"/>
  <c r="CF18" i="64"/>
  <c r="CH18" i="64"/>
  <c r="CI18" i="64"/>
  <c r="CJ18" i="64"/>
  <c r="CK18" i="64"/>
  <c r="CM18" i="64"/>
  <c r="CN18" i="64"/>
  <c r="CO18" i="64"/>
  <c r="CP18" i="64"/>
  <c r="CQ18" i="64"/>
  <c r="CR18" i="64"/>
  <c r="CS18" i="64"/>
  <c r="CT18" i="64"/>
  <c r="CU18" i="64"/>
  <c r="CV18" i="64"/>
  <c r="CW18" i="64"/>
  <c r="CD19" i="64"/>
  <c r="CE19" i="64"/>
  <c r="CF19" i="64"/>
  <c r="CG19" i="64"/>
  <c r="CI19" i="64"/>
  <c r="CJ19" i="64"/>
  <c r="CK19" i="64"/>
  <c r="CM19" i="64"/>
  <c r="CN19" i="64"/>
  <c r="CO19" i="64"/>
  <c r="CP19" i="64"/>
  <c r="CQ19" i="64"/>
  <c r="CR19" i="64"/>
  <c r="CS19" i="64"/>
  <c r="CT19" i="64"/>
  <c r="CU19" i="64"/>
  <c r="CV19" i="64"/>
  <c r="CW19" i="64"/>
  <c r="CD20" i="64"/>
  <c r="CE20" i="64"/>
  <c r="CF20" i="64"/>
  <c r="CG20" i="64"/>
  <c r="CH20" i="64"/>
  <c r="CI20" i="64"/>
  <c r="CJ20" i="64"/>
  <c r="CK20" i="64"/>
  <c r="CM20" i="64"/>
  <c r="CN20" i="64"/>
  <c r="CO20" i="64"/>
  <c r="CP20" i="64"/>
  <c r="CQ20" i="64"/>
  <c r="CR20" i="64"/>
  <c r="CS20" i="64"/>
  <c r="CT20" i="64"/>
  <c r="CU20" i="64"/>
  <c r="CV20" i="64"/>
  <c r="CW20" i="64"/>
  <c r="CD21" i="64"/>
  <c r="CE21" i="64"/>
  <c r="CF21" i="64"/>
  <c r="CG21" i="64"/>
  <c r="CH21" i="64"/>
  <c r="CI21" i="64"/>
  <c r="CJ21" i="64"/>
  <c r="CK21" i="64"/>
  <c r="CM21" i="64"/>
  <c r="CN21" i="64"/>
  <c r="CO21" i="64"/>
  <c r="CP21" i="64"/>
  <c r="CQ21" i="64"/>
  <c r="CR21" i="64"/>
  <c r="CS21" i="64"/>
  <c r="CT21" i="64"/>
  <c r="CU21" i="64"/>
  <c r="CV21" i="64"/>
  <c r="CW21" i="64"/>
  <c r="CD22" i="64"/>
  <c r="CE22" i="64"/>
  <c r="CF22" i="64"/>
  <c r="CG22" i="64"/>
  <c r="CH22" i="64"/>
  <c r="CI22" i="64"/>
  <c r="CJ22" i="64"/>
  <c r="CK22" i="64"/>
  <c r="CM22" i="64"/>
  <c r="CN22" i="64"/>
  <c r="CO22" i="64"/>
  <c r="CP22" i="64"/>
  <c r="CQ22" i="64"/>
  <c r="CR22" i="64"/>
  <c r="CS22" i="64"/>
  <c r="CT22" i="64"/>
  <c r="CU22" i="64"/>
  <c r="CV22" i="64"/>
  <c r="CW22" i="64"/>
  <c r="CD23" i="64"/>
  <c r="CE23" i="64"/>
  <c r="CF23" i="64"/>
  <c r="CG23" i="64"/>
  <c r="CH23" i="64"/>
  <c r="CI23" i="64"/>
  <c r="CJ23" i="64"/>
  <c r="CK23" i="64"/>
  <c r="CM23" i="64"/>
  <c r="CN23" i="64"/>
  <c r="CO23" i="64"/>
  <c r="CP23" i="64"/>
  <c r="CQ23" i="64"/>
  <c r="CR23" i="64"/>
  <c r="CS23" i="64"/>
  <c r="CT23" i="64"/>
  <c r="CU23" i="64"/>
  <c r="CV23" i="64"/>
  <c r="CW23" i="64"/>
  <c r="CD24" i="64"/>
  <c r="CE24" i="64"/>
  <c r="CF24" i="64"/>
  <c r="CG24" i="64"/>
  <c r="CH24" i="64"/>
  <c r="CI24" i="64"/>
  <c r="CJ24" i="64"/>
  <c r="CK24" i="64"/>
  <c r="CM24" i="64"/>
  <c r="CN24" i="64"/>
  <c r="CO24" i="64"/>
  <c r="CP24" i="64"/>
  <c r="CQ24" i="64"/>
  <c r="CR24" i="64"/>
  <c r="CS24" i="64"/>
  <c r="CT24" i="64"/>
  <c r="CU24" i="64"/>
  <c r="CV24" i="64"/>
  <c r="CW24" i="64"/>
  <c r="CD25" i="64"/>
  <c r="CE25" i="64"/>
  <c r="CF25" i="64"/>
  <c r="CG25" i="64"/>
  <c r="CH25" i="64"/>
  <c r="CI25" i="64"/>
  <c r="CJ25" i="64"/>
  <c r="CK25" i="64"/>
  <c r="CM25" i="64"/>
  <c r="CN25" i="64"/>
  <c r="CO25" i="64"/>
  <c r="CP25" i="64"/>
  <c r="CQ25" i="64"/>
  <c r="CR25" i="64"/>
  <c r="CS25" i="64"/>
  <c r="CT25" i="64"/>
  <c r="CU25" i="64"/>
  <c r="CV25" i="64"/>
  <c r="CW25" i="64"/>
  <c r="CD26" i="64"/>
  <c r="CE26" i="64"/>
  <c r="CF26" i="64"/>
  <c r="CG26" i="64"/>
  <c r="CH26" i="64"/>
  <c r="CI26" i="64"/>
  <c r="CJ26" i="64"/>
  <c r="CK26" i="64"/>
  <c r="CM26" i="64"/>
  <c r="CN26" i="64"/>
  <c r="CO26" i="64"/>
  <c r="CP26" i="64"/>
  <c r="CQ26" i="64"/>
  <c r="CR26" i="64"/>
  <c r="CS26" i="64"/>
  <c r="CT26" i="64"/>
  <c r="CU26" i="64"/>
  <c r="CV26" i="64"/>
  <c r="CW26" i="64"/>
  <c r="CD27" i="64"/>
  <c r="CE27" i="64"/>
  <c r="CF27" i="64"/>
  <c r="CG27" i="64"/>
  <c r="CH27" i="64"/>
  <c r="CI27" i="64"/>
  <c r="CJ27" i="64"/>
  <c r="CK27" i="64"/>
  <c r="CM27" i="64"/>
  <c r="CN27" i="64"/>
  <c r="CO27" i="64"/>
  <c r="CP27" i="64"/>
  <c r="CQ27" i="64"/>
  <c r="CR27" i="64"/>
  <c r="CS27" i="64"/>
  <c r="CT27" i="64"/>
  <c r="CU27" i="64"/>
  <c r="CV27" i="64"/>
  <c r="CW27" i="64"/>
  <c r="CD28" i="64"/>
  <c r="CE28" i="64"/>
  <c r="CF28" i="64"/>
  <c r="CG28" i="64"/>
  <c r="CH28" i="64"/>
  <c r="CI28" i="64"/>
  <c r="CJ28" i="64"/>
  <c r="CK28" i="64"/>
  <c r="CM28" i="64"/>
  <c r="CN28" i="64"/>
  <c r="CO28" i="64"/>
  <c r="CP28" i="64"/>
  <c r="CQ28" i="64"/>
  <c r="CR28" i="64"/>
  <c r="CS28" i="64"/>
  <c r="CT28" i="64"/>
  <c r="CU28" i="64"/>
  <c r="CV28" i="64"/>
  <c r="CW28" i="64"/>
  <c r="CE29" i="64"/>
  <c r="CF29" i="64"/>
  <c r="CG29" i="64"/>
  <c r="CH29" i="64"/>
  <c r="CI29" i="64"/>
  <c r="CJ29" i="64"/>
  <c r="CK29" i="64"/>
  <c r="CM29" i="64"/>
  <c r="CN29" i="64"/>
  <c r="CO29" i="64"/>
  <c r="CP29" i="64"/>
  <c r="CQ29" i="64"/>
  <c r="CR29" i="64"/>
  <c r="CS29" i="64"/>
  <c r="CT29" i="64"/>
  <c r="CU29" i="64"/>
  <c r="CV29" i="64"/>
  <c r="CW29" i="64"/>
  <c r="CD30" i="64"/>
  <c r="CF30" i="64"/>
  <c r="CG30" i="64"/>
  <c r="CH30" i="64"/>
  <c r="CI30" i="64"/>
  <c r="CK30" i="64"/>
  <c r="CM30" i="64"/>
  <c r="CN30" i="64"/>
  <c r="CO30" i="64"/>
  <c r="CP30" i="64"/>
  <c r="CQ30" i="64"/>
  <c r="CR30" i="64"/>
  <c r="CS30" i="64"/>
  <c r="CT30" i="64"/>
  <c r="CU30" i="64"/>
  <c r="CV30" i="64"/>
  <c r="CW30" i="64"/>
  <c r="CD31" i="64"/>
  <c r="CE31" i="64"/>
  <c r="CG31" i="64"/>
  <c r="CH31" i="64"/>
  <c r="CI31" i="64"/>
  <c r="CJ31" i="64"/>
  <c r="CM31" i="64"/>
  <c r="CN31" i="64"/>
  <c r="CO31" i="64"/>
  <c r="CP31" i="64"/>
  <c r="CQ31" i="64"/>
  <c r="CR31" i="64"/>
  <c r="CS31" i="64"/>
  <c r="CT31" i="64"/>
  <c r="CU31" i="64"/>
  <c r="CV31" i="64"/>
  <c r="CW31" i="64"/>
  <c r="CD32" i="64"/>
  <c r="CE32" i="64"/>
  <c r="CF32" i="64"/>
  <c r="CH32" i="64"/>
  <c r="CI32" i="64"/>
  <c r="CJ32" i="64"/>
  <c r="CK32" i="64"/>
  <c r="CM32" i="64"/>
  <c r="CN32" i="64"/>
  <c r="CO32" i="64"/>
  <c r="CP32" i="64"/>
  <c r="CQ32" i="64"/>
  <c r="CR32" i="64"/>
  <c r="CS32" i="64"/>
  <c r="CT32" i="64"/>
  <c r="CU32" i="64"/>
  <c r="CV32" i="64"/>
  <c r="CW32" i="64"/>
  <c r="CD33" i="64"/>
  <c r="CE33" i="64"/>
  <c r="CF33" i="64"/>
  <c r="CG33" i="64"/>
  <c r="CI33" i="64"/>
  <c r="CJ33" i="64"/>
  <c r="CK33" i="64"/>
  <c r="CN33" i="64"/>
  <c r="CO33" i="64"/>
  <c r="CP33" i="64"/>
  <c r="CQ33" i="64"/>
  <c r="CR33" i="64"/>
  <c r="CS33" i="64"/>
  <c r="CT33" i="64"/>
  <c r="CU33" i="64"/>
  <c r="CV33" i="64"/>
  <c r="CW33" i="64"/>
  <c r="CD34" i="64"/>
  <c r="CE34" i="64"/>
  <c r="CF34" i="64"/>
  <c r="CG34" i="64"/>
  <c r="CH34" i="64"/>
  <c r="CI34" i="64"/>
  <c r="CJ34" i="64"/>
  <c r="CK34" i="64"/>
  <c r="CM34" i="64"/>
  <c r="CN34" i="64"/>
  <c r="CO34" i="64"/>
  <c r="CP34" i="64"/>
  <c r="CQ34" i="64"/>
  <c r="CR34" i="64"/>
  <c r="CS34" i="64"/>
  <c r="CT34" i="64"/>
  <c r="CU34" i="64"/>
  <c r="CV34" i="64"/>
  <c r="CW34" i="64"/>
  <c r="CD35" i="64"/>
  <c r="CE35" i="64"/>
  <c r="CF35" i="64"/>
  <c r="CG35" i="64"/>
  <c r="CH35" i="64"/>
  <c r="CI35" i="64"/>
  <c r="CJ35" i="64"/>
  <c r="CK35" i="64"/>
  <c r="CM35" i="64"/>
  <c r="CN35" i="64"/>
  <c r="CO35" i="64"/>
  <c r="CP35" i="64"/>
  <c r="CQ35" i="64"/>
  <c r="CR35" i="64"/>
  <c r="CS35" i="64"/>
  <c r="CT35" i="64"/>
  <c r="CU35" i="64"/>
  <c r="CV35" i="64"/>
  <c r="CW35" i="64"/>
  <c r="CE36" i="64"/>
  <c r="CF36" i="64"/>
  <c r="CG36" i="64"/>
  <c r="CH36" i="64"/>
  <c r="CI36" i="64"/>
  <c r="CJ36" i="64"/>
  <c r="CK36" i="64"/>
  <c r="CM36" i="64"/>
  <c r="CN36" i="64"/>
  <c r="CO36" i="64"/>
  <c r="CP36" i="64"/>
  <c r="CQ36" i="64"/>
  <c r="CR36" i="64"/>
  <c r="CS36" i="64"/>
  <c r="CT36" i="64"/>
  <c r="CU36" i="64"/>
  <c r="CV36" i="64"/>
  <c r="CW36" i="64"/>
  <c r="CW9" i="64"/>
  <c r="CV9" i="64"/>
  <c r="CU9" i="64"/>
  <c r="CT9" i="64"/>
  <c r="CS9" i="64"/>
  <c r="CR9" i="64"/>
  <c r="CQ9" i="64"/>
  <c r="CP9" i="64"/>
  <c r="CO9" i="64"/>
  <c r="CN9" i="64"/>
  <c r="CM9" i="64"/>
  <c r="CK9" i="64"/>
  <c r="CJ9" i="64"/>
  <c r="CI9" i="64"/>
  <c r="CH9" i="64"/>
  <c r="CG9" i="64"/>
  <c r="CF9" i="64"/>
  <c r="CD9" i="64"/>
  <c r="CE10" i="63"/>
  <c r="CF10" i="63"/>
  <c r="CG10" i="63"/>
  <c r="CH10" i="63"/>
  <c r="CI10" i="63"/>
  <c r="CJ10" i="63"/>
  <c r="CK10" i="63"/>
  <c r="CM10" i="63"/>
  <c r="CN10" i="63"/>
  <c r="CO10" i="63"/>
  <c r="CP10" i="63"/>
  <c r="CQ10" i="63"/>
  <c r="CR10" i="63"/>
  <c r="CS10" i="63"/>
  <c r="CT10" i="63"/>
  <c r="CU10" i="63"/>
  <c r="CV10" i="63"/>
  <c r="CW10" i="63"/>
  <c r="CD11" i="63"/>
  <c r="CF11" i="63"/>
  <c r="CG11" i="63"/>
  <c r="CH11" i="63"/>
  <c r="CI11" i="63"/>
  <c r="CJ11" i="63"/>
  <c r="CK11" i="63"/>
  <c r="CM11" i="63"/>
  <c r="CN11" i="63"/>
  <c r="CO11" i="63"/>
  <c r="CP11" i="63"/>
  <c r="CQ11" i="63"/>
  <c r="CR11" i="63"/>
  <c r="CS11" i="63"/>
  <c r="CT11" i="63"/>
  <c r="CU11" i="63"/>
  <c r="CV11" i="63"/>
  <c r="CW11" i="63"/>
  <c r="CD12" i="63"/>
  <c r="CE12" i="63"/>
  <c r="CG12" i="63"/>
  <c r="CH12" i="63"/>
  <c r="CI12" i="63"/>
  <c r="CJ12" i="63"/>
  <c r="CM12" i="63"/>
  <c r="CN12" i="63"/>
  <c r="CO12" i="63"/>
  <c r="CP12" i="63"/>
  <c r="CQ12" i="63"/>
  <c r="CR12" i="63"/>
  <c r="CS12" i="63"/>
  <c r="CT12" i="63"/>
  <c r="CU12" i="63"/>
  <c r="CV12" i="63"/>
  <c r="CW12" i="63"/>
  <c r="CD13" i="63"/>
  <c r="CE13" i="63"/>
  <c r="CF13" i="63"/>
  <c r="CH13" i="63"/>
  <c r="CI13" i="63"/>
  <c r="CJ13" i="63"/>
  <c r="CK13" i="63"/>
  <c r="CM13" i="63"/>
  <c r="CN13" i="63"/>
  <c r="CO13" i="63"/>
  <c r="CP13" i="63"/>
  <c r="CQ13" i="63"/>
  <c r="CR13" i="63"/>
  <c r="CS13" i="63"/>
  <c r="CT13" i="63"/>
  <c r="CU13" i="63"/>
  <c r="CV13" i="63"/>
  <c r="CW13" i="63"/>
  <c r="CD14" i="63"/>
  <c r="CE14" i="63"/>
  <c r="CF14" i="63"/>
  <c r="CG14" i="63"/>
  <c r="CI14" i="63"/>
  <c r="CJ14" i="63"/>
  <c r="CK14" i="63"/>
  <c r="CM14" i="63"/>
  <c r="CN14" i="63"/>
  <c r="CO14" i="63"/>
  <c r="CP14" i="63"/>
  <c r="CQ14" i="63"/>
  <c r="CR14" i="63"/>
  <c r="CS14" i="63"/>
  <c r="CT14" i="63"/>
  <c r="CU14" i="63"/>
  <c r="CV14" i="63"/>
  <c r="CW14" i="63"/>
  <c r="CD15" i="63"/>
  <c r="CE15" i="63"/>
  <c r="CF15" i="63"/>
  <c r="CG15" i="63"/>
  <c r="CH15" i="63"/>
  <c r="CI15" i="63"/>
  <c r="CJ15" i="63"/>
  <c r="CK15" i="63"/>
  <c r="CM15" i="63"/>
  <c r="CN15" i="63"/>
  <c r="CO15" i="63"/>
  <c r="CP15" i="63"/>
  <c r="CQ15" i="63"/>
  <c r="CR15" i="63"/>
  <c r="CS15" i="63"/>
  <c r="CT15" i="63"/>
  <c r="CU15" i="63"/>
  <c r="CV15" i="63"/>
  <c r="CW15" i="63"/>
  <c r="CD16" i="63"/>
  <c r="CE16" i="63"/>
  <c r="CF16" i="63"/>
  <c r="CG16" i="63"/>
  <c r="CH16" i="63"/>
  <c r="CI16" i="63"/>
  <c r="CJ16" i="63"/>
  <c r="CK16" i="63"/>
  <c r="CM16" i="63"/>
  <c r="CN16" i="63"/>
  <c r="CO16" i="63"/>
  <c r="CP16" i="63"/>
  <c r="CQ16" i="63"/>
  <c r="CR16" i="63"/>
  <c r="CS16" i="63"/>
  <c r="CT16" i="63"/>
  <c r="CU16" i="63"/>
  <c r="CV16" i="63"/>
  <c r="CW16" i="63"/>
  <c r="CE17" i="63"/>
  <c r="CF17" i="63"/>
  <c r="CG17" i="63"/>
  <c r="CH17" i="63"/>
  <c r="CI17" i="63"/>
  <c r="CJ17" i="63"/>
  <c r="CK17" i="63"/>
  <c r="CM17" i="63"/>
  <c r="CN17" i="63"/>
  <c r="CO17" i="63"/>
  <c r="CP17" i="63"/>
  <c r="CQ17" i="63"/>
  <c r="CR17" i="63"/>
  <c r="CS17" i="63"/>
  <c r="CT17" i="63"/>
  <c r="CU17" i="63"/>
  <c r="CV17" i="63"/>
  <c r="CW17" i="63"/>
  <c r="CD18" i="63"/>
  <c r="CF18" i="63"/>
  <c r="CG18" i="63"/>
  <c r="CH18" i="63"/>
  <c r="CI18" i="63"/>
  <c r="CJ18" i="63"/>
  <c r="CK18" i="63"/>
  <c r="CM18" i="63"/>
  <c r="CN18" i="63"/>
  <c r="CO18" i="63"/>
  <c r="CP18" i="63"/>
  <c r="CQ18" i="63"/>
  <c r="CR18" i="63"/>
  <c r="CS18" i="63"/>
  <c r="CT18" i="63"/>
  <c r="CU18" i="63"/>
  <c r="CV18" i="63"/>
  <c r="CW18" i="63"/>
  <c r="CD19" i="63"/>
  <c r="CE19" i="63"/>
  <c r="CG19" i="63"/>
  <c r="CH19" i="63"/>
  <c r="CI19" i="63"/>
  <c r="CJ19" i="63"/>
  <c r="CM19" i="63"/>
  <c r="CN19" i="63"/>
  <c r="CO19" i="63"/>
  <c r="CP19" i="63"/>
  <c r="CQ19" i="63"/>
  <c r="CR19" i="63"/>
  <c r="CS19" i="63"/>
  <c r="CT19" i="63"/>
  <c r="CU19" i="63"/>
  <c r="CV19" i="63"/>
  <c r="CW19" i="63"/>
  <c r="CD20" i="63"/>
  <c r="CE20" i="63"/>
  <c r="CF20" i="63"/>
  <c r="CH20" i="63"/>
  <c r="CI20" i="63"/>
  <c r="CJ20" i="63"/>
  <c r="CK20" i="63"/>
  <c r="CM20" i="63"/>
  <c r="CN20" i="63"/>
  <c r="CO20" i="63"/>
  <c r="CP20" i="63"/>
  <c r="CQ20" i="63"/>
  <c r="CR20" i="63"/>
  <c r="CS20" i="63"/>
  <c r="CT20" i="63"/>
  <c r="CU20" i="63"/>
  <c r="CV20" i="63"/>
  <c r="CW20" i="63"/>
  <c r="CD21" i="63"/>
  <c r="CE21" i="63"/>
  <c r="CF21" i="63"/>
  <c r="CG21" i="63"/>
  <c r="CI21" i="63"/>
  <c r="CJ21" i="63"/>
  <c r="CK21" i="63"/>
  <c r="CM21" i="63"/>
  <c r="CN21" i="63"/>
  <c r="CO21" i="63"/>
  <c r="CP21" i="63"/>
  <c r="CQ21" i="63"/>
  <c r="CR21" i="63"/>
  <c r="CS21" i="63"/>
  <c r="CT21" i="63"/>
  <c r="CU21" i="63"/>
  <c r="CV21" i="63"/>
  <c r="CW21" i="63"/>
  <c r="CD22" i="63"/>
  <c r="CE22" i="63"/>
  <c r="CF22" i="63"/>
  <c r="CG22" i="63"/>
  <c r="CH22" i="63"/>
  <c r="CI22" i="63"/>
  <c r="CJ22" i="63"/>
  <c r="CK22" i="63"/>
  <c r="CM22" i="63"/>
  <c r="CN22" i="63"/>
  <c r="CO22" i="63"/>
  <c r="CP22" i="63"/>
  <c r="CQ22" i="63"/>
  <c r="CR22" i="63"/>
  <c r="CS22" i="63"/>
  <c r="CT22" i="63"/>
  <c r="CU22" i="63"/>
  <c r="CV22" i="63"/>
  <c r="CW22" i="63"/>
  <c r="CD23" i="63"/>
  <c r="CE23" i="63"/>
  <c r="CF23" i="63"/>
  <c r="CG23" i="63"/>
  <c r="CH23" i="63"/>
  <c r="CI23" i="63"/>
  <c r="CJ23" i="63"/>
  <c r="CK23" i="63"/>
  <c r="CM23" i="63"/>
  <c r="CN23" i="63"/>
  <c r="CO23" i="63"/>
  <c r="CP23" i="63"/>
  <c r="CQ23" i="63"/>
  <c r="CR23" i="63"/>
  <c r="CS23" i="63"/>
  <c r="CT23" i="63"/>
  <c r="CU23" i="63"/>
  <c r="CV23" i="63"/>
  <c r="CW23" i="63"/>
  <c r="CE24" i="63"/>
  <c r="CF24" i="63"/>
  <c r="CG24" i="63"/>
  <c r="CH24" i="63"/>
  <c r="CI24" i="63"/>
  <c r="CJ24" i="63"/>
  <c r="CK24" i="63"/>
  <c r="CM24" i="63"/>
  <c r="CN24" i="63"/>
  <c r="CO24" i="63"/>
  <c r="CP24" i="63"/>
  <c r="CQ24" i="63"/>
  <c r="CR24" i="63"/>
  <c r="CS24" i="63"/>
  <c r="CT24" i="63"/>
  <c r="CU24" i="63"/>
  <c r="CV24" i="63"/>
  <c r="CW24" i="63"/>
  <c r="CD25" i="63"/>
  <c r="CF25" i="63"/>
  <c r="CG25" i="63"/>
  <c r="CH25" i="63"/>
  <c r="CI25" i="63"/>
  <c r="CJ25" i="63"/>
  <c r="CK25" i="63"/>
  <c r="CM25" i="63"/>
  <c r="CN25" i="63"/>
  <c r="CO25" i="63"/>
  <c r="CP25" i="63"/>
  <c r="CQ25" i="63"/>
  <c r="CR25" i="63"/>
  <c r="CS25" i="63"/>
  <c r="CT25" i="63"/>
  <c r="CU25" i="63"/>
  <c r="CV25" i="63"/>
  <c r="CW25" i="63"/>
  <c r="CD26" i="63"/>
  <c r="CE26" i="63"/>
  <c r="CG26" i="63"/>
  <c r="CH26" i="63"/>
  <c r="CI26" i="63"/>
  <c r="CJ26" i="63"/>
  <c r="CM26" i="63"/>
  <c r="CN26" i="63"/>
  <c r="CO26" i="63"/>
  <c r="CP26" i="63"/>
  <c r="CQ26" i="63"/>
  <c r="CR26" i="63"/>
  <c r="CS26" i="63"/>
  <c r="CT26" i="63"/>
  <c r="CU26" i="63"/>
  <c r="CV26" i="63"/>
  <c r="CW26" i="63"/>
  <c r="CD27" i="63"/>
  <c r="CE27" i="63"/>
  <c r="CF27" i="63"/>
  <c r="CH27" i="63"/>
  <c r="CI27" i="63"/>
  <c r="CJ27" i="63"/>
  <c r="CK27" i="63"/>
  <c r="CM27" i="63"/>
  <c r="CN27" i="63"/>
  <c r="CO27" i="63"/>
  <c r="CP27" i="63"/>
  <c r="CQ27" i="63"/>
  <c r="CR27" i="63"/>
  <c r="CS27" i="63"/>
  <c r="CT27" i="63"/>
  <c r="CU27" i="63"/>
  <c r="CV27" i="63"/>
  <c r="CW27" i="63"/>
  <c r="CD28" i="63"/>
  <c r="CE28" i="63"/>
  <c r="CF28" i="63"/>
  <c r="CG28" i="63"/>
  <c r="CI28" i="63"/>
  <c r="CJ28" i="63"/>
  <c r="CK28" i="63"/>
  <c r="CM28" i="63"/>
  <c r="CN28" i="63"/>
  <c r="CO28" i="63"/>
  <c r="CP28" i="63"/>
  <c r="CQ28" i="63"/>
  <c r="CR28" i="63"/>
  <c r="CS28" i="63"/>
  <c r="CT28" i="63"/>
  <c r="CU28" i="63"/>
  <c r="CV28" i="63"/>
  <c r="CW28" i="63"/>
  <c r="CD29" i="63"/>
  <c r="CE29" i="63"/>
  <c r="CF29" i="63"/>
  <c r="CG29" i="63"/>
  <c r="CH29" i="63"/>
  <c r="CI29" i="63"/>
  <c r="CJ29" i="63"/>
  <c r="CK29" i="63"/>
  <c r="CM29" i="63"/>
  <c r="CN29" i="63"/>
  <c r="CO29" i="63"/>
  <c r="CP29" i="63"/>
  <c r="CQ29" i="63"/>
  <c r="CR29" i="63"/>
  <c r="CS29" i="63"/>
  <c r="CT29" i="63"/>
  <c r="CU29" i="63"/>
  <c r="CV29" i="63"/>
  <c r="CW29" i="63"/>
  <c r="CD30" i="63"/>
  <c r="CE30" i="63"/>
  <c r="CF30" i="63"/>
  <c r="CG30" i="63"/>
  <c r="CH30" i="63"/>
  <c r="CI30" i="63"/>
  <c r="CJ30" i="63"/>
  <c r="CK30" i="63"/>
  <c r="CM30" i="63"/>
  <c r="CN30" i="63"/>
  <c r="CO30" i="63"/>
  <c r="CP30" i="63"/>
  <c r="CQ30" i="63"/>
  <c r="CR30" i="63"/>
  <c r="CS30" i="63"/>
  <c r="CT30" i="63"/>
  <c r="CU30" i="63"/>
  <c r="CV30" i="63"/>
  <c r="CW30" i="63"/>
  <c r="CE31" i="63"/>
  <c r="CF31" i="63"/>
  <c r="CG31" i="63"/>
  <c r="CH31" i="63"/>
  <c r="CI31" i="63"/>
  <c r="CJ31" i="63"/>
  <c r="CK31" i="63"/>
  <c r="CM31" i="63"/>
  <c r="CN31" i="63"/>
  <c r="CO31" i="63"/>
  <c r="CP31" i="63"/>
  <c r="CQ31" i="63"/>
  <c r="CR31" i="63"/>
  <c r="CS31" i="63"/>
  <c r="CT31" i="63"/>
  <c r="CU31" i="63"/>
  <c r="CV31" i="63"/>
  <c r="CW31" i="63"/>
  <c r="CD32" i="63"/>
  <c r="CF32" i="63"/>
  <c r="CG32" i="63"/>
  <c r="CH32" i="63"/>
  <c r="CI32" i="63"/>
  <c r="CJ32" i="63"/>
  <c r="CK32" i="63"/>
  <c r="CM32" i="63"/>
  <c r="CN32" i="63"/>
  <c r="CO32" i="63"/>
  <c r="CP32" i="63"/>
  <c r="CQ32" i="63"/>
  <c r="CR32" i="63"/>
  <c r="CS32" i="63"/>
  <c r="CT32" i="63"/>
  <c r="CU32" i="63"/>
  <c r="CV32" i="63"/>
  <c r="CW32" i="63"/>
  <c r="CD33" i="63"/>
  <c r="CE33" i="63"/>
  <c r="CG33" i="63"/>
  <c r="CH33" i="63"/>
  <c r="CI33" i="63"/>
  <c r="CJ33" i="63"/>
  <c r="CM33" i="63"/>
  <c r="CN33" i="63"/>
  <c r="CO33" i="63"/>
  <c r="CP33" i="63"/>
  <c r="CQ33" i="63"/>
  <c r="CR33" i="63"/>
  <c r="CS33" i="63"/>
  <c r="CT33" i="63"/>
  <c r="CU33" i="63"/>
  <c r="CV33" i="63"/>
  <c r="CW33" i="63"/>
  <c r="CD34" i="63"/>
  <c r="CE34" i="63"/>
  <c r="CF34" i="63"/>
  <c r="CH34" i="63"/>
  <c r="CI34" i="63"/>
  <c r="CJ34" i="63"/>
  <c r="CK34" i="63"/>
  <c r="CM34" i="63"/>
  <c r="CN34" i="63"/>
  <c r="CO34" i="63"/>
  <c r="CP34" i="63"/>
  <c r="CQ34" i="63"/>
  <c r="CR34" i="63"/>
  <c r="CS34" i="63"/>
  <c r="CT34" i="63"/>
  <c r="CU34" i="63"/>
  <c r="CV34" i="63"/>
  <c r="CW34" i="63"/>
  <c r="CD35" i="63"/>
  <c r="CE35" i="63"/>
  <c r="CF35" i="63"/>
  <c r="CG35" i="63"/>
  <c r="CI35" i="63"/>
  <c r="CJ35" i="63"/>
  <c r="CK35" i="63"/>
  <c r="CM35" i="63"/>
  <c r="CN35" i="63"/>
  <c r="CO35" i="63"/>
  <c r="CP35" i="63"/>
  <c r="CQ35" i="63"/>
  <c r="CR35" i="63"/>
  <c r="CS35" i="63"/>
  <c r="CT35" i="63"/>
  <c r="CU35" i="63"/>
  <c r="CV35" i="63"/>
  <c r="CW35" i="63"/>
  <c r="CD36" i="63"/>
  <c r="CE36" i="63"/>
  <c r="CF36" i="63"/>
  <c r="CG36" i="63"/>
  <c r="CH36" i="63"/>
  <c r="CI36" i="63"/>
  <c r="CJ36" i="63"/>
  <c r="CK36" i="63"/>
  <c r="CM36" i="63"/>
  <c r="CN36" i="63"/>
  <c r="CO36" i="63"/>
  <c r="CP36" i="63"/>
  <c r="CQ36" i="63"/>
  <c r="CR36" i="63"/>
  <c r="CS36" i="63"/>
  <c r="CT36" i="63"/>
  <c r="CU36" i="63"/>
  <c r="CV36" i="63"/>
  <c r="CW36" i="63"/>
  <c r="CD37" i="63"/>
  <c r="CE37" i="63"/>
  <c r="CF37" i="63"/>
  <c r="CG37" i="63"/>
  <c r="CH37" i="63"/>
  <c r="CI37" i="63"/>
  <c r="CJ37" i="63"/>
  <c r="CK37" i="63"/>
  <c r="CM37" i="63"/>
  <c r="CN37" i="63"/>
  <c r="CO37" i="63"/>
  <c r="CP37" i="63"/>
  <c r="CQ37" i="63"/>
  <c r="CR37" i="63"/>
  <c r="CS37" i="63"/>
  <c r="CT37" i="63"/>
  <c r="CU37" i="63"/>
  <c r="CV37" i="63"/>
  <c r="CW37" i="63"/>
  <c r="CE38" i="63"/>
  <c r="CF38" i="63"/>
  <c r="CG38" i="63"/>
  <c r="CH38" i="63"/>
  <c r="CI38" i="63"/>
  <c r="CJ38" i="63"/>
  <c r="CK38" i="63"/>
  <c r="CM38" i="63"/>
  <c r="CN38" i="63"/>
  <c r="CO38" i="63"/>
  <c r="CP38" i="63"/>
  <c r="CQ38" i="63"/>
  <c r="CR38" i="63"/>
  <c r="CS38" i="63"/>
  <c r="CT38" i="63"/>
  <c r="CU38" i="63"/>
  <c r="CV38" i="63"/>
  <c r="CW38" i="63"/>
  <c r="CW9" i="63"/>
  <c r="CV9" i="63"/>
  <c r="CU9" i="63"/>
  <c r="CT9" i="63"/>
  <c r="CS9" i="63"/>
  <c r="CR9" i="63"/>
  <c r="CQ9" i="63"/>
  <c r="CP9" i="63"/>
  <c r="CO9" i="63"/>
  <c r="CN9" i="63"/>
  <c r="CM9" i="63"/>
  <c r="CK9" i="63"/>
  <c r="CJ9" i="63"/>
  <c r="CI9" i="63"/>
  <c r="CH9" i="63"/>
  <c r="CG9" i="63"/>
  <c r="CF9" i="63"/>
  <c r="CE9" i="63"/>
  <c r="CD9" i="63"/>
  <c r="CD11" i="41"/>
  <c r="CE11" i="41"/>
  <c r="CF11" i="41"/>
  <c r="CG11" i="41"/>
  <c r="CH11" i="41"/>
  <c r="CI11" i="41"/>
  <c r="CJ11" i="41"/>
  <c r="CK11" i="41"/>
  <c r="CM11" i="41"/>
  <c r="CN11" i="41"/>
  <c r="CO11" i="41"/>
  <c r="CP11" i="41"/>
  <c r="CQ11" i="41"/>
  <c r="CR11" i="41"/>
  <c r="CS11" i="41"/>
  <c r="CT11" i="41"/>
  <c r="CU11" i="41"/>
  <c r="CV11" i="41"/>
  <c r="CW11" i="41"/>
  <c r="CD12" i="41"/>
  <c r="CE12" i="41"/>
  <c r="CF12" i="41"/>
  <c r="CG12" i="41"/>
  <c r="CH12" i="41"/>
  <c r="CI12" i="41"/>
  <c r="CJ12" i="41"/>
  <c r="CK12" i="41"/>
  <c r="CM12" i="41"/>
  <c r="CN12" i="41"/>
  <c r="CO12" i="41"/>
  <c r="CP12" i="41"/>
  <c r="CQ12" i="41"/>
  <c r="CR12" i="41"/>
  <c r="CS12" i="41"/>
  <c r="CT12" i="41"/>
  <c r="CU12" i="41"/>
  <c r="CV12" i="41"/>
  <c r="CW12" i="41"/>
  <c r="CD13" i="41"/>
  <c r="CE13" i="41"/>
  <c r="CF13" i="41"/>
  <c r="CG13" i="41"/>
  <c r="CH13" i="41"/>
  <c r="CI13" i="41"/>
  <c r="CJ13" i="41"/>
  <c r="CK13" i="41"/>
  <c r="CM13" i="41"/>
  <c r="CN13" i="41"/>
  <c r="CO13" i="41"/>
  <c r="CP13" i="41"/>
  <c r="CQ13" i="41"/>
  <c r="CR13" i="41"/>
  <c r="CS13" i="41"/>
  <c r="CT13" i="41"/>
  <c r="CU13" i="41"/>
  <c r="CV13" i="41"/>
  <c r="CW13" i="41"/>
  <c r="CD14" i="41"/>
  <c r="CE14" i="41"/>
  <c r="CF14" i="41"/>
  <c r="CG14" i="41"/>
  <c r="CH14" i="41"/>
  <c r="CI14" i="41"/>
  <c r="CJ14" i="41"/>
  <c r="CK14" i="41"/>
  <c r="CM14" i="41"/>
  <c r="CN14" i="41"/>
  <c r="CO14" i="41"/>
  <c r="CP14" i="41"/>
  <c r="CQ14" i="41"/>
  <c r="CR14" i="41"/>
  <c r="CS14" i="41"/>
  <c r="CT14" i="41"/>
  <c r="CU14" i="41"/>
  <c r="CV14" i="41"/>
  <c r="CW14" i="41"/>
  <c r="CD15" i="41"/>
  <c r="CE15" i="41"/>
  <c r="CF15" i="41"/>
  <c r="CG15" i="41"/>
  <c r="CH15" i="41"/>
  <c r="CI15" i="41"/>
  <c r="CJ15" i="41"/>
  <c r="CK15" i="41"/>
  <c r="CM15" i="41"/>
  <c r="CN15" i="41"/>
  <c r="CO15" i="41"/>
  <c r="CP15" i="41"/>
  <c r="CQ15" i="41"/>
  <c r="CR15" i="41"/>
  <c r="CS15" i="41"/>
  <c r="CT15" i="41"/>
  <c r="CU15" i="41"/>
  <c r="CV15" i="41"/>
  <c r="CW15" i="41"/>
  <c r="CD16" i="41"/>
  <c r="CE16" i="41"/>
  <c r="CF16" i="41"/>
  <c r="CG16" i="41"/>
  <c r="CH16" i="41"/>
  <c r="CI16" i="41"/>
  <c r="CJ16" i="41"/>
  <c r="CK16" i="41"/>
  <c r="CM16" i="41"/>
  <c r="CN16" i="41"/>
  <c r="CO16" i="41"/>
  <c r="CP16" i="41"/>
  <c r="CQ16" i="41"/>
  <c r="CR16" i="41"/>
  <c r="CS16" i="41"/>
  <c r="CT16" i="41"/>
  <c r="CU16" i="41"/>
  <c r="CV16" i="41"/>
  <c r="CW16" i="41"/>
  <c r="CD17" i="41"/>
  <c r="CE17" i="41"/>
  <c r="CF17" i="41"/>
  <c r="CG17" i="41"/>
  <c r="CH17" i="41"/>
  <c r="CI17" i="41"/>
  <c r="CJ17" i="41"/>
  <c r="CK17" i="41"/>
  <c r="CM17" i="41"/>
  <c r="CN17" i="41"/>
  <c r="CO17" i="41"/>
  <c r="CP17" i="41"/>
  <c r="CQ17" i="41"/>
  <c r="CR17" i="41"/>
  <c r="CS17" i="41"/>
  <c r="CT17" i="41"/>
  <c r="CU17" i="41"/>
  <c r="CV17" i="41"/>
  <c r="CW17" i="41"/>
  <c r="CD18" i="41"/>
  <c r="CE18" i="41"/>
  <c r="CF18" i="41"/>
  <c r="CG18" i="41"/>
  <c r="CH18" i="41"/>
  <c r="CI18" i="41"/>
  <c r="CJ18" i="41"/>
  <c r="CK18" i="41"/>
  <c r="CM18" i="41"/>
  <c r="CN18" i="41"/>
  <c r="CO18" i="41"/>
  <c r="CP18" i="41"/>
  <c r="CQ18" i="41"/>
  <c r="CR18" i="41"/>
  <c r="CS18" i="41"/>
  <c r="CT18" i="41"/>
  <c r="CU18" i="41"/>
  <c r="CV18" i="41"/>
  <c r="CW18" i="41"/>
  <c r="CD19" i="41"/>
  <c r="CE19" i="41"/>
  <c r="CF19" i="41"/>
  <c r="CG19" i="41"/>
  <c r="CH19" i="41"/>
  <c r="CI19" i="41"/>
  <c r="CJ19" i="41"/>
  <c r="CK19" i="41"/>
  <c r="CM19" i="41"/>
  <c r="CN19" i="41"/>
  <c r="CO19" i="41"/>
  <c r="CP19" i="41"/>
  <c r="CQ19" i="41"/>
  <c r="CR19" i="41"/>
  <c r="CS19" i="41"/>
  <c r="CT19" i="41"/>
  <c r="CU19" i="41"/>
  <c r="CV19" i="41"/>
  <c r="CW19" i="41"/>
  <c r="CD20" i="41"/>
  <c r="CE20" i="41"/>
  <c r="CF20" i="41"/>
  <c r="CG20" i="41"/>
  <c r="CH20" i="41"/>
  <c r="CI20" i="41"/>
  <c r="CJ20" i="41"/>
  <c r="CK20" i="41"/>
  <c r="CM20" i="41"/>
  <c r="CN20" i="41"/>
  <c r="CO20" i="41"/>
  <c r="CP20" i="41"/>
  <c r="CQ20" i="41"/>
  <c r="CR20" i="41"/>
  <c r="CS20" i="41"/>
  <c r="CT20" i="41"/>
  <c r="CU20" i="41"/>
  <c r="CV20" i="41"/>
  <c r="CW20" i="41"/>
  <c r="CE21" i="41"/>
  <c r="CF21" i="41"/>
  <c r="CG21" i="41"/>
  <c r="CH21" i="41"/>
  <c r="CI21" i="41"/>
  <c r="CJ21" i="41"/>
  <c r="CK21" i="41"/>
  <c r="CM21" i="41"/>
  <c r="CO21" i="41"/>
  <c r="CP21" i="41"/>
  <c r="CQ21" i="41"/>
  <c r="CR21" i="41"/>
  <c r="CT21" i="41"/>
  <c r="CU21" i="41"/>
  <c r="CV21" i="41"/>
  <c r="CW21" i="41"/>
  <c r="CD22" i="41"/>
  <c r="CE22" i="41"/>
  <c r="CF22" i="41"/>
  <c r="CG22" i="41"/>
  <c r="CH22" i="41"/>
  <c r="CI22" i="41"/>
  <c r="CK22" i="41"/>
  <c r="CM22" i="41"/>
  <c r="CN22" i="41"/>
  <c r="CP22" i="41"/>
  <c r="CQ22" i="41"/>
  <c r="CR22" i="41"/>
  <c r="CS22" i="41"/>
  <c r="CU22" i="41"/>
  <c r="CV22" i="41"/>
  <c r="CW22" i="41"/>
  <c r="CD23" i="41"/>
  <c r="CE23" i="41"/>
  <c r="CG23" i="41"/>
  <c r="CH23" i="41"/>
  <c r="CI23" i="41"/>
  <c r="CJ23" i="41"/>
  <c r="CM23" i="41"/>
  <c r="CN23" i="41"/>
  <c r="CO23" i="41"/>
  <c r="CQ23" i="41"/>
  <c r="CR23" i="41"/>
  <c r="CS23" i="41"/>
  <c r="CT23" i="41"/>
  <c r="CV23" i="41"/>
  <c r="CW23" i="41"/>
  <c r="CD24" i="41"/>
  <c r="CE24" i="41"/>
  <c r="CF24" i="41"/>
  <c r="CH24" i="41"/>
  <c r="CI24" i="41"/>
  <c r="CJ24" i="41"/>
  <c r="CK24" i="41"/>
  <c r="CM24" i="41"/>
  <c r="CN24" i="41"/>
  <c r="CO24" i="41"/>
  <c r="CP24" i="41"/>
  <c r="CR24" i="41"/>
  <c r="CS24" i="41"/>
  <c r="CT24" i="41"/>
  <c r="CU24" i="41"/>
  <c r="CV24" i="41"/>
  <c r="CW24" i="41"/>
  <c r="CD25" i="41"/>
  <c r="CE25" i="41"/>
  <c r="CF25" i="41"/>
  <c r="CG25" i="41"/>
  <c r="CI25" i="41"/>
  <c r="CJ25" i="41"/>
  <c r="CK25" i="41"/>
  <c r="CN25" i="41"/>
  <c r="CO25" i="41"/>
  <c r="CP25" i="41"/>
  <c r="CQ25" i="41"/>
  <c r="CS25" i="41"/>
  <c r="CT25" i="41"/>
  <c r="CU25" i="41"/>
  <c r="CV25" i="41"/>
  <c r="CD26" i="41"/>
  <c r="CE26" i="41"/>
  <c r="CF26" i="41"/>
  <c r="CG26" i="41"/>
  <c r="CH26" i="41"/>
  <c r="CI26" i="41"/>
  <c r="CJ26" i="41"/>
  <c r="CK26" i="41"/>
  <c r="CM26" i="41"/>
  <c r="CN26" i="41"/>
  <c r="CO26" i="41"/>
  <c r="CP26" i="41"/>
  <c r="CQ26" i="41"/>
  <c r="CR26" i="41"/>
  <c r="CS26" i="41"/>
  <c r="CT26" i="41"/>
  <c r="CU26" i="41"/>
  <c r="CV26" i="41"/>
  <c r="CW26" i="41"/>
  <c r="CD27" i="41"/>
  <c r="CE27" i="41"/>
  <c r="CF27" i="41"/>
  <c r="CG27" i="41"/>
  <c r="CH27" i="41"/>
  <c r="CI27" i="41"/>
  <c r="CJ27" i="41"/>
  <c r="CK27" i="41"/>
  <c r="CM27" i="41"/>
  <c r="CN27" i="41"/>
  <c r="CO27" i="41"/>
  <c r="CP27" i="41"/>
  <c r="CQ27" i="41"/>
  <c r="CR27" i="41"/>
  <c r="CS27" i="41"/>
  <c r="CT27" i="41"/>
  <c r="CU27" i="41"/>
  <c r="CV27" i="41"/>
  <c r="CW27" i="41"/>
  <c r="CE28" i="41"/>
  <c r="CF28" i="41"/>
  <c r="CG28" i="41"/>
  <c r="CH28" i="41"/>
  <c r="CI28" i="41"/>
  <c r="CJ28" i="41"/>
  <c r="CK28" i="41"/>
  <c r="CM28" i="41"/>
  <c r="CO28" i="41"/>
  <c r="CP28" i="41"/>
  <c r="CQ28" i="41"/>
  <c r="CR28" i="41"/>
  <c r="CT28" i="41"/>
  <c r="CU28" i="41"/>
  <c r="CV28" i="41"/>
  <c r="CW28" i="41"/>
  <c r="CD29" i="41"/>
  <c r="CF29" i="41"/>
  <c r="CG29" i="41"/>
  <c r="CH29" i="41"/>
  <c r="CI29" i="41"/>
  <c r="CK29" i="41"/>
  <c r="CM29" i="41"/>
  <c r="CN29" i="41"/>
  <c r="CP29" i="41"/>
  <c r="CQ29" i="41"/>
  <c r="CR29" i="41"/>
  <c r="CS29" i="41"/>
  <c r="CU29" i="41"/>
  <c r="CV29" i="41"/>
  <c r="CW29" i="41"/>
  <c r="CD30" i="41"/>
  <c r="CE30" i="41"/>
  <c r="CG30" i="41"/>
  <c r="CH30" i="41"/>
  <c r="CI30" i="41"/>
  <c r="CJ30" i="41"/>
  <c r="CM30" i="41"/>
  <c r="CN30" i="41"/>
  <c r="CO30" i="41"/>
  <c r="CQ30" i="41"/>
  <c r="CR30" i="41"/>
  <c r="CS30" i="41"/>
  <c r="CT30" i="41"/>
  <c r="CV30" i="41"/>
  <c r="CW30" i="41"/>
  <c r="CD31" i="41"/>
  <c r="CE31" i="41"/>
  <c r="CF31" i="41"/>
  <c r="CH31" i="41"/>
  <c r="CI31" i="41"/>
  <c r="CJ31" i="41"/>
  <c r="CK31" i="41"/>
  <c r="CM31" i="41"/>
  <c r="CN31" i="41"/>
  <c r="CO31" i="41"/>
  <c r="CP31" i="41"/>
  <c r="CR31" i="41"/>
  <c r="CS31" i="41"/>
  <c r="CT31" i="41"/>
  <c r="CU31" i="41"/>
  <c r="CW31" i="41"/>
  <c r="CD32" i="41"/>
  <c r="CE32" i="41"/>
  <c r="CF32" i="41"/>
  <c r="CG32" i="41"/>
  <c r="CI32" i="41"/>
  <c r="CJ32" i="41"/>
  <c r="CK32" i="41"/>
  <c r="CN32" i="41"/>
  <c r="CO32" i="41"/>
  <c r="CP32" i="41"/>
  <c r="CQ32" i="41"/>
  <c r="CS32" i="41"/>
  <c r="CT32" i="41"/>
  <c r="CU32" i="41"/>
  <c r="CV32" i="41"/>
  <c r="CD33" i="41"/>
  <c r="CE33" i="41"/>
  <c r="CF33" i="41"/>
  <c r="CG33" i="41"/>
  <c r="CH33" i="41"/>
  <c r="CI33" i="41"/>
  <c r="CJ33" i="41"/>
  <c r="CK33" i="41"/>
  <c r="CM33" i="41"/>
  <c r="CN33" i="41"/>
  <c r="CO33" i="41"/>
  <c r="CP33" i="41"/>
  <c r="CQ33" i="41"/>
  <c r="CR33" i="41"/>
  <c r="CS33" i="41"/>
  <c r="CT33" i="41"/>
  <c r="CU33" i="41"/>
  <c r="CV33" i="41"/>
  <c r="CW33" i="41"/>
  <c r="CD34" i="41"/>
  <c r="CE34" i="41"/>
  <c r="CF34" i="41"/>
  <c r="CG34" i="41"/>
  <c r="CH34" i="41"/>
  <c r="CI34" i="41"/>
  <c r="CJ34" i="41"/>
  <c r="CK34" i="41"/>
  <c r="CM34" i="41"/>
  <c r="CN34" i="41"/>
  <c r="CO34" i="41"/>
  <c r="CP34" i="41"/>
  <c r="CQ34" i="41"/>
  <c r="CR34" i="41"/>
  <c r="CS34" i="41"/>
  <c r="CT34" i="41"/>
  <c r="CU34" i="41"/>
  <c r="CV34" i="41"/>
  <c r="CW34" i="41"/>
  <c r="CE35" i="41"/>
  <c r="CF35" i="41"/>
  <c r="CG35" i="41"/>
  <c r="CH35" i="41"/>
  <c r="CI35" i="41"/>
  <c r="CJ35" i="41"/>
  <c r="CK35" i="41"/>
  <c r="CM35" i="41"/>
  <c r="CO35" i="41"/>
  <c r="CP35" i="41"/>
  <c r="CQ35" i="41"/>
  <c r="CR35" i="41"/>
  <c r="CT35" i="41"/>
  <c r="CU35" i="41"/>
  <c r="CV35" i="41"/>
  <c r="CW35" i="41"/>
  <c r="CD36" i="41"/>
  <c r="CF36" i="41"/>
  <c r="CG36" i="41"/>
  <c r="CH36" i="41"/>
  <c r="CI36" i="41"/>
  <c r="CK36" i="41"/>
  <c r="CM36" i="41"/>
  <c r="CN36" i="41"/>
  <c r="CP36" i="41"/>
  <c r="CQ36" i="41"/>
  <c r="CR36" i="41"/>
  <c r="CS36" i="41"/>
  <c r="CU36" i="41"/>
  <c r="CV36" i="41"/>
  <c r="CW36" i="41"/>
  <c r="CD37" i="41"/>
  <c r="CE37" i="41"/>
  <c r="CG37" i="41"/>
  <c r="CH37" i="41"/>
  <c r="CI37" i="41"/>
  <c r="CJ37" i="41"/>
  <c r="CM37" i="41"/>
  <c r="CN37" i="41"/>
  <c r="CO37" i="41"/>
  <c r="CQ37" i="41"/>
  <c r="CR37" i="41"/>
  <c r="CS37" i="41"/>
  <c r="CT37" i="41"/>
  <c r="CV37" i="41"/>
  <c r="CW37" i="41"/>
  <c r="CD38" i="41"/>
  <c r="CE38" i="41"/>
  <c r="CF38" i="41"/>
  <c r="CH38" i="41"/>
  <c r="CI38" i="41"/>
  <c r="CJ38" i="41"/>
  <c r="CK38" i="41"/>
  <c r="CM38" i="41"/>
  <c r="CN38" i="41"/>
  <c r="CO38" i="41"/>
  <c r="CP38" i="41"/>
  <c r="CR38" i="41"/>
  <c r="CS38" i="41"/>
  <c r="CT38" i="41"/>
  <c r="CU38" i="41"/>
  <c r="CW38" i="41"/>
  <c r="CD39" i="41"/>
  <c r="CE39" i="41"/>
  <c r="CF39" i="41"/>
  <c r="CG39" i="41"/>
  <c r="CI39" i="41"/>
  <c r="CJ39" i="41"/>
  <c r="CK39" i="41"/>
  <c r="CN39" i="41"/>
  <c r="CO39" i="41"/>
  <c r="CP39" i="41"/>
  <c r="CQ39" i="41"/>
  <c r="CS39" i="41"/>
  <c r="CT39" i="41"/>
  <c r="CU39" i="41"/>
  <c r="CV39" i="41"/>
  <c r="CD40" i="41"/>
  <c r="CE40" i="41"/>
  <c r="CF40" i="41"/>
  <c r="CG40" i="41"/>
  <c r="CH40" i="41"/>
  <c r="CI40" i="41"/>
  <c r="CJ40" i="41"/>
  <c r="CK40" i="41"/>
  <c r="CM40" i="41"/>
  <c r="CN40" i="41"/>
  <c r="CO40" i="41"/>
  <c r="CP40" i="41"/>
  <c r="CQ40" i="41"/>
  <c r="CR40" i="41"/>
  <c r="CS40" i="41"/>
  <c r="CT40" i="41"/>
  <c r="CU40" i="41"/>
  <c r="CV40" i="41"/>
  <c r="CW40" i="41"/>
  <c r="CW10" i="41"/>
  <c r="CV10" i="41"/>
  <c r="CU10" i="41"/>
  <c r="CT10" i="41"/>
  <c r="CS10" i="41"/>
  <c r="CR10" i="41"/>
  <c r="CQ10" i="41"/>
  <c r="CP10" i="41"/>
  <c r="CO10" i="41"/>
  <c r="CN10" i="41"/>
  <c r="CM10" i="41"/>
  <c r="CK10" i="41"/>
  <c r="CJ10" i="41"/>
  <c r="CI10" i="41"/>
  <c r="CH10" i="41"/>
  <c r="CG10" i="41"/>
  <c r="CF10" i="41"/>
  <c r="CE10" i="41"/>
  <c r="CD10" i="41"/>
  <c r="BG10" i="73"/>
  <c r="BH10" i="73"/>
  <c r="BI10" i="73"/>
  <c r="BJ10" i="73"/>
  <c r="BK10" i="73"/>
  <c r="BL10" i="73"/>
  <c r="BM10" i="73"/>
  <c r="BN10" i="73"/>
  <c r="BO10" i="73"/>
  <c r="BP10" i="73"/>
  <c r="BQ10" i="73"/>
  <c r="BR10" i="73"/>
  <c r="BS10" i="73"/>
  <c r="BT10" i="73"/>
  <c r="BU10" i="73"/>
  <c r="BV10" i="73"/>
  <c r="BW10" i="73"/>
  <c r="BX10" i="73"/>
  <c r="BY10" i="73"/>
  <c r="BZ10" i="73"/>
  <c r="BG11" i="73"/>
  <c r="BH11" i="73"/>
  <c r="BI11" i="73"/>
  <c r="BJ11" i="73"/>
  <c r="BK11" i="73"/>
  <c r="BL11" i="73"/>
  <c r="BM11" i="73"/>
  <c r="BN11" i="73"/>
  <c r="BO11" i="73"/>
  <c r="BP11" i="73"/>
  <c r="BQ11" i="73"/>
  <c r="BR11" i="73"/>
  <c r="BS11" i="73"/>
  <c r="BT11" i="73"/>
  <c r="BU11" i="73"/>
  <c r="BV11" i="73"/>
  <c r="BW11" i="73"/>
  <c r="BX11" i="73"/>
  <c r="BY11" i="73"/>
  <c r="BZ11" i="73"/>
  <c r="BG12" i="73"/>
  <c r="BH12" i="73"/>
  <c r="BI12" i="73"/>
  <c r="BJ12" i="73"/>
  <c r="BK12" i="73"/>
  <c r="BL12" i="73"/>
  <c r="BM12" i="73"/>
  <c r="BN12" i="73"/>
  <c r="BO12" i="73"/>
  <c r="BP12" i="73"/>
  <c r="BQ12" i="73"/>
  <c r="BR12" i="73"/>
  <c r="BS12" i="73"/>
  <c r="BT12" i="73"/>
  <c r="BU12" i="73"/>
  <c r="BV12" i="73"/>
  <c r="BW12" i="73"/>
  <c r="BX12" i="73"/>
  <c r="BY12" i="73"/>
  <c r="BZ12" i="73"/>
  <c r="BG13" i="73"/>
  <c r="BH13" i="73"/>
  <c r="BI13" i="73"/>
  <c r="BJ13" i="73"/>
  <c r="BK13" i="73"/>
  <c r="BL13" i="73"/>
  <c r="BM13" i="73"/>
  <c r="BN13" i="73"/>
  <c r="BO13" i="73"/>
  <c r="BP13" i="73"/>
  <c r="BQ13" i="73"/>
  <c r="BR13" i="73"/>
  <c r="BS13" i="73"/>
  <c r="BT13" i="73"/>
  <c r="BU13" i="73"/>
  <c r="BV13" i="73"/>
  <c r="BW13" i="73"/>
  <c r="BX13" i="73"/>
  <c r="BY13" i="73"/>
  <c r="BZ13" i="73"/>
  <c r="BG14" i="73"/>
  <c r="BH14" i="73"/>
  <c r="BI14" i="73"/>
  <c r="BJ14" i="73"/>
  <c r="BK14" i="73"/>
  <c r="BL14" i="73"/>
  <c r="BM14" i="73"/>
  <c r="BN14" i="73"/>
  <c r="BO14" i="73"/>
  <c r="BP14" i="73"/>
  <c r="BQ14" i="73"/>
  <c r="BR14" i="73"/>
  <c r="BS14" i="73"/>
  <c r="BT14" i="73"/>
  <c r="BU14" i="73"/>
  <c r="BV14" i="73"/>
  <c r="BW14" i="73"/>
  <c r="BX14" i="73"/>
  <c r="BY14" i="73"/>
  <c r="BZ14" i="73"/>
  <c r="BG15" i="73"/>
  <c r="BH15" i="73"/>
  <c r="BI15" i="73"/>
  <c r="BJ15" i="73"/>
  <c r="BK15" i="73"/>
  <c r="BL15" i="73"/>
  <c r="BM15" i="73"/>
  <c r="BN15" i="73"/>
  <c r="BO15" i="73"/>
  <c r="BP15" i="73"/>
  <c r="BQ15" i="73"/>
  <c r="BR15" i="73"/>
  <c r="BS15" i="73"/>
  <c r="BT15" i="73"/>
  <c r="BU15" i="73"/>
  <c r="BV15" i="73"/>
  <c r="BW15" i="73"/>
  <c r="BX15" i="73"/>
  <c r="BY15" i="73"/>
  <c r="BZ15" i="73"/>
  <c r="BG16" i="73"/>
  <c r="BH16" i="73"/>
  <c r="BI16" i="73"/>
  <c r="BJ16" i="73"/>
  <c r="BK16" i="73"/>
  <c r="BL16" i="73"/>
  <c r="BM16" i="73"/>
  <c r="BN16" i="73"/>
  <c r="BO16" i="73"/>
  <c r="BP16" i="73"/>
  <c r="BQ16" i="73"/>
  <c r="BR16" i="73"/>
  <c r="BS16" i="73"/>
  <c r="BT16" i="73"/>
  <c r="BU16" i="73"/>
  <c r="BV16" i="73"/>
  <c r="BW16" i="73"/>
  <c r="BX16" i="73"/>
  <c r="BY16" i="73"/>
  <c r="BZ16" i="73"/>
  <c r="BG17" i="73"/>
  <c r="BH17" i="73"/>
  <c r="BI17" i="73"/>
  <c r="BJ17" i="73"/>
  <c r="BK17" i="73"/>
  <c r="BL17" i="73"/>
  <c r="BM17" i="73"/>
  <c r="BN17" i="73"/>
  <c r="BO17" i="73"/>
  <c r="BP17" i="73"/>
  <c r="BQ17" i="73"/>
  <c r="BR17" i="73"/>
  <c r="BS17" i="73"/>
  <c r="BT17" i="73"/>
  <c r="BU17" i="73"/>
  <c r="BV17" i="73"/>
  <c r="BW17" i="73"/>
  <c r="BX17" i="73"/>
  <c r="BY17" i="73"/>
  <c r="BZ17" i="73"/>
  <c r="BG18" i="73"/>
  <c r="BH18" i="73"/>
  <c r="BI18" i="73"/>
  <c r="BJ18" i="73"/>
  <c r="BK18" i="73"/>
  <c r="BL18" i="73"/>
  <c r="BM18" i="73"/>
  <c r="BN18" i="73"/>
  <c r="BO18" i="73"/>
  <c r="BP18" i="73"/>
  <c r="BQ18" i="73"/>
  <c r="BR18" i="73"/>
  <c r="BS18" i="73"/>
  <c r="BT18" i="73"/>
  <c r="BU18" i="73"/>
  <c r="BV18" i="73"/>
  <c r="BW18" i="73"/>
  <c r="BX18" i="73"/>
  <c r="BY18" i="73"/>
  <c r="BZ18" i="73"/>
  <c r="BG19" i="73"/>
  <c r="BH19" i="73"/>
  <c r="BI19" i="73"/>
  <c r="BJ19" i="73"/>
  <c r="BK19" i="73"/>
  <c r="BL19" i="73"/>
  <c r="BM19" i="73"/>
  <c r="BN19" i="73"/>
  <c r="BO19" i="73"/>
  <c r="BP19" i="73"/>
  <c r="BQ19" i="73"/>
  <c r="BR19" i="73"/>
  <c r="BS19" i="73"/>
  <c r="BT19" i="73"/>
  <c r="BU19" i="73"/>
  <c r="BV19" i="73"/>
  <c r="BW19" i="73"/>
  <c r="BX19" i="73"/>
  <c r="BY19" i="73"/>
  <c r="BZ19" i="73"/>
  <c r="BG20" i="73"/>
  <c r="BH20" i="73"/>
  <c r="BI20" i="73"/>
  <c r="BJ20" i="73"/>
  <c r="BK20" i="73"/>
  <c r="BL20" i="73"/>
  <c r="BM20" i="73"/>
  <c r="BN20" i="73"/>
  <c r="BO20" i="73"/>
  <c r="BP20" i="73"/>
  <c r="BQ20" i="73"/>
  <c r="BR20" i="73"/>
  <c r="BS20" i="73"/>
  <c r="BT20" i="73"/>
  <c r="BU20" i="73"/>
  <c r="BV20" i="73"/>
  <c r="BW20" i="73"/>
  <c r="BX20" i="73"/>
  <c r="BY20" i="73"/>
  <c r="BZ20" i="73"/>
  <c r="BG21" i="73"/>
  <c r="BH21" i="73"/>
  <c r="BI21" i="73"/>
  <c r="BJ21" i="73"/>
  <c r="BK21" i="73"/>
  <c r="BL21" i="73"/>
  <c r="BM21" i="73"/>
  <c r="BN21" i="73"/>
  <c r="BO21" i="73"/>
  <c r="BP21" i="73"/>
  <c r="BQ21" i="73"/>
  <c r="BR21" i="73"/>
  <c r="BS21" i="73"/>
  <c r="BT21" i="73"/>
  <c r="BU21" i="73"/>
  <c r="BV21" i="73"/>
  <c r="BW21" i="73"/>
  <c r="BX21" i="73"/>
  <c r="BY21" i="73"/>
  <c r="BZ21" i="73"/>
  <c r="BG22" i="73"/>
  <c r="BH22" i="73"/>
  <c r="BI22" i="73"/>
  <c r="BJ22" i="73"/>
  <c r="BK22" i="73"/>
  <c r="BL22" i="73"/>
  <c r="BM22" i="73"/>
  <c r="BN22" i="73"/>
  <c r="BO22" i="73"/>
  <c r="BP22" i="73"/>
  <c r="BQ22" i="73"/>
  <c r="BR22" i="73"/>
  <c r="BS22" i="73"/>
  <c r="BT22" i="73"/>
  <c r="BU22" i="73"/>
  <c r="BV22" i="73"/>
  <c r="BW22" i="73"/>
  <c r="BX22" i="73"/>
  <c r="BY22" i="73"/>
  <c r="BZ22" i="73"/>
  <c r="BG23" i="73"/>
  <c r="BH23" i="73"/>
  <c r="BI23" i="73"/>
  <c r="BJ23" i="73"/>
  <c r="BK23" i="73"/>
  <c r="BL23" i="73"/>
  <c r="BM23" i="73"/>
  <c r="BN23" i="73"/>
  <c r="BO23" i="73"/>
  <c r="BP23" i="73"/>
  <c r="BQ23" i="73"/>
  <c r="BR23" i="73"/>
  <c r="BS23" i="73"/>
  <c r="BT23" i="73"/>
  <c r="BU23" i="73"/>
  <c r="BV23" i="73"/>
  <c r="BW23" i="73"/>
  <c r="BX23" i="73"/>
  <c r="BY23" i="73"/>
  <c r="BZ23" i="73"/>
  <c r="BG24" i="73"/>
  <c r="BH24" i="73"/>
  <c r="BI24" i="73"/>
  <c r="BJ24" i="73"/>
  <c r="BK24" i="73"/>
  <c r="BL24" i="73"/>
  <c r="BM24" i="73"/>
  <c r="BN24" i="73"/>
  <c r="BO24" i="73"/>
  <c r="BP24" i="73"/>
  <c r="BQ24" i="73"/>
  <c r="BR24" i="73"/>
  <c r="BS24" i="73"/>
  <c r="BT24" i="73"/>
  <c r="BU24" i="73"/>
  <c r="BV24" i="73"/>
  <c r="BW24" i="73"/>
  <c r="BX24" i="73"/>
  <c r="BY24" i="73"/>
  <c r="BZ24" i="73"/>
  <c r="BG25" i="73"/>
  <c r="BH25" i="73"/>
  <c r="BI25" i="73"/>
  <c r="BJ25" i="73"/>
  <c r="BK25" i="73"/>
  <c r="BL25" i="73"/>
  <c r="BM25" i="73"/>
  <c r="BN25" i="73"/>
  <c r="BO25" i="73"/>
  <c r="BP25" i="73"/>
  <c r="BQ25" i="73"/>
  <c r="BR25" i="73"/>
  <c r="BS25" i="73"/>
  <c r="BT25" i="73"/>
  <c r="BU25" i="73"/>
  <c r="BV25" i="73"/>
  <c r="BW25" i="73"/>
  <c r="BX25" i="73"/>
  <c r="BY25" i="73"/>
  <c r="BZ25" i="73"/>
  <c r="BG26" i="73"/>
  <c r="BH26" i="73"/>
  <c r="BI26" i="73"/>
  <c r="BJ26" i="73"/>
  <c r="BK26" i="73"/>
  <c r="BL26" i="73"/>
  <c r="BM26" i="73"/>
  <c r="BN26" i="73"/>
  <c r="BO26" i="73"/>
  <c r="BP26" i="73"/>
  <c r="BQ26" i="73"/>
  <c r="BR26" i="73"/>
  <c r="BS26" i="73"/>
  <c r="BT26" i="73"/>
  <c r="BU26" i="73"/>
  <c r="BV26" i="73"/>
  <c r="BW26" i="73"/>
  <c r="BX26" i="73"/>
  <c r="BY26" i="73"/>
  <c r="BZ26" i="73"/>
  <c r="BG27" i="73"/>
  <c r="BH27" i="73"/>
  <c r="BI27" i="73"/>
  <c r="BJ27" i="73"/>
  <c r="BK27" i="73"/>
  <c r="BL27" i="73"/>
  <c r="BM27" i="73"/>
  <c r="BN27" i="73"/>
  <c r="BO27" i="73"/>
  <c r="BP27" i="73"/>
  <c r="BQ27" i="73"/>
  <c r="BR27" i="73"/>
  <c r="BS27" i="73"/>
  <c r="BT27" i="73"/>
  <c r="BU27" i="73"/>
  <c r="BV27" i="73"/>
  <c r="BW27" i="73"/>
  <c r="BX27" i="73"/>
  <c r="BY27" i="73"/>
  <c r="BZ27" i="73"/>
  <c r="BG28" i="73"/>
  <c r="BH28" i="73"/>
  <c r="BI28" i="73"/>
  <c r="BJ28" i="73"/>
  <c r="BK28" i="73"/>
  <c r="BL28" i="73"/>
  <c r="BM28" i="73"/>
  <c r="BN28" i="73"/>
  <c r="BO28" i="73"/>
  <c r="BP28" i="73"/>
  <c r="BQ28" i="73"/>
  <c r="BR28" i="73"/>
  <c r="BS28" i="73"/>
  <c r="BT28" i="73"/>
  <c r="BU28" i="73"/>
  <c r="BV28" i="73"/>
  <c r="BW28" i="73"/>
  <c r="BX28" i="73"/>
  <c r="BY28" i="73"/>
  <c r="BZ28" i="73"/>
  <c r="BG29" i="73"/>
  <c r="BH29" i="73"/>
  <c r="BI29" i="73"/>
  <c r="BJ29" i="73"/>
  <c r="BK29" i="73"/>
  <c r="BL29" i="73"/>
  <c r="BM29" i="73"/>
  <c r="BN29" i="73"/>
  <c r="BO29" i="73"/>
  <c r="BP29" i="73"/>
  <c r="BQ29" i="73"/>
  <c r="BR29" i="73"/>
  <c r="BS29" i="73"/>
  <c r="BT29" i="73"/>
  <c r="BU29" i="73"/>
  <c r="BV29" i="73"/>
  <c r="BW29" i="73"/>
  <c r="BX29" i="73"/>
  <c r="BY29" i="73"/>
  <c r="BZ29" i="73"/>
  <c r="BG30" i="73"/>
  <c r="BH30" i="73"/>
  <c r="BI30" i="73"/>
  <c r="BJ30" i="73"/>
  <c r="BK30" i="73"/>
  <c r="BL30" i="73"/>
  <c r="BM30" i="73"/>
  <c r="BN30" i="73"/>
  <c r="BO30" i="73"/>
  <c r="BP30" i="73"/>
  <c r="BQ30" i="73"/>
  <c r="BR30" i="73"/>
  <c r="BS30" i="73"/>
  <c r="BT30" i="73"/>
  <c r="BU30" i="73"/>
  <c r="BV30" i="73"/>
  <c r="BW30" i="73"/>
  <c r="BX30" i="73"/>
  <c r="BY30" i="73"/>
  <c r="BZ30" i="73"/>
  <c r="BG31" i="73"/>
  <c r="BH31" i="73"/>
  <c r="BI31" i="73"/>
  <c r="BJ31" i="73"/>
  <c r="BK31" i="73"/>
  <c r="BL31" i="73"/>
  <c r="BM31" i="73"/>
  <c r="BN31" i="73"/>
  <c r="BO31" i="73"/>
  <c r="BP31" i="73"/>
  <c r="BQ31" i="73"/>
  <c r="BR31" i="73"/>
  <c r="BS31" i="73"/>
  <c r="BT31" i="73"/>
  <c r="BU31" i="73"/>
  <c r="BV31" i="73"/>
  <c r="BW31" i="73"/>
  <c r="BX31" i="73"/>
  <c r="BY31" i="73"/>
  <c r="BZ31" i="73"/>
  <c r="BG32" i="73"/>
  <c r="BH32" i="73"/>
  <c r="BI32" i="73"/>
  <c r="BJ32" i="73"/>
  <c r="BK32" i="73"/>
  <c r="BL32" i="73"/>
  <c r="BM32" i="73"/>
  <c r="BN32" i="73"/>
  <c r="BO32" i="73"/>
  <c r="BP32" i="73"/>
  <c r="BQ32" i="73"/>
  <c r="BR32" i="73"/>
  <c r="BS32" i="73"/>
  <c r="BT32" i="73"/>
  <c r="BU32" i="73"/>
  <c r="BV32" i="73"/>
  <c r="BW32" i="73"/>
  <c r="BX32" i="73"/>
  <c r="BY32" i="73"/>
  <c r="BZ32" i="73"/>
  <c r="BG33" i="73"/>
  <c r="BH33" i="73"/>
  <c r="BI33" i="73"/>
  <c r="BJ33" i="73"/>
  <c r="BK33" i="73"/>
  <c r="BL33" i="73"/>
  <c r="BM33" i="73"/>
  <c r="BN33" i="73"/>
  <c r="BO33" i="73"/>
  <c r="BP33" i="73"/>
  <c r="BQ33" i="73"/>
  <c r="BR33" i="73"/>
  <c r="BS33" i="73"/>
  <c r="BT33" i="73"/>
  <c r="BU33" i="73"/>
  <c r="BV33" i="73"/>
  <c r="BW33" i="73"/>
  <c r="BX33" i="73"/>
  <c r="BY33" i="73"/>
  <c r="BZ33" i="73"/>
  <c r="BG34" i="73"/>
  <c r="BH34" i="73"/>
  <c r="BI34" i="73"/>
  <c r="BJ34" i="73"/>
  <c r="BK34" i="73"/>
  <c r="BL34" i="73"/>
  <c r="BM34" i="73"/>
  <c r="BN34" i="73"/>
  <c r="BO34" i="73"/>
  <c r="BP34" i="73"/>
  <c r="BQ34" i="73"/>
  <c r="BR34" i="73"/>
  <c r="BS34" i="73"/>
  <c r="BT34" i="73"/>
  <c r="BU34" i="73"/>
  <c r="BV34" i="73"/>
  <c r="BW34" i="73"/>
  <c r="BX34" i="73"/>
  <c r="BY34" i="73"/>
  <c r="BZ34" i="73"/>
  <c r="BG35" i="73"/>
  <c r="BH35" i="73"/>
  <c r="BI35" i="73"/>
  <c r="BJ35" i="73"/>
  <c r="BK35" i="73"/>
  <c r="BL35" i="73"/>
  <c r="BM35" i="73"/>
  <c r="BN35" i="73"/>
  <c r="BO35" i="73"/>
  <c r="BP35" i="73"/>
  <c r="BQ35" i="73"/>
  <c r="BR35" i="73"/>
  <c r="BS35" i="73"/>
  <c r="BT35" i="73"/>
  <c r="BU35" i="73"/>
  <c r="BV35" i="73"/>
  <c r="BW35" i="73"/>
  <c r="BX35" i="73"/>
  <c r="BY35" i="73"/>
  <c r="BZ35" i="73"/>
  <c r="BG36" i="73"/>
  <c r="BH36" i="73"/>
  <c r="BI36" i="73"/>
  <c r="BJ36" i="73"/>
  <c r="BK36" i="73"/>
  <c r="BL36" i="73"/>
  <c r="BM36" i="73"/>
  <c r="BN36" i="73"/>
  <c r="BO36" i="73"/>
  <c r="BP36" i="73"/>
  <c r="BQ36" i="73"/>
  <c r="BR36" i="73"/>
  <c r="BS36" i="73"/>
  <c r="BT36" i="73"/>
  <c r="BU36" i="73"/>
  <c r="BV36" i="73"/>
  <c r="BW36" i="73"/>
  <c r="BX36" i="73"/>
  <c r="BY36" i="73"/>
  <c r="BZ36" i="73"/>
  <c r="BG37" i="73"/>
  <c r="BH37" i="73"/>
  <c r="BI37" i="73"/>
  <c r="BJ37" i="73"/>
  <c r="BK37" i="73"/>
  <c r="BL37" i="73"/>
  <c r="BM37" i="73"/>
  <c r="BN37" i="73"/>
  <c r="BO37" i="73"/>
  <c r="BP37" i="73"/>
  <c r="BQ37" i="73"/>
  <c r="BR37" i="73"/>
  <c r="BS37" i="73"/>
  <c r="BT37" i="73"/>
  <c r="BU37" i="73"/>
  <c r="BV37" i="73"/>
  <c r="BW37" i="73"/>
  <c r="BX37" i="73"/>
  <c r="BY37" i="73"/>
  <c r="BZ37" i="73"/>
  <c r="BG38" i="73"/>
  <c r="BH38" i="73"/>
  <c r="BI38" i="73"/>
  <c r="BJ38" i="73"/>
  <c r="BK38" i="73"/>
  <c r="BL38" i="73"/>
  <c r="BM38" i="73"/>
  <c r="BN38" i="73"/>
  <c r="BO38" i="73"/>
  <c r="BP38" i="73"/>
  <c r="BQ38" i="73"/>
  <c r="BR38" i="73"/>
  <c r="BS38" i="73"/>
  <c r="BT38" i="73"/>
  <c r="BU38" i="73"/>
  <c r="BV38" i="73"/>
  <c r="BW38" i="73"/>
  <c r="BX38" i="73"/>
  <c r="BY38" i="73"/>
  <c r="BZ38" i="73"/>
  <c r="BG39" i="73"/>
  <c r="BH39" i="73"/>
  <c r="BI39" i="73"/>
  <c r="BJ39" i="73"/>
  <c r="BK39" i="73"/>
  <c r="BL39" i="73"/>
  <c r="BM39" i="73"/>
  <c r="BN39" i="73"/>
  <c r="BO39" i="73"/>
  <c r="BP39" i="73"/>
  <c r="BQ39" i="73"/>
  <c r="BR39" i="73"/>
  <c r="BS39" i="73"/>
  <c r="BT39" i="73"/>
  <c r="BU39" i="73"/>
  <c r="BV39" i="73"/>
  <c r="BW39" i="73"/>
  <c r="BX39" i="73"/>
  <c r="BY39" i="73"/>
  <c r="BZ39" i="73"/>
  <c r="BZ9" i="73"/>
  <c r="BY9" i="73"/>
  <c r="BX9" i="73"/>
  <c r="BW9" i="73"/>
  <c r="BV9" i="73"/>
  <c r="BU9" i="73"/>
  <c r="BT9" i="73"/>
  <c r="BS9" i="73"/>
  <c r="BR9" i="73"/>
  <c r="BQ9" i="73"/>
  <c r="BP9" i="73"/>
  <c r="BO9" i="73"/>
  <c r="BN9" i="73"/>
  <c r="BM9" i="73"/>
  <c r="BL9" i="73"/>
  <c r="BK9" i="73"/>
  <c r="BJ9" i="73"/>
  <c r="BI9" i="73"/>
  <c r="BH9" i="73"/>
  <c r="BG9" i="73"/>
  <c r="BH10" i="72"/>
  <c r="BI10" i="72"/>
  <c r="BJ10" i="72"/>
  <c r="BK10" i="72"/>
  <c r="BM10" i="72"/>
  <c r="BN10" i="72"/>
  <c r="BO10" i="72"/>
  <c r="BP10" i="72"/>
  <c r="BQ10" i="72"/>
  <c r="BR10" i="72"/>
  <c r="BS10" i="72"/>
  <c r="BT10" i="72"/>
  <c r="BU10" i="72"/>
  <c r="BV10" i="72"/>
  <c r="BW10" i="72"/>
  <c r="BX10" i="72"/>
  <c r="BY10" i="72"/>
  <c r="BZ10" i="72"/>
  <c r="BG11" i="72"/>
  <c r="BI11" i="72"/>
  <c r="BJ11" i="72"/>
  <c r="BK11" i="72"/>
  <c r="BL11" i="72"/>
  <c r="BN11" i="72"/>
  <c r="BO11" i="72"/>
  <c r="BP11" i="72"/>
  <c r="BQ11" i="72"/>
  <c r="BR11" i="72"/>
  <c r="BS11" i="72"/>
  <c r="BT11" i="72"/>
  <c r="BU11" i="72"/>
  <c r="BV11" i="72"/>
  <c r="BW11" i="72"/>
  <c r="BX11" i="72"/>
  <c r="BY11" i="72"/>
  <c r="BZ11" i="72"/>
  <c r="BG12" i="72"/>
  <c r="BH12" i="72"/>
  <c r="BJ12" i="72"/>
  <c r="BK12" i="72"/>
  <c r="BL12" i="72"/>
  <c r="BM12" i="72"/>
  <c r="BO12" i="72"/>
  <c r="BP12" i="72"/>
  <c r="BQ12" i="72"/>
  <c r="BR12" i="72"/>
  <c r="BS12" i="72"/>
  <c r="BT12" i="72"/>
  <c r="BU12" i="72"/>
  <c r="BV12" i="72"/>
  <c r="BW12" i="72"/>
  <c r="BX12" i="72"/>
  <c r="BY12" i="72"/>
  <c r="BZ12" i="72"/>
  <c r="BG13" i="72"/>
  <c r="BH13" i="72"/>
  <c r="BI13" i="72"/>
  <c r="BJ13" i="72"/>
  <c r="BK13" i="72"/>
  <c r="BL13" i="72"/>
  <c r="BM13" i="72"/>
  <c r="BN13" i="72"/>
  <c r="BO13" i="72"/>
  <c r="BP13" i="72"/>
  <c r="BQ13" i="72"/>
  <c r="BR13" i="72"/>
  <c r="BS13" i="72"/>
  <c r="BT13" i="72"/>
  <c r="BU13" i="72"/>
  <c r="BV13" i="72"/>
  <c r="BW13" i="72"/>
  <c r="BX13" i="72"/>
  <c r="BY13" i="72"/>
  <c r="BZ13" i="72"/>
  <c r="BG14" i="72"/>
  <c r="BH14" i="72"/>
  <c r="BI14" i="72"/>
  <c r="BJ14" i="72"/>
  <c r="BL14" i="72"/>
  <c r="BM14" i="72"/>
  <c r="BN14" i="72"/>
  <c r="BO14" i="72"/>
  <c r="BQ14" i="72"/>
  <c r="BR14" i="72"/>
  <c r="BS14" i="72"/>
  <c r="BT14" i="72"/>
  <c r="BU14" i="72"/>
  <c r="BV14" i="72"/>
  <c r="BW14" i="72"/>
  <c r="BX14" i="72"/>
  <c r="BY14" i="72"/>
  <c r="BZ14" i="72"/>
  <c r="BG15" i="72"/>
  <c r="BH15" i="72"/>
  <c r="BI15" i="72"/>
  <c r="BJ15" i="72"/>
  <c r="BK15" i="72"/>
  <c r="BL15" i="72"/>
  <c r="BM15" i="72"/>
  <c r="BN15" i="72"/>
  <c r="BO15" i="72"/>
  <c r="BP15" i="72"/>
  <c r="BQ15" i="72"/>
  <c r="BR15" i="72"/>
  <c r="BS15" i="72"/>
  <c r="BT15" i="72"/>
  <c r="BU15" i="72"/>
  <c r="BV15" i="72"/>
  <c r="BW15" i="72"/>
  <c r="BX15" i="72"/>
  <c r="BY15" i="72"/>
  <c r="BZ15" i="72"/>
  <c r="BG16" i="72"/>
  <c r="BH16" i="72"/>
  <c r="BI16" i="72"/>
  <c r="BJ16" i="72"/>
  <c r="BK16" i="72"/>
  <c r="BL16" i="72"/>
  <c r="BM16" i="72"/>
  <c r="BN16" i="72"/>
  <c r="BO16" i="72"/>
  <c r="BP16" i="72"/>
  <c r="BQ16" i="72"/>
  <c r="BR16" i="72"/>
  <c r="BS16" i="72"/>
  <c r="BT16" i="72"/>
  <c r="BU16" i="72"/>
  <c r="BV16" i="72"/>
  <c r="BW16" i="72"/>
  <c r="BX16" i="72"/>
  <c r="BY16" i="72"/>
  <c r="BZ16" i="72"/>
  <c r="BG17" i="72"/>
  <c r="BH17" i="72"/>
  <c r="BI17" i="72"/>
  <c r="BJ17" i="72"/>
  <c r="BK17" i="72"/>
  <c r="BL17" i="72"/>
  <c r="BM17" i="72"/>
  <c r="BN17" i="72"/>
  <c r="BO17" i="72"/>
  <c r="BP17" i="72"/>
  <c r="BQ17" i="72"/>
  <c r="BR17" i="72"/>
  <c r="BS17" i="72"/>
  <c r="BT17" i="72"/>
  <c r="BU17" i="72"/>
  <c r="BV17" i="72"/>
  <c r="BW17" i="72"/>
  <c r="BX17" i="72"/>
  <c r="BY17" i="72"/>
  <c r="BZ17" i="72"/>
  <c r="BG18" i="72"/>
  <c r="BI18" i="72"/>
  <c r="BJ18" i="72"/>
  <c r="BK18" i="72"/>
  <c r="BL18" i="72"/>
  <c r="BN18" i="72"/>
  <c r="BO18" i="72"/>
  <c r="BP18" i="72"/>
  <c r="BQ18" i="72"/>
  <c r="BR18" i="72"/>
  <c r="BS18" i="72"/>
  <c r="BT18" i="72"/>
  <c r="BU18" i="72"/>
  <c r="BV18" i="72"/>
  <c r="BW18" i="72"/>
  <c r="BX18" i="72"/>
  <c r="BY18" i="72"/>
  <c r="BZ18" i="72"/>
  <c r="BG19" i="72"/>
  <c r="BH19" i="72"/>
  <c r="BJ19" i="72"/>
  <c r="BK19" i="72"/>
  <c r="BL19" i="72"/>
  <c r="BM19" i="72"/>
  <c r="BO19" i="72"/>
  <c r="BP19" i="72"/>
  <c r="BQ19" i="72"/>
  <c r="BR19" i="72"/>
  <c r="BS19" i="72"/>
  <c r="BT19" i="72"/>
  <c r="BU19" i="72"/>
  <c r="BV19" i="72"/>
  <c r="BW19" i="72"/>
  <c r="BX19" i="72"/>
  <c r="BY19" i="72"/>
  <c r="BZ19" i="72"/>
  <c r="BG20" i="72"/>
  <c r="BH20" i="72"/>
  <c r="BI20" i="72"/>
  <c r="BK20" i="72"/>
  <c r="BL20" i="72"/>
  <c r="BM20" i="72"/>
  <c r="BN20" i="72"/>
  <c r="BP20" i="72"/>
  <c r="BQ20" i="72"/>
  <c r="BR20" i="72"/>
  <c r="BS20" i="72"/>
  <c r="BT20" i="72"/>
  <c r="BU20" i="72"/>
  <c r="BV20" i="72"/>
  <c r="BW20" i="72"/>
  <c r="BX20" i="72"/>
  <c r="BY20" i="72"/>
  <c r="BZ20" i="72"/>
  <c r="BG21" i="72"/>
  <c r="BH21" i="72"/>
  <c r="BI21" i="72"/>
  <c r="BJ21" i="72"/>
  <c r="BL21" i="72"/>
  <c r="BM21" i="72"/>
  <c r="BN21" i="72"/>
  <c r="BO21" i="72"/>
  <c r="BQ21" i="72"/>
  <c r="BR21" i="72"/>
  <c r="BS21" i="72"/>
  <c r="BT21" i="72"/>
  <c r="BU21" i="72"/>
  <c r="BV21" i="72"/>
  <c r="BW21" i="72"/>
  <c r="BX21" i="72"/>
  <c r="BY21" i="72"/>
  <c r="BZ21" i="72"/>
  <c r="BG22" i="72"/>
  <c r="BH22" i="72"/>
  <c r="BI22" i="72"/>
  <c r="BJ22" i="72"/>
  <c r="BK22" i="72"/>
  <c r="BL22" i="72"/>
  <c r="BM22" i="72"/>
  <c r="BN22" i="72"/>
  <c r="BO22" i="72"/>
  <c r="BP22" i="72"/>
  <c r="BQ22" i="72"/>
  <c r="BR22" i="72"/>
  <c r="BS22" i="72"/>
  <c r="BT22" i="72"/>
  <c r="BU22" i="72"/>
  <c r="BV22" i="72"/>
  <c r="BW22" i="72"/>
  <c r="BX22" i="72"/>
  <c r="BY22" i="72"/>
  <c r="BZ22" i="72"/>
  <c r="BG23" i="72"/>
  <c r="BH23" i="72"/>
  <c r="BI23" i="72"/>
  <c r="BJ23" i="72"/>
  <c r="BK23" i="72"/>
  <c r="BL23" i="72"/>
  <c r="BM23" i="72"/>
  <c r="BN23" i="72"/>
  <c r="BO23" i="72"/>
  <c r="BP23" i="72"/>
  <c r="BQ23" i="72"/>
  <c r="BR23" i="72"/>
  <c r="BS23" i="72"/>
  <c r="BT23" i="72"/>
  <c r="BU23" i="72"/>
  <c r="BV23" i="72"/>
  <c r="BW23" i="72"/>
  <c r="BX23" i="72"/>
  <c r="BY23" i="72"/>
  <c r="BZ23" i="72"/>
  <c r="BH24" i="72"/>
  <c r="BI24" i="72"/>
  <c r="BJ24" i="72"/>
  <c r="BK24" i="72"/>
  <c r="BM24" i="72"/>
  <c r="BN24" i="72"/>
  <c r="BO24" i="72"/>
  <c r="BP24" i="72"/>
  <c r="BQ24" i="72"/>
  <c r="BR24" i="72"/>
  <c r="BS24" i="72"/>
  <c r="BT24" i="72"/>
  <c r="BU24" i="72"/>
  <c r="BV24" i="72"/>
  <c r="BW24" i="72"/>
  <c r="BX24" i="72"/>
  <c r="BY24" i="72"/>
  <c r="BZ24" i="72"/>
  <c r="BG25" i="72"/>
  <c r="BI25" i="72"/>
  <c r="BJ25" i="72"/>
  <c r="BK25" i="72"/>
  <c r="BL25" i="72"/>
  <c r="BN25" i="72"/>
  <c r="BO25" i="72"/>
  <c r="BP25" i="72"/>
  <c r="BQ25" i="72"/>
  <c r="BR25" i="72"/>
  <c r="BS25" i="72"/>
  <c r="BT25" i="72"/>
  <c r="BU25" i="72"/>
  <c r="BV25" i="72"/>
  <c r="BW25" i="72"/>
  <c r="BX25" i="72"/>
  <c r="BY25" i="72"/>
  <c r="BZ25" i="72"/>
  <c r="BG26" i="72"/>
  <c r="BH26" i="72"/>
  <c r="BJ26" i="72"/>
  <c r="BK26" i="72"/>
  <c r="BL26" i="72"/>
  <c r="BM26" i="72"/>
  <c r="BO26" i="72"/>
  <c r="BP26" i="72"/>
  <c r="BQ26" i="72"/>
  <c r="BR26" i="72"/>
  <c r="BS26" i="72"/>
  <c r="BT26" i="72"/>
  <c r="BU26" i="72"/>
  <c r="BV26" i="72"/>
  <c r="BW26" i="72"/>
  <c r="BX26" i="72"/>
  <c r="BY26" i="72"/>
  <c r="BZ26" i="72"/>
  <c r="BG27" i="72"/>
  <c r="BH27" i="72"/>
  <c r="BI27" i="72"/>
  <c r="BK27" i="72"/>
  <c r="BL27" i="72"/>
  <c r="BM27" i="72"/>
  <c r="BN27" i="72"/>
  <c r="BP27" i="72"/>
  <c r="BQ27" i="72"/>
  <c r="BR27" i="72"/>
  <c r="BS27" i="72"/>
  <c r="BT27" i="72"/>
  <c r="BU27" i="72"/>
  <c r="BV27" i="72"/>
  <c r="BW27" i="72"/>
  <c r="BX27" i="72"/>
  <c r="BY27" i="72"/>
  <c r="BZ27" i="72"/>
  <c r="BG28" i="72"/>
  <c r="BH28" i="72"/>
  <c r="BI28" i="72"/>
  <c r="BJ28" i="72"/>
  <c r="BL28" i="72"/>
  <c r="BM28" i="72"/>
  <c r="BN28" i="72"/>
  <c r="BO28" i="72"/>
  <c r="BQ28" i="72"/>
  <c r="BR28" i="72"/>
  <c r="BS28" i="72"/>
  <c r="BT28" i="72"/>
  <c r="BU28" i="72"/>
  <c r="BV28" i="72"/>
  <c r="BW28" i="72"/>
  <c r="BX28" i="72"/>
  <c r="BY28" i="72"/>
  <c r="BZ28" i="72"/>
  <c r="BG29" i="72"/>
  <c r="BH29" i="72"/>
  <c r="BI29" i="72"/>
  <c r="BJ29" i="72"/>
  <c r="BK29" i="72"/>
  <c r="BL29" i="72"/>
  <c r="BM29" i="72"/>
  <c r="BN29" i="72"/>
  <c r="BO29" i="72"/>
  <c r="BP29" i="72"/>
  <c r="BQ29" i="72"/>
  <c r="BR29" i="72"/>
  <c r="BS29" i="72"/>
  <c r="BT29" i="72"/>
  <c r="BU29" i="72"/>
  <c r="BV29" i="72"/>
  <c r="BW29" i="72"/>
  <c r="BX29" i="72"/>
  <c r="BY29" i="72"/>
  <c r="BZ29" i="72"/>
  <c r="BG30" i="72"/>
  <c r="BH30" i="72"/>
  <c r="BI30" i="72"/>
  <c r="BJ30" i="72"/>
  <c r="BK30" i="72"/>
  <c r="BL30" i="72"/>
  <c r="BM30" i="72"/>
  <c r="BN30" i="72"/>
  <c r="BO30" i="72"/>
  <c r="BP30" i="72"/>
  <c r="BQ30" i="72"/>
  <c r="BR30" i="72"/>
  <c r="BS30" i="72"/>
  <c r="BT30" i="72"/>
  <c r="BU30" i="72"/>
  <c r="BV30" i="72"/>
  <c r="BW30" i="72"/>
  <c r="BX30" i="72"/>
  <c r="BY30" i="72"/>
  <c r="BZ30" i="72"/>
  <c r="BH31" i="72"/>
  <c r="BI31" i="72"/>
  <c r="BJ31" i="72"/>
  <c r="BK31" i="72"/>
  <c r="BM31" i="72"/>
  <c r="BN31" i="72"/>
  <c r="BO31" i="72"/>
  <c r="BP31" i="72"/>
  <c r="BQ31" i="72"/>
  <c r="BR31" i="72"/>
  <c r="BS31" i="72"/>
  <c r="BT31" i="72"/>
  <c r="BU31" i="72"/>
  <c r="BV31" i="72"/>
  <c r="BW31" i="72"/>
  <c r="BX31" i="72"/>
  <c r="BY31" i="72"/>
  <c r="BZ31" i="72"/>
  <c r="BG32" i="72"/>
  <c r="BI32" i="72"/>
  <c r="BJ32" i="72"/>
  <c r="BK32" i="72"/>
  <c r="BL32" i="72"/>
  <c r="BN32" i="72"/>
  <c r="BO32" i="72"/>
  <c r="BP32" i="72"/>
  <c r="BQ32" i="72"/>
  <c r="BR32" i="72"/>
  <c r="BS32" i="72"/>
  <c r="BT32" i="72"/>
  <c r="BU32" i="72"/>
  <c r="BV32" i="72"/>
  <c r="BW32" i="72"/>
  <c r="BX32" i="72"/>
  <c r="BY32" i="72"/>
  <c r="BZ32" i="72"/>
  <c r="BG33" i="72"/>
  <c r="BH33" i="72"/>
  <c r="BJ33" i="72"/>
  <c r="BK33" i="72"/>
  <c r="BL33" i="72"/>
  <c r="BM33" i="72"/>
  <c r="BO33" i="72"/>
  <c r="BP33" i="72"/>
  <c r="BQ33" i="72"/>
  <c r="BR33" i="72"/>
  <c r="BS33" i="72"/>
  <c r="BT33" i="72"/>
  <c r="BU33" i="72"/>
  <c r="BV33" i="72"/>
  <c r="BW33" i="72"/>
  <c r="BX33" i="72"/>
  <c r="BY33" i="72"/>
  <c r="BZ33" i="72"/>
  <c r="BG34" i="72"/>
  <c r="BH34" i="72"/>
  <c r="BI34" i="72"/>
  <c r="BK34" i="72"/>
  <c r="BL34" i="72"/>
  <c r="BM34" i="72"/>
  <c r="BN34" i="72"/>
  <c r="BP34" i="72"/>
  <c r="BQ34" i="72"/>
  <c r="BR34" i="72"/>
  <c r="BS34" i="72"/>
  <c r="BT34" i="72"/>
  <c r="BU34" i="72"/>
  <c r="BV34" i="72"/>
  <c r="BW34" i="72"/>
  <c r="BX34" i="72"/>
  <c r="BY34" i="72"/>
  <c r="BZ34" i="72"/>
  <c r="BG35" i="72"/>
  <c r="BH35" i="72"/>
  <c r="BI35" i="72"/>
  <c r="BJ35" i="72"/>
  <c r="BL35" i="72"/>
  <c r="BM35" i="72"/>
  <c r="BN35" i="72"/>
  <c r="BO35" i="72"/>
  <c r="BP35" i="72"/>
  <c r="BQ35" i="72"/>
  <c r="BR35" i="72"/>
  <c r="BS35" i="72"/>
  <c r="BT35" i="72"/>
  <c r="BU35" i="72"/>
  <c r="BV35" i="72"/>
  <c r="BW35" i="72"/>
  <c r="BX35" i="72"/>
  <c r="BY35" i="72"/>
  <c r="BZ35" i="72"/>
  <c r="BG36" i="72"/>
  <c r="BH36" i="72"/>
  <c r="BI36" i="72"/>
  <c r="BJ36" i="72"/>
  <c r="BK36" i="72"/>
  <c r="BL36" i="72"/>
  <c r="BM36" i="72"/>
  <c r="BN36" i="72"/>
  <c r="BO36" i="72"/>
  <c r="BP36" i="72"/>
  <c r="BQ36" i="72"/>
  <c r="BR36" i="72"/>
  <c r="BS36" i="72"/>
  <c r="BT36" i="72"/>
  <c r="BU36" i="72"/>
  <c r="BV36" i="72"/>
  <c r="BW36" i="72"/>
  <c r="BX36" i="72"/>
  <c r="BY36" i="72"/>
  <c r="BZ36" i="72"/>
  <c r="BG37" i="72"/>
  <c r="BH37" i="72"/>
  <c r="BI37" i="72"/>
  <c r="BJ37" i="72"/>
  <c r="BK37" i="72"/>
  <c r="BL37" i="72"/>
  <c r="BM37" i="72"/>
  <c r="BN37" i="72"/>
  <c r="BO37" i="72"/>
  <c r="BP37" i="72"/>
  <c r="BQ37" i="72"/>
  <c r="BR37" i="72"/>
  <c r="BS37" i="72"/>
  <c r="BT37" i="72"/>
  <c r="BU37" i="72"/>
  <c r="BV37" i="72"/>
  <c r="BW37" i="72"/>
  <c r="BX37" i="72"/>
  <c r="BY37" i="72"/>
  <c r="BZ37" i="72"/>
  <c r="BG38" i="72"/>
  <c r="BH38" i="72"/>
  <c r="BI38" i="72"/>
  <c r="BJ38" i="72"/>
  <c r="BK38" i="72"/>
  <c r="BL38" i="72"/>
  <c r="BM38" i="72"/>
  <c r="BN38" i="72"/>
  <c r="BO38" i="72"/>
  <c r="BP38" i="72"/>
  <c r="BQ38" i="72"/>
  <c r="BR38" i="72"/>
  <c r="BS38" i="72"/>
  <c r="BT38" i="72"/>
  <c r="BU38" i="72"/>
  <c r="BV38" i="72"/>
  <c r="BW38" i="72"/>
  <c r="BX38" i="72"/>
  <c r="BY38" i="72"/>
  <c r="BZ38" i="72"/>
  <c r="BZ9" i="72"/>
  <c r="BY9" i="72"/>
  <c r="BX9" i="72"/>
  <c r="BW9" i="72"/>
  <c r="BV9" i="72"/>
  <c r="BU9" i="72"/>
  <c r="BT9" i="72"/>
  <c r="BS9" i="72"/>
  <c r="BR9" i="72"/>
  <c r="BQ9" i="72"/>
  <c r="BP9" i="72"/>
  <c r="BO9" i="72"/>
  <c r="BN9" i="72"/>
  <c r="BM9" i="72"/>
  <c r="BL9" i="72"/>
  <c r="BK9" i="72"/>
  <c r="BJ9" i="72"/>
  <c r="BI9" i="72"/>
  <c r="BH9" i="72"/>
  <c r="BG9" i="72"/>
  <c r="BG10" i="71"/>
  <c r="BH10" i="71"/>
  <c r="BI10" i="71"/>
  <c r="BJ10" i="71"/>
  <c r="BL10" i="71"/>
  <c r="BM10" i="71"/>
  <c r="BN10" i="71"/>
  <c r="BO10" i="71"/>
  <c r="BQ10" i="71"/>
  <c r="BR10" i="71"/>
  <c r="BS10" i="71"/>
  <c r="BT10" i="71"/>
  <c r="BU10" i="71"/>
  <c r="BV10" i="71"/>
  <c r="BW10" i="71"/>
  <c r="BX10" i="71"/>
  <c r="BY10" i="71"/>
  <c r="BZ10" i="71"/>
  <c r="BG11" i="71"/>
  <c r="BH11" i="71"/>
  <c r="BI11" i="71"/>
  <c r="BJ11" i="71"/>
  <c r="BK11" i="71"/>
  <c r="BL11" i="71"/>
  <c r="BM11" i="71"/>
  <c r="BN11" i="71"/>
  <c r="BO11" i="71"/>
  <c r="BP11" i="71"/>
  <c r="BQ11" i="71"/>
  <c r="BR11" i="71"/>
  <c r="BS11" i="71"/>
  <c r="BT11" i="71"/>
  <c r="BU11" i="71"/>
  <c r="BV11" i="71"/>
  <c r="BW11" i="71"/>
  <c r="BX11" i="71"/>
  <c r="BY11" i="71"/>
  <c r="BZ11" i="71"/>
  <c r="BG12" i="71"/>
  <c r="BH12" i="71"/>
  <c r="BI12" i="71"/>
  <c r="BJ12" i="71"/>
  <c r="BK12" i="71"/>
  <c r="BL12" i="71"/>
  <c r="BM12" i="71"/>
  <c r="BN12" i="71"/>
  <c r="BO12" i="71"/>
  <c r="BP12" i="71"/>
  <c r="BQ12" i="71"/>
  <c r="BR12" i="71"/>
  <c r="BS12" i="71"/>
  <c r="BT12" i="71"/>
  <c r="BU12" i="71"/>
  <c r="BV12" i="71"/>
  <c r="BW12" i="71"/>
  <c r="BX12" i="71"/>
  <c r="BY12" i="71"/>
  <c r="BZ12" i="71"/>
  <c r="BH13" i="71"/>
  <c r="BI13" i="71"/>
  <c r="BJ13" i="71"/>
  <c r="BK13" i="71"/>
  <c r="BM13" i="71"/>
  <c r="BN13" i="71"/>
  <c r="BO13" i="71"/>
  <c r="BP13" i="71"/>
  <c r="BQ13" i="71"/>
  <c r="BR13" i="71"/>
  <c r="BS13" i="71"/>
  <c r="BT13" i="71"/>
  <c r="BU13" i="71"/>
  <c r="BV13" i="71"/>
  <c r="BW13" i="71"/>
  <c r="BX13" i="71"/>
  <c r="BY13" i="71"/>
  <c r="BZ13" i="71"/>
  <c r="BG14" i="71"/>
  <c r="BI14" i="71"/>
  <c r="BJ14" i="71"/>
  <c r="BK14" i="71"/>
  <c r="BL14" i="71"/>
  <c r="BN14" i="71"/>
  <c r="BO14" i="71"/>
  <c r="BP14" i="71"/>
  <c r="BQ14" i="71"/>
  <c r="BR14" i="71"/>
  <c r="BS14" i="71"/>
  <c r="BT14" i="71"/>
  <c r="BU14" i="71"/>
  <c r="BV14" i="71"/>
  <c r="BW14" i="71"/>
  <c r="BX14" i="71"/>
  <c r="BY14" i="71"/>
  <c r="BZ14" i="71"/>
  <c r="BG15" i="71"/>
  <c r="BH15" i="71"/>
  <c r="BJ15" i="71"/>
  <c r="BK15" i="71"/>
  <c r="BL15" i="71"/>
  <c r="BM15" i="71"/>
  <c r="BO15" i="71"/>
  <c r="BP15" i="71"/>
  <c r="BQ15" i="71"/>
  <c r="BR15" i="71"/>
  <c r="BS15" i="71"/>
  <c r="BT15" i="71"/>
  <c r="BU15" i="71"/>
  <c r="BV15" i="71"/>
  <c r="BW15" i="71"/>
  <c r="BX15" i="71"/>
  <c r="BY15" i="71"/>
  <c r="BZ15" i="71"/>
  <c r="BG16" i="71"/>
  <c r="BH16" i="71"/>
  <c r="BI16" i="71"/>
  <c r="BK16" i="71"/>
  <c r="BL16" i="71"/>
  <c r="BM16" i="71"/>
  <c r="BN16" i="71"/>
  <c r="BP16" i="71"/>
  <c r="BQ16" i="71"/>
  <c r="BR16" i="71"/>
  <c r="BS16" i="71"/>
  <c r="BT16" i="71"/>
  <c r="BU16" i="71"/>
  <c r="BV16" i="71"/>
  <c r="BW16" i="71"/>
  <c r="BX16" i="71"/>
  <c r="BY16" i="71"/>
  <c r="BZ16" i="71"/>
  <c r="BG17" i="71"/>
  <c r="BH17" i="71"/>
  <c r="BI17" i="71"/>
  <c r="BJ17" i="71"/>
  <c r="BL17" i="71"/>
  <c r="BM17" i="71"/>
  <c r="BN17" i="71"/>
  <c r="BO17" i="71"/>
  <c r="BQ17" i="71"/>
  <c r="BR17" i="71"/>
  <c r="BS17" i="71"/>
  <c r="BT17" i="71"/>
  <c r="BU17" i="71"/>
  <c r="BV17" i="71"/>
  <c r="BW17" i="71"/>
  <c r="BX17" i="71"/>
  <c r="BY17" i="71"/>
  <c r="BZ17" i="71"/>
  <c r="BG18" i="71"/>
  <c r="BH18" i="71"/>
  <c r="BI18" i="71"/>
  <c r="BJ18" i="71"/>
  <c r="BK18" i="71"/>
  <c r="BL18" i="71"/>
  <c r="BM18" i="71"/>
  <c r="BN18" i="71"/>
  <c r="BO18" i="71"/>
  <c r="BP18" i="71"/>
  <c r="BQ18" i="71"/>
  <c r="BR18" i="71"/>
  <c r="BS18" i="71"/>
  <c r="BT18" i="71"/>
  <c r="BU18" i="71"/>
  <c r="BV18" i="71"/>
  <c r="BW18" i="71"/>
  <c r="BX18" i="71"/>
  <c r="BY18" i="71"/>
  <c r="BZ18" i="71"/>
  <c r="BG19" i="71"/>
  <c r="BH19" i="71"/>
  <c r="BI19" i="71"/>
  <c r="BJ19" i="71"/>
  <c r="BK19" i="71"/>
  <c r="BL19" i="71"/>
  <c r="BM19" i="71"/>
  <c r="BN19" i="71"/>
  <c r="BO19" i="71"/>
  <c r="BP19" i="71"/>
  <c r="BQ19" i="71"/>
  <c r="BR19" i="71"/>
  <c r="BS19" i="71"/>
  <c r="BT19" i="71"/>
  <c r="BU19" i="71"/>
  <c r="BV19" i="71"/>
  <c r="BW19" i="71"/>
  <c r="BX19" i="71"/>
  <c r="BY19" i="71"/>
  <c r="BZ19" i="71"/>
  <c r="BH20" i="71"/>
  <c r="BI20" i="71"/>
  <c r="BJ20" i="71"/>
  <c r="BK20" i="71"/>
  <c r="BM20" i="71"/>
  <c r="BN20" i="71"/>
  <c r="BO20" i="71"/>
  <c r="BP20" i="71"/>
  <c r="BQ20" i="71"/>
  <c r="BR20" i="71"/>
  <c r="BS20" i="71"/>
  <c r="BT20" i="71"/>
  <c r="BU20" i="71"/>
  <c r="BV20" i="71"/>
  <c r="BW20" i="71"/>
  <c r="BX20" i="71"/>
  <c r="BY20" i="71"/>
  <c r="BZ20" i="71"/>
  <c r="BG21" i="71"/>
  <c r="BI21" i="71"/>
  <c r="BJ21" i="71"/>
  <c r="BK21" i="71"/>
  <c r="BL21" i="71"/>
  <c r="BM21" i="71"/>
  <c r="BN21" i="71"/>
  <c r="BO21" i="71"/>
  <c r="BP21" i="71"/>
  <c r="BQ21" i="71"/>
  <c r="BR21" i="71"/>
  <c r="BS21" i="71"/>
  <c r="BT21" i="71"/>
  <c r="BU21" i="71"/>
  <c r="BV21" i="71"/>
  <c r="BW21" i="71"/>
  <c r="BX21" i="71"/>
  <c r="BY21" i="71"/>
  <c r="BZ21" i="71"/>
  <c r="BG22" i="71"/>
  <c r="BH22" i="71"/>
  <c r="BJ22" i="71"/>
  <c r="BK22" i="71"/>
  <c r="BL22" i="71"/>
  <c r="BM22" i="71"/>
  <c r="BO22" i="71"/>
  <c r="BP22" i="71"/>
  <c r="BQ22" i="71"/>
  <c r="BR22" i="71"/>
  <c r="BS22" i="71"/>
  <c r="BT22" i="71"/>
  <c r="BU22" i="71"/>
  <c r="BV22" i="71"/>
  <c r="BW22" i="71"/>
  <c r="BX22" i="71"/>
  <c r="BY22" i="71"/>
  <c r="BZ22" i="71"/>
  <c r="BG23" i="71"/>
  <c r="BH23" i="71"/>
  <c r="BI23" i="71"/>
  <c r="BK23" i="71"/>
  <c r="BL23" i="71"/>
  <c r="BM23" i="71"/>
  <c r="BN23" i="71"/>
  <c r="BO23" i="71"/>
  <c r="BP23" i="71"/>
  <c r="BQ23" i="71"/>
  <c r="BR23" i="71"/>
  <c r="BS23" i="71"/>
  <c r="BT23" i="71"/>
  <c r="BU23" i="71"/>
  <c r="BV23" i="71"/>
  <c r="BW23" i="71"/>
  <c r="BX23" i="71"/>
  <c r="BY23" i="71"/>
  <c r="BZ23" i="71"/>
  <c r="BG24" i="71"/>
  <c r="BH24" i="71"/>
  <c r="BI24" i="71"/>
  <c r="BJ24" i="71"/>
  <c r="BL24" i="71"/>
  <c r="BM24" i="71"/>
  <c r="BN24" i="71"/>
  <c r="BO24" i="71"/>
  <c r="BQ24" i="71"/>
  <c r="BR24" i="71"/>
  <c r="BS24" i="71"/>
  <c r="BT24" i="71"/>
  <c r="BU24" i="71"/>
  <c r="BV24" i="71"/>
  <c r="BW24" i="71"/>
  <c r="BX24" i="71"/>
  <c r="BY24" i="71"/>
  <c r="BZ24" i="71"/>
  <c r="BG25" i="71"/>
  <c r="BH25" i="71"/>
  <c r="BI25" i="71"/>
  <c r="BJ25" i="71"/>
  <c r="BK25" i="71"/>
  <c r="BL25" i="71"/>
  <c r="BM25" i="71"/>
  <c r="BN25" i="71"/>
  <c r="BO25" i="71"/>
  <c r="BP25" i="71"/>
  <c r="BQ25" i="71"/>
  <c r="BR25" i="71"/>
  <c r="BS25" i="71"/>
  <c r="BT25" i="71"/>
  <c r="BU25" i="71"/>
  <c r="BV25" i="71"/>
  <c r="BW25" i="71"/>
  <c r="BX25" i="71"/>
  <c r="BY25" i="71"/>
  <c r="BZ25" i="71"/>
  <c r="BG26" i="71"/>
  <c r="BH26" i="71"/>
  <c r="BI26" i="71"/>
  <c r="BJ26" i="71"/>
  <c r="BK26" i="71"/>
  <c r="BL26" i="71"/>
  <c r="BM26" i="71"/>
  <c r="BN26" i="71"/>
  <c r="BO26" i="71"/>
  <c r="BP26" i="71"/>
  <c r="BQ26" i="71"/>
  <c r="BR26" i="71"/>
  <c r="BS26" i="71"/>
  <c r="BT26" i="71"/>
  <c r="BU26" i="71"/>
  <c r="BV26" i="71"/>
  <c r="BW26" i="71"/>
  <c r="BX26" i="71"/>
  <c r="BY26" i="71"/>
  <c r="BZ26" i="71"/>
  <c r="BH27" i="71"/>
  <c r="BI27" i="71"/>
  <c r="BJ27" i="71"/>
  <c r="BK27" i="71"/>
  <c r="BM27" i="71"/>
  <c r="BN27" i="71"/>
  <c r="BO27" i="71"/>
  <c r="BP27" i="71"/>
  <c r="BQ27" i="71"/>
  <c r="BR27" i="71"/>
  <c r="BS27" i="71"/>
  <c r="BT27" i="71"/>
  <c r="BU27" i="71"/>
  <c r="BV27" i="71"/>
  <c r="BW27" i="71"/>
  <c r="BX27" i="71"/>
  <c r="BY27" i="71"/>
  <c r="BZ27" i="71"/>
  <c r="BG28" i="71"/>
  <c r="BI28" i="71"/>
  <c r="BJ28" i="71"/>
  <c r="BK28" i="71"/>
  <c r="BL28" i="71"/>
  <c r="BN28" i="71"/>
  <c r="BO28" i="71"/>
  <c r="BP28" i="71"/>
  <c r="BQ28" i="71"/>
  <c r="BR28" i="71"/>
  <c r="BS28" i="71"/>
  <c r="BT28" i="71"/>
  <c r="BU28" i="71"/>
  <c r="BV28" i="71"/>
  <c r="BW28" i="71"/>
  <c r="BX28" i="71"/>
  <c r="BY28" i="71"/>
  <c r="BZ28" i="71"/>
  <c r="BG29" i="71"/>
  <c r="BH29" i="71"/>
  <c r="BJ29" i="71"/>
  <c r="BK29" i="71"/>
  <c r="BL29" i="71"/>
  <c r="BM29" i="71"/>
  <c r="BO29" i="71"/>
  <c r="BP29" i="71"/>
  <c r="BQ29" i="71"/>
  <c r="BR29" i="71"/>
  <c r="BS29" i="71"/>
  <c r="BT29" i="71"/>
  <c r="BU29" i="71"/>
  <c r="BV29" i="71"/>
  <c r="BW29" i="71"/>
  <c r="BX29" i="71"/>
  <c r="BY29" i="71"/>
  <c r="BZ29" i="71"/>
  <c r="BG30" i="71"/>
  <c r="BH30" i="71"/>
  <c r="BI30" i="71"/>
  <c r="BK30" i="71"/>
  <c r="BL30" i="71"/>
  <c r="BM30" i="71"/>
  <c r="BN30" i="71"/>
  <c r="BP30" i="71"/>
  <c r="BQ30" i="71"/>
  <c r="BR30" i="71"/>
  <c r="BS30" i="71"/>
  <c r="BT30" i="71"/>
  <c r="BU30" i="71"/>
  <c r="BV30" i="71"/>
  <c r="BW30" i="71"/>
  <c r="BX30" i="71"/>
  <c r="BY30" i="71"/>
  <c r="BZ30" i="71"/>
  <c r="BG31" i="71"/>
  <c r="BH31" i="71"/>
  <c r="BI31" i="71"/>
  <c r="BJ31" i="71"/>
  <c r="BL31" i="71"/>
  <c r="BM31" i="71"/>
  <c r="BN31" i="71"/>
  <c r="BO31" i="71"/>
  <c r="BQ31" i="71"/>
  <c r="BR31" i="71"/>
  <c r="BS31" i="71"/>
  <c r="BT31" i="71"/>
  <c r="BU31" i="71"/>
  <c r="BV31" i="71"/>
  <c r="BW31" i="71"/>
  <c r="BX31" i="71"/>
  <c r="BY31" i="71"/>
  <c r="BZ31" i="71"/>
  <c r="BG32" i="71"/>
  <c r="BH32" i="71"/>
  <c r="BI32" i="71"/>
  <c r="BJ32" i="71"/>
  <c r="BK32" i="71"/>
  <c r="BL32" i="71"/>
  <c r="BM32" i="71"/>
  <c r="BN32" i="71"/>
  <c r="BO32" i="71"/>
  <c r="BP32" i="71"/>
  <c r="BQ32" i="71"/>
  <c r="BR32" i="71"/>
  <c r="BS32" i="71"/>
  <c r="BT32" i="71"/>
  <c r="BU32" i="71"/>
  <c r="BV32" i="71"/>
  <c r="BW32" i="71"/>
  <c r="BX32" i="71"/>
  <c r="BY32" i="71"/>
  <c r="BZ32" i="71"/>
  <c r="BG33" i="71"/>
  <c r="BH33" i="71"/>
  <c r="BI33" i="71"/>
  <c r="BJ33" i="71"/>
  <c r="BK33" i="71"/>
  <c r="BL33" i="71"/>
  <c r="BM33" i="71"/>
  <c r="BN33" i="71"/>
  <c r="BO33" i="71"/>
  <c r="BP33" i="71"/>
  <c r="BQ33" i="71"/>
  <c r="BR33" i="71"/>
  <c r="BS33" i="71"/>
  <c r="BT33" i="71"/>
  <c r="BU33" i="71"/>
  <c r="BV33" i="71"/>
  <c r="BW33" i="71"/>
  <c r="BX33" i="71"/>
  <c r="BY33" i="71"/>
  <c r="BZ33" i="71"/>
  <c r="BH34" i="71"/>
  <c r="BI34" i="71"/>
  <c r="BJ34" i="71"/>
  <c r="BK34" i="71"/>
  <c r="BM34" i="71"/>
  <c r="BN34" i="71"/>
  <c r="BO34" i="71"/>
  <c r="BP34" i="71"/>
  <c r="BQ34" i="71"/>
  <c r="BR34" i="71"/>
  <c r="BS34" i="71"/>
  <c r="BT34" i="71"/>
  <c r="BU34" i="71"/>
  <c r="BV34" i="71"/>
  <c r="BW34" i="71"/>
  <c r="BX34" i="71"/>
  <c r="BY34" i="71"/>
  <c r="BZ34" i="71"/>
  <c r="BG35" i="71"/>
  <c r="BI35" i="71"/>
  <c r="BJ35" i="71"/>
  <c r="BK35" i="71"/>
  <c r="BL35" i="71"/>
  <c r="BN35" i="71"/>
  <c r="BO35" i="71"/>
  <c r="BP35" i="71"/>
  <c r="BQ35" i="71"/>
  <c r="BR35" i="71"/>
  <c r="BS35" i="71"/>
  <c r="BT35" i="71"/>
  <c r="BU35" i="71"/>
  <c r="BV35" i="71"/>
  <c r="BW35" i="71"/>
  <c r="BX35" i="71"/>
  <c r="BY35" i="71"/>
  <c r="BZ35" i="71"/>
  <c r="BG36" i="71"/>
  <c r="BH36" i="71"/>
  <c r="BJ36" i="71"/>
  <c r="BK36" i="71"/>
  <c r="BL36" i="71"/>
  <c r="BM36" i="71"/>
  <c r="BO36" i="71"/>
  <c r="BP36" i="71"/>
  <c r="BQ36" i="71"/>
  <c r="BR36" i="71"/>
  <c r="BS36" i="71"/>
  <c r="BT36" i="71"/>
  <c r="BU36" i="71"/>
  <c r="BV36" i="71"/>
  <c r="BW36" i="71"/>
  <c r="BX36" i="71"/>
  <c r="BY36" i="71"/>
  <c r="BZ36" i="71"/>
  <c r="BG37" i="71"/>
  <c r="BH37" i="71"/>
  <c r="BI37" i="71"/>
  <c r="BJ37" i="71"/>
  <c r="BK37" i="71"/>
  <c r="BL37" i="71"/>
  <c r="BM37" i="71"/>
  <c r="BN37" i="71"/>
  <c r="BO37" i="71"/>
  <c r="BP37" i="71"/>
  <c r="BQ37" i="71"/>
  <c r="BR37" i="71"/>
  <c r="BS37" i="71"/>
  <c r="BT37" i="71"/>
  <c r="BU37" i="71"/>
  <c r="BV37" i="71"/>
  <c r="BW37" i="71"/>
  <c r="BX37" i="71"/>
  <c r="BY37" i="71"/>
  <c r="BZ37" i="71"/>
  <c r="BG38" i="71"/>
  <c r="BH38" i="71"/>
  <c r="BI38" i="71"/>
  <c r="BJ38" i="71"/>
  <c r="BK38" i="71"/>
  <c r="BL38" i="71"/>
  <c r="BM38" i="71"/>
  <c r="BN38" i="71"/>
  <c r="BO38" i="71"/>
  <c r="BP38" i="71"/>
  <c r="BQ38" i="71"/>
  <c r="BR38" i="71"/>
  <c r="BS38" i="71"/>
  <c r="BT38" i="71"/>
  <c r="BU38" i="71"/>
  <c r="BV38" i="71"/>
  <c r="BW38" i="71"/>
  <c r="BX38" i="71"/>
  <c r="BY38" i="71"/>
  <c r="BZ38" i="71"/>
  <c r="BG39" i="71"/>
  <c r="BH39" i="71"/>
  <c r="BI39" i="71"/>
  <c r="BJ39" i="71"/>
  <c r="BK39" i="71"/>
  <c r="BL39" i="71"/>
  <c r="BM39" i="71"/>
  <c r="BN39" i="71"/>
  <c r="BO39" i="71"/>
  <c r="BP39" i="71"/>
  <c r="BQ39" i="71"/>
  <c r="BR39" i="71"/>
  <c r="BS39" i="71"/>
  <c r="BT39" i="71"/>
  <c r="BU39" i="71"/>
  <c r="BV39" i="71"/>
  <c r="BW39" i="71"/>
  <c r="BX39" i="71"/>
  <c r="BY39" i="71"/>
  <c r="BZ39" i="71"/>
  <c r="BZ9" i="71"/>
  <c r="BY9" i="71"/>
  <c r="BX9" i="71"/>
  <c r="BW9" i="71"/>
  <c r="BV9" i="71"/>
  <c r="BU9" i="71"/>
  <c r="BT9" i="71"/>
  <c r="BS9" i="71"/>
  <c r="BR9" i="71"/>
  <c r="BQ9" i="71"/>
  <c r="BP9" i="71"/>
  <c r="BN9" i="71"/>
  <c r="BM9" i="71"/>
  <c r="BL9" i="71"/>
  <c r="BK9" i="71"/>
  <c r="BI9" i="71"/>
  <c r="BH9" i="71"/>
  <c r="BG9" i="71"/>
  <c r="BG10" i="70"/>
  <c r="BH10" i="70"/>
  <c r="BJ10" i="70"/>
  <c r="BK10" i="70"/>
  <c r="BL10" i="70"/>
  <c r="BM10" i="70"/>
  <c r="BO10" i="70"/>
  <c r="BP10" i="70"/>
  <c r="BQ10" i="70"/>
  <c r="BR10" i="70"/>
  <c r="BS10" i="70"/>
  <c r="BT10" i="70"/>
  <c r="BU10" i="70"/>
  <c r="BV10" i="70"/>
  <c r="BW10" i="70"/>
  <c r="BX10" i="70"/>
  <c r="BY10" i="70"/>
  <c r="BZ10" i="70"/>
  <c r="BG11" i="70"/>
  <c r="BH11" i="70"/>
  <c r="BI11" i="70"/>
  <c r="BK11" i="70"/>
  <c r="BL11" i="70"/>
  <c r="BM11" i="70"/>
  <c r="BN11" i="70"/>
  <c r="BP11" i="70"/>
  <c r="BQ11" i="70"/>
  <c r="BR11" i="70"/>
  <c r="BS11" i="70"/>
  <c r="BT11" i="70"/>
  <c r="BU11" i="70"/>
  <c r="BV11" i="70"/>
  <c r="BW11" i="70"/>
  <c r="BX11" i="70"/>
  <c r="BY11" i="70"/>
  <c r="BZ11" i="70"/>
  <c r="BG12" i="70"/>
  <c r="BH12" i="70"/>
  <c r="BI12" i="70"/>
  <c r="BJ12" i="70"/>
  <c r="BL12" i="70"/>
  <c r="BM12" i="70"/>
  <c r="BN12" i="70"/>
  <c r="BO12" i="70"/>
  <c r="BQ12" i="70"/>
  <c r="BR12" i="70"/>
  <c r="BS12" i="70"/>
  <c r="BT12" i="70"/>
  <c r="BU12" i="70"/>
  <c r="BV12" i="70"/>
  <c r="BW12" i="70"/>
  <c r="BX12" i="70"/>
  <c r="BY12" i="70"/>
  <c r="BZ12" i="70"/>
  <c r="BG13" i="70"/>
  <c r="BH13" i="70"/>
  <c r="BI13" i="70"/>
  <c r="BJ13" i="70"/>
  <c r="BK13" i="70"/>
  <c r="BL13" i="70"/>
  <c r="BM13" i="70"/>
  <c r="BN13" i="70"/>
  <c r="BO13" i="70"/>
  <c r="BP13" i="70"/>
  <c r="BQ13" i="70"/>
  <c r="BR13" i="70"/>
  <c r="BS13" i="70"/>
  <c r="BT13" i="70"/>
  <c r="BU13" i="70"/>
  <c r="BV13" i="70"/>
  <c r="BW13" i="70"/>
  <c r="BX13" i="70"/>
  <c r="BY13" i="70"/>
  <c r="BZ13" i="70"/>
  <c r="BG14" i="70"/>
  <c r="BH14" i="70"/>
  <c r="BI14" i="70"/>
  <c r="BJ14" i="70"/>
  <c r="BK14" i="70"/>
  <c r="BL14" i="70"/>
  <c r="BM14" i="70"/>
  <c r="BN14" i="70"/>
  <c r="BO14" i="70"/>
  <c r="BP14" i="70"/>
  <c r="BQ14" i="70"/>
  <c r="BR14" i="70"/>
  <c r="BS14" i="70"/>
  <c r="BT14" i="70"/>
  <c r="BU14" i="70"/>
  <c r="BV14" i="70"/>
  <c r="BW14" i="70"/>
  <c r="BX14" i="70"/>
  <c r="BY14" i="70"/>
  <c r="BZ14" i="70"/>
  <c r="BH15" i="70"/>
  <c r="BI15" i="70"/>
  <c r="BJ15" i="70"/>
  <c r="BK15" i="70"/>
  <c r="BM15" i="70"/>
  <c r="BN15" i="70"/>
  <c r="BO15" i="70"/>
  <c r="BP15" i="70"/>
  <c r="BQ15" i="70"/>
  <c r="BR15" i="70"/>
  <c r="BS15" i="70"/>
  <c r="BT15" i="70"/>
  <c r="BU15" i="70"/>
  <c r="BV15" i="70"/>
  <c r="BW15" i="70"/>
  <c r="BX15" i="70"/>
  <c r="BY15" i="70"/>
  <c r="BZ15" i="70"/>
  <c r="BG16" i="70"/>
  <c r="BI16" i="70"/>
  <c r="BJ16" i="70"/>
  <c r="BK16" i="70"/>
  <c r="BL16" i="70"/>
  <c r="BN16" i="70"/>
  <c r="BO16" i="70"/>
  <c r="BP16" i="70"/>
  <c r="BQ16" i="70"/>
  <c r="BR16" i="70"/>
  <c r="BS16" i="70"/>
  <c r="BT16" i="70"/>
  <c r="BU16" i="70"/>
  <c r="BV16" i="70"/>
  <c r="BW16" i="70"/>
  <c r="BX16" i="70"/>
  <c r="BY16" i="70"/>
  <c r="BZ16" i="70"/>
  <c r="BG17" i="70"/>
  <c r="BH17" i="70"/>
  <c r="BJ17" i="70"/>
  <c r="BK17" i="70"/>
  <c r="BL17" i="70"/>
  <c r="BM17" i="70"/>
  <c r="BO17" i="70"/>
  <c r="BP17" i="70"/>
  <c r="BQ17" i="70"/>
  <c r="BR17" i="70"/>
  <c r="BS17" i="70"/>
  <c r="BT17" i="70"/>
  <c r="BU17" i="70"/>
  <c r="BV17" i="70"/>
  <c r="BW17" i="70"/>
  <c r="BX17" i="70"/>
  <c r="BY17" i="70"/>
  <c r="BZ17" i="70"/>
  <c r="BG18" i="70"/>
  <c r="BH18" i="70"/>
  <c r="BI18" i="70"/>
  <c r="BK18" i="70"/>
  <c r="BL18" i="70"/>
  <c r="BM18" i="70"/>
  <c r="BN18" i="70"/>
  <c r="BP18" i="70"/>
  <c r="BQ18" i="70"/>
  <c r="BR18" i="70"/>
  <c r="BS18" i="70"/>
  <c r="BT18" i="70"/>
  <c r="BU18" i="70"/>
  <c r="BV18" i="70"/>
  <c r="BW18" i="70"/>
  <c r="BX18" i="70"/>
  <c r="BY18" i="70"/>
  <c r="BZ18" i="70"/>
  <c r="BG19" i="70"/>
  <c r="BH19" i="70"/>
  <c r="BI19" i="70"/>
  <c r="BJ19" i="70"/>
  <c r="BL19" i="70"/>
  <c r="BM19" i="70"/>
  <c r="BN19" i="70"/>
  <c r="BO19" i="70"/>
  <c r="BQ19" i="70"/>
  <c r="BR19" i="70"/>
  <c r="BS19" i="70"/>
  <c r="BT19" i="70"/>
  <c r="BU19" i="70"/>
  <c r="BV19" i="70"/>
  <c r="BW19" i="70"/>
  <c r="BX19" i="70"/>
  <c r="BY19" i="70"/>
  <c r="BZ19" i="70"/>
  <c r="BG20" i="70"/>
  <c r="BH20" i="70"/>
  <c r="BI20" i="70"/>
  <c r="BJ20" i="70"/>
  <c r="BK20" i="70"/>
  <c r="BL20" i="70"/>
  <c r="BM20" i="70"/>
  <c r="BN20" i="70"/>
  <c r="BO20" i="70"/>
  <c r="BP20" i="70"/>
  <c r="BQ20" i="70"/>
  <c r="BR20" i="70"/>
  <c r="BS20" i="70"/>
  <c r="BT20" i="70"/>
  <c r="BU20" i="70"/>
  <c r="BV20" i="70"/>
  <c r="BW20" i="70"/>
  <c r="BX20" i="70"/>
  <c r="BY20" i="70"/>
  <c r="BZ20" i="70"/>
  <c r="BG21" i="70"/>
  <c r="BH21" i="70"/>
  <c r="BI21" i="70"/>
  <c r="BJ21" i="70"/>
  <c r="BK21" i="70"/>
  <c r="BL21" i="70"/>
  <c r="BM21" i="70"/>
  <c r="BN21" i="70"/>
  <c r="BO21" i="70"/>
  <c r="BP21" i="70"/>
  <c r="BQ21" i="70"/>
  <c r="BR21" i="70"/>
  <c r="BS21" i="70"/>
  <c r="BT21" i="70"/>
  <c r="BU21" i="70"/>
  <c r="BV21" i="70"/>
  <c r="BW21" i="70"/>
  <c r="BX21" i="70"/>
  <c r="BY21" i="70"/>
  <c r="BZ21" i="70"/>
  <c r="BG22" i="70"/>
  <c r="BH22" i="70"/>
  <c r="BI22" i="70"/>
  <c r="BJ22" i="70"/>
  <c r="BK22" i="70"/>
  <c r="BL22" i="70"/>
  <c r="BM22" i="70"/>
  <c r="BN22" i="70"/>
  <c r="BO22" i="70"/>
  <c r="BP22" i="70"/>
  <c r="BQ22" i="70"/>
  <c r="BR22" i="70"/>
  <c r="BS22" i="70"/>
  <c r="BT22" i="70"/>
  <c r="BU22" i="70"/>
  <c r="BV22" i="70"/>
  <c r="BW22" i="70"/>
  <c r="BX22" i="70"/>
  <c r="BY22" i="70"/>
  <c r="BZ22" i="70"/>
  <c r="BG23" i="70"/>
  <c r="BH23" i="70"/>
  <c r="BI23" i="70"/>
  <c r="BJ23" i="70"/>
  <c r="BK23" i="70"/>
  <c r="BL23" i="70"/>
  <c r="BM23" i="70"/>
  <c r="BN23" i="70"/>
  <c r="BO23" i="70"/>
  <c r="BP23" i="70"/>
  <c r="BQ23" i="70"/>
  <c r="BR23" i="70"/>
  <c r="BS23" i="70"/>
  <c r="BT23" i="70"/>
  <c r="BU23" i="70"/>
  <c r="BV23" i="70"/>
  <c r="BW23" i="70"/>
  <c r="BX23" i="70"/>
  <c r="BY23" i="70"/>
  <c r="BZ23" i="70"/>
  <c r="BG24" i="70"/>
  <c r="BH24" i="70"/>
  <c r="BI24" i="70"/>
  <c r="BJ24" i="70"/>
  <c r="BK24" i="70"/>
  <c r="BL24" i="70"/>
  <c r="BM24" i="70"/>
  <c r="BN24" i="70"/>
  <c r="BO24" i="70"/>
  <c r="BP24" i="70"/>
  <c r="BQ24" i="70"/>
  <c r="BR24" i="70"/>
  <c r="BS24" i="70"/>
  <c r="BT24" i="70"/>
  <c r="BU24" i="70"/>
  <c r="BV24" i="70"/>
  <c r="BW24" i="70"/>
  <c r="BX24" i="70"/>
  <c r="BY24" i="70"/>
  <c r="BZ24" i="70"/>
  <c r="BG25" i="70"/>
  <c r="BH25" i="70"/>
  <c r="BI25" i="70"/>
  <c r="BJ25" i="70"/>
  <c r="BK25" i="70"/>
  <c r="BL25" i="70"/>
  <c r="BM25" i="70"/>
  <c r="BN25" i="70"/>
  <c r="BO25" i="70"/>
  <c r="BP25" i="70"/>
  <c r="BQ25" i="70"/>
  <c r="BR25" i="70"/>
  <c r="BS25" i="70"/>
  <c r="BT25" i="70"/>
  <c r="BU25" i="70"/>
  <c r="BV25" i="70"/>
  <c r="BW25" i="70"/>
  <c r="BX25" i="70"/>
  <c r="BY25" i="70"/>
  <c r="BZ25" i="70"/>
  <c r="BG26" i="70"/>
  <c r="BH26" i="70"/>
  <c r="BI26" i="70"/>
  <c r="BJ26" i="70"/>
  <c r="BK26" i="70"/>
  <c r="BL26" i="70"/>
  <c r="BM26" i="70"/>
  <c r="BN26" i="70"/>
  <c r="BO26" i="70"/>
  <c r="BP26" i="70"/>
  <c r="BQ26" i="70"/>
  <c r="BR26" i="70"/>
  <c r="BS26" i="70"/>
  <c r="BT26" i="70"/>
  <c r="BU26" i="70"/>
  <c r="BV26" i="70"/>
  <c r="BW26" i="70"/>
  <c r="BX26" i="70"/>
  <c r="BY26" i="70"/>
  <c r="BZ26" i="70"/>
  <c r="BG27" i="70"/>
  <c r="BH27" i="70"/>
  <c r="BI27" i="70"/>
  <c r="BJ27" i="70"/>
  <c r="BK27" i="70"/>
  <c r="BL27" i="70"/>
  <c r="BM27" i="70"/>
  <c r="BN27" i="70"/>
  <c r="BO27" i="70"/>
  <c r="BP27" i="70"/>
  <c r="BQ27" i="70"/>
  <c r="BR27" i="70"/>
  <c r="BS27" i="70"/>
  <c r="BT27" i="70"/>
  <c r="BU27" i="70"/>
  <c r="BV27" i="70"/>
  <c r="BW27" i="70"/>
  <c r="BX27" i="70"/>
  <c r="BY27" i="70"/>
  <c r="BZ27" i="70"/>
  <c r="BG28" i="70"/>
  <c r="BH28" i="70"/>
  <c r="BI28" i="70"/>
  <c r="BJ28" i="70"/>
  <c r="BK28" i="70"/>
  <c r="BL28" i="70"/>
  <c r="BM28" i="70"/>
  <c r="BN28" i="70"/>
  <c r="BO28" i="70"/>
  <c r="BP28" i="70"/>
  <c r="BQ28" i="70"/>
  <c r="BR28" i="70"/>
  <c r="BS28" i="70"/>
  <c r="BT28" i="70"/>
  <c r="BU28" i="70"/>
  <c r="BV28" i="70"/>
  <c r="BW28" i="70"/>
  <c r="BX28" i="70"/>
  <c r="BY28" i="70"/>
  <c r="BZ28" i="70"/>
  <c r="BG29" i="70"/>
  <c r="BH29" i="70"/>
  <c r="BI29" i="70"/>
  <c r="BJ29" i="70"/>
  <c r="BK29" i="70"/>
  <c r="BL29" i="70"/>
  <c r="BM29" i="70"/>
  <c r="BN29" i="70"/>
  <c r="BO29" i="70"/>
  <c r="BP29" i="70"/>
  <c r="BQ29" i="70"/>
  <c r="BR29" i="70"/>
  <c r="BS29" i="70"/>
  <c r="BT29" i="70"/>
  <c r="BU29" i="70"/>
  <c r="BV29" i="70"/>
  <c r="BW29" i="70"/>
  <c r="BX29" i="70"/>
  <c r="BY29" i="70"/>
  <c r="BZ29" i="70"/>
  <c r="BG30" i="70"/>
  <c r="BI30" i="70"/>
  <c r="BJ30" i="70"/>
  <c r="BK30" i="70"/>
  <c r="BL30" i="70"/>
  <c r="BN30" i="70"/>
  <c r="BO30" i="70"/>
  <c r="BP30" i="70"/>
  <c r="BQ30" i="70"/>
  <c r="BR30" i="70"/>
  <c r="BS30" i="70"/>
  <c r="BT30" i="70"/>
  <c r="BU30" i="70"/>
  <c r="BV30" i="70"/>
  <c r="BW30" i="70"/>
  <c r="BX30" i="70"/>
  <c r="BY30" i="70"/>
  <c r="BZ30" i="70"/>
  <c r="BG31" i="70"/>
  <c r="BH31" i="70"/>
  <c r="BJ31" i="70"/>
  <c r="BK31" i="70"/>
  <c r="BL31" i="70"/>
  <c r="BM31" i="70"/>
  <c r="BO31" i="70"/>
  <c r="BP31" i="70"/>
  <c r="BQ31" i="70"/>
  <c r="BR31" i="70"/>
  <c r="BS31" i="70"/>
  <c r="BT31" i="70"/>
  <c r="BU31" i="70"/>
  <c r="BV31" i="70"/>
  <c r="BW31" i="70"/>
  <c r="BX31" i="70"/>
  <c r="BY31" i="70"/>
  <c r="BZ31" i="70"/>
  <c r="BG32" i="70"/>
  <c r="BH32" i="70"/>
  <c r="BI32" i="70"/>
  <c r="BK32" i="70"/>
  <c r="BL32" i="70"/>
  <c r="BM32" i="70"/>
  <c r="BN32" i="70"/>
  <c r="BP32" i="70"/>
  <c r="BQ32" i="70"/>
  <c r="BR32" i="70"/>
  <c r="BS32" i="70"/>
  <c r="BT32" i="70"/>
  <c r="BU32" i="70"/>
  <c r="BV32" i="70"/>
  <c r="BW32" i="70"/>
  <c r="BX32" i="70"/>
  <c r="BY32" i="70"/>
  <c r="BZ32" i="70"/>
  <c r="BG33" i="70"/>
  <c r="BH33" i="70"/>
  <c r="BI33" i="70"/>
  <c r="BJ33" i="70"/>
  <c r="BL33" i="70"/>
  <c r="BM33" i="70"/>
  <c r="BN33" i="70"/>
  <c r="BO33" i="70"/>
  <c r="BQ33" i="70"/>
  <c r="BR33" i="70"/>
  <c r="BS33" i="70"/>
  <c r="BT33" i="70"/>
  <c r="BU33" i="70"/>
  <c r="BV33" i="70"/>
  <c r="BW33" i="70"/>
  <c r="BX33" i="70"/>
  <c r="BY33" i="70"/>
  <c r="BZ33" i="70"/>
  <c r="BG34" i="70"/>
  <c r="BH34" i="70"/>
  <c r="BI34" i="70"/>
  <c r="BJ34" i="70"/>
  <c r="BK34" i="70"/>
  <c r="BL34" i="70"/>
  <c r="BM34" i="70"/>
  <c r="BN34" i="70"/>
  <c r="BO34" i="70"/>
  <c r="BP34" i="70"/>
  <c r="BQ34" i="70"/>
  <c r="BR34" i="70"/>
  <c r="BS34" i="70"/>
  <c r="BT34" i="70"/>
  <c r="BU34" i="70"/>
  <c r="BV34" i="70"/>
  <c r="BW34" i="70"/>
  <c r="BX34" i="70"/>
  <c r="BY34" i="70"/>
  <c r="BZ34" i="70"/>
  <c r="BG35" i="70"/>
  <c r="BH35" i="70"/>
  <c r="BI35" i="70"/>
  <c r="BJ35" i="70"/>
  <c r="BK35" i="70"/>
  <c r="BL35" i="70"/>
  <c r="BM35" i="70"/>
  <c r="BN35" i="70"/>
  <c r="BO35" i="70"/>
  <c r="BP35" i="70"/>
  <c r="BQ35" i="70"/>
  <c r="BR35" i="70"/>
  <c r="BS35" i="70"/>
  <c r="BT35" i="70"/>
  <c r="BU35" i="70"/>
  <c r="BV35" i="70"/>
  <c r="BW35" i="70"/>
  <c r="BX35" i="70"/>
  <c r="BY35" i="70"/>
  <c r="BZ35" i="70"/>
  <c r="BH36" i="70"/>
  <c r="BI36" i="70"/>
  <c r="BJ36" i="70"/>
  <c r="BK36" i="70"/>
  <c r="BM36" i="70"/>
  <c r="BN36" i="70"/>
  <c r="BO36" i="70"/>
  <c r="BP36" i="70"/>
  <c r="BQ36" i="70"/>
  <c r="BR36" i="70"/>
  <c r="BS36" i="70"/>
  <c r="BT36" i="70"/>
  <c r="BU36" i="70"/>
  <c r="BV36" i="70"/>
  <c r="BW36" i="70"/>
  <c r="BX36" i="70"/>
  <c r="BY36" i="70"/>
  <c r="BZ36" i="70"/>
  <c r="BG37" i="70"/>
  <c r="BI37" i="70"/>
  <c r="BJ37" i="70"/>
  <c r="BK37" i="70"/>
  <c r="BL37" i="70"/>
  <c r="BN37" i="70"/>
  <c r="BO37" i="70"/>
  <c r="BP37" i="70"/>
  <c r="BQ37" i="70"/>
  <c r="BR37" i="70"/>
  <c r="BS37" i="70"/>
  <c r="BT37" i="70"/>
  <c r="BU37" i="70"/>
  <c r="BV37" i="70"/>
  <c r="BW37" i="70"/>
  <c r="BX37" i="70"/>
  <c r="BY37" i="70"/>
  <c r="BZ37" i="70"/>
  <c r="BG38" i="70"/>
  <c r="BH38" i="70"/>
  <c r="BJ38" i="70"/>
  <c r="BK38" i="70"/>
  <c r="BL38" i="70"/>
  <c r="BM38" i="70"/>
  <c r="BO38" i="70"/>
  <c r="BP38" i="70"/>
  <c r="BQ38" i="70"/>
  <c r="BR38" i="70"/>
  <c r="BS38" i="70"/>
  <c r="BT38" i="70"/>
  <c r="BU38" i="70"/>
  <c r="BV38" i="70"/>
  <c r="BW38" i="70"/>
  <c r="BX38" i="70"/>
  <c r="BY38" i="70"/>
  <c r="BZ38" i="70"/>
  <c r="BZ9" i="70"/>
  <c r="BY9" i="70"/>
  <c r="BX9" i="70"/>
  <c r="BW9" i="70"/>
  <c r="BV9" i="70"/>
  <c r="BU9" i="70"/>
  <c r="BT9" i="70"/>
  <c r="BS9" i="70"/>
  <c r="BR9" i="70"/>
  <c r="BQ9" i="70"/>
  <c r="BP9" i="70"/>
  <c r="BO9" i="70"/>
  <c r="BN9" i="70"/>
  <c r="BL9" i="70"/>
  <c r="BK9" i="70"/>
  <c r="BJ9" i="70"/>
  <c r="BI9" i="70"/>
  <c r="BG9" i="70"/>
  <c r="BG10" i="69"/>
  <c r="BH10" i="69"/>
  <c r="BI10" i="69"/>
  <c r="BJ10" i="69"/>
  <c r="BK10" i="69"/>
  <c r="BL10" i="69"/>
  <c r="BM10" i="69"/>
  <c r="BN10" i="69"/>
  <c r="BO10" i="69"/>
  <c r="BP10" i="69"/>
  <c r="BQ10" i="69"/>
  <c r="BR10" i="69"/>
  <c r="BS10" i="69"/>
  <c r="BT10" i="69"/>
  <c r="BU10" i="69"/>
  <c r="BV10" i="69"/>
  <c r="BW10" i="69"/>
  <c r="BX10" i="69"/>
  <c r="BY10" i="69"/>
  <c r="BZ10" i="69"/>
  <c r="BH11" i="69"/>
  <c r="BI11" i="69"/>
  <c r="BJ11" i="69"/>
  <c r="BK11" i="69"/>
  <c r="BM11" i="69"/>
  <c r="BN11" i="69"/>
  <c r="BO11" i="69"/>
  <c r="BP11" i="69"/>
  <c r="BQ11" i="69"/>
  <c r="BR11" i="69"/>
  <c r="BS11" i="69"/>
  <c r="BT11" i="69"/>
  <c r="BU11" i="69"/>
  <c r="BV11" i="69"/>
  <c r="BW11" i="69"/>
  <c r="BX11" i="69"/>
  <c r="BY11" i="69"/>
  <c r="BZ11" i="69"/>
  <c r="BG12" i="69"/>
  <c r="BI12" i="69"/>
  <c r="BJ12" i="69"/>
  <c r="BK12" i="69"/>
  <c r="BL12" i="69"/>
  <c r="BN12" i="69"/>
  <c r="BO12" i="69"/>
  <c r="BP12" i="69"/>
  <c r="BQ12" i="69"/>
  <c r="BR12" i="69"/>
  <c r="BS12" i="69"/>
  <c r="BT12" i="69"/>
  <c r="BU12" i="69"/>
  <c r="BV12" i="69"/>
  <c r="BW12" i="69"/>
  <c r="BX12" i="69"/>
  <c r="BY12" i="69"/>
  <c r="BZ12" i="69"/>
  <c r="BG13" i="69"/>
  <c r="BH13" i="69"/>
  <c r="BJ13" i="69"/>
  <c r="BK13" i="69"/>
  <c r="BL13" i="69"/>
  <c r="BM13" i="69"/>
  <c r="BO13" i="69"/>
  <c r="BP13" i="69"/>
  <c r="BQ13" i="69"/>
  <c r="BR13" i="69"/>
  <c r="BS13" i="69"/>
  <c r="BT13" i="69"/>
  <c r="BU13" i="69"/>
  <c r="BV13" i="69"/>
  <c r="BW13" i="69"/>
  <c r="BX13" i="69"/>
  <c r="BY13" i="69"/>
  <c r="BZ13" i="69"/>
  <c r="BG14" i="69"/>
  <c r="BH14" i="69"/>
  <c r="BI14" i="69"/>
  <c r="BK14" i="69"/>
  <c r="BL14" i="69"/>
  <c r="BM14" i="69"/>
  <c r="BN14" i="69"/>
  <c r="BP14" i="69"/>
  <c r="BQ14" i="69"/>
  <c r="BR14" i="69"/>
  <c r="BS14" i="69"/>
  <c r="BT14" i="69"/>
  <c r="BU14" i="69"/>
  <c r="BV14" i="69"/>
  <c r="BW14" i="69"/>
  <c r="BX14" i="69"/>
  <c r="BY14" i="69"/>
  <c r="BZ14" i="69"/>
  <c r="BG15" i="69"/>
  <c r="BH15" i="69"/>
  <c r="BI15" i="69"/>
  <c r="BJ15" i="69"/>
  <c r="BL15" i="69"/>
  <c r="BM15" i="69"/>
  <c r="BN15" i="69"/>
  <c r="BO15" i="69"/>
  <c r="BQ15" i="69"/>
  <c r="BR15" i="69"/>
  <c r="BS15" i="69"/>
  <c r="BT15" i="69"/>
  <c r="BU15" i="69"/>
  <c r="BV15" i="69"/>
  <c r="BW15" i="69"/>
  <c r="BX15" i="69"/>
  <c r="BY15" i="69"/>
  <c r="BZ15" i="69"/>
  <c r="BG16" i="69"/>
  <c r="BH16" i="69"/>
  <c r="BI16" i="69"/>
  <c r="BJ16" i="69"/>
  <c r="BK16" i="69"/>
  <c r="BL16" i="69"/>
  <c r="BM16" i="69"/>
  <c r="BN16" i="69"/>
  <c r="BO16" i="69"/>
  <c r="BP16" i="69"/>
  <c r="BQ16" i="69"/>
  <c r="BR16" i="69"/>
  <c r="BS16" i="69"/>
  <c r="BT16" i="69"/>
  <c r="BU16" i="69"/>
  <c r="BV16" i="69"/>
  <c r="BW16" i="69"/>
  <c r="BX16" i="69"/>
  <c r="BY16" i="69"/>
  <c r="BZ16" i="69"/>
  <c r="BG17" i="69"/>
  <c r="BH17" i="69"/>
  <c r="BI17" i="69"/>
  <c r="BJ17" i="69"/>
  <c r="BK17" i="69"/>
  <c r="BL17" i="69"/>
  <c r="BM17" i="69"/>
  <c r="BN17" i="69"/>
  <c r="BO17" i="69"/>
  <c r="BP17" i="69"/>
  <c r="BQ17" i="69"/>
  <c r="BR17" i="69"/>
  <c r="BS17" i="69"/>
  <c r="BT17" i="69"/>
  <c r="BU17" i="69"/>
  <c r="BV17" i="69"/>
  <c r="BW17" i="69"/>
  <c r="BX17" i="69"/>
  <c r="BY17" i="69"/>
  <c r="BZ17" i="69"/>
  <c r="BH18" i="69"/>
  <c r="BI18" i="69"/>
  <c r="BJ18" i="69"/>
  <c r="BK18" i="69"/>
  <c r="BM18" i="69"/>
  <c r="BN18" i="69"/>
  <c r="BO18" i="69"/>
  <c r="BP18" i="69"/>
  <c r="BR18" i="69"/>
  <c r="BS18" i="69"/>
  <c r="BT18" i="69"/>
  <c r="BU18" i="69"/>
  <c r="BV18" i="69"/>
  <c r="BW18" i="69"/>
  <c r="BX18" i="69"/>
  <c r="BY18" i="69"/>
  <c r="BZ18" i="69"/>
  <c r="BG19" i="69"/>
  <c r="BI19" i="69"/>
  <c r="BJ19" i="69"/>
  <c r="BK19" i="69"/>
  <c r="BL19" i="69"/>
  <c r="BN19" i="69"/>
  <c r="BO19" i="69"/>
  <c r="BP19" i="69"/>
  <c r="BQ19" i="69"/>
  <c r="BS19" i="69"/>
  <c r="BT19" i="69"/>
  <c r="BU19" i="69"/>
  <c r="BV19" i="69"/>
  <c r="BW19" i="69"/>
  <c r="BX19" i="69"/>
  <c r="BY19" i="69"/>
  <c r="BZ19" i="69"/>
  <c r="BG20" i="69"/>
  <c r="BH20" i="69"/>
  <c r="BJ20" i="69"/>
  <c r="BK20" i="69"/>
  <c r="BL20" i="69"/>
  <c r="BM20" i="69"/>
  <c r="BO20" i="69"/>
  <c r="BP20" i="69"/>
  <c r="BQ20" i="69"/>
  <c r="BR20" i="69"/>
  <c r="BT20" i="69"/>
  <c r="BU20" i="69"/>
  <c r="BV20" i="69"/>
  <c r="BW20" i="69"/>
  <c r="BX20" i="69"/>
  <c r="BY20" i="69"/>
  <c r="BZ20" i="69"/>
  <c r="BG21" i="69"/>
  <c r="BH21" i="69"/>
  <c r="BI21" i="69"/>
  <c r="BK21" i="69"/>
  <c r="BL21" i="69"/>
  <c r="BM21" i="69"/>
  <c r="BN21" i="69"/>
  <c r="BP21" i="69"/>
  <c r="BQ21" i="69"/>
  <c r="BR21" i="69"/>
  <c r="BS21" i="69"/>
  <c r="BU21" i="69"/>
  <c r="BV21" i="69"/>
  <c r="BW21" i="69"/>
  <c r="BX21" i="69"/>
  <c r="BY21" i="69"/>
  <c r="BZ21" i="69"/>
  <c r="BG22" i="69"/>
  <c r="BH22" i="69"/>
  <c r="BI22" i="69"/>
  <c r="BJ22" i="69"/>
  <c r="BL22" i="69"/>
  <c r="BM22" i="69"/>
  <c r="BN22" i="69"/>
  <c r="BO22" i="69"/>
  <c r="BP22" i="69"/>
  <c r="BQ22" i="69"/>
  <c r="BR22" i="69"/>
  <c r="BS22" i="69"/>
  <c r="BT22" i="69"/>
  <c r="BV22" i="69"/>
  <c r="BW22" i="69"/>
  <c r="BX22" i="69"/>
  <c r="BY22" i="69"/>
  <c r="BZ22" i="69"/>
  <c r="BG23" i="69"/>
  <c r="BH23" i="69"/>
  <c r="BI23" i="69"/>
  <c r="BJ23" i="69"/>
  <c r="BK23" i="69"/>
  <c r="BL23" i="69"/>
  <c r="BM23" i="69"/>
  <c r="BN23" i="69"/>
  <c r="BO23" i="69"/>
  <c r="BP23" i="69"/>
  <c r="BQ23" i="69"/>
  <c r="BR23" i="69"/>
  <c r="BS23" i="69"/>
  <c r="BT23" i="69"/>
  <c r="BU23" i="69"/>
  <c r="BV23" i="69"/>
  <c r="BW23" i="69"/>
  <c r="BX23" i="69"/>
  <c r="BY23" i="69"/>
  <c r="BZ23" i="69"/>
  <c r="BG24" i="69"/>
  <c r="BH24" i="69"/>
  <c r="BI24" i="69"/>
  <c r="BJ24" i="69"/>
  <c r="BK24" i="69"/>
  <c r="BL24" i="69"/>
  <c r="BM24" i="69"/>
  <c r="BN24" i="69"/>
  <c r="BO24" i="69"/>
  <c r="BP24" i="69"/>
  <c r="BQ24" i="69"/>
  <c r="BR24" i="69"/>
  <c r="BS24" i="69"/>
  <c r="BT24" i="69"/>
  <c r="BU24" i="69"/>
  <c r="BV24" i="69"/>
  <c r="BW24" i="69"/>
  <c r="BX24" i="69"/>
  <c r="BY24" i="69"/>
  <c r="BZ24" i="69"/>
  <c r="BH25" i="69"/>
  <c r="BI25" i="69"/>
  <c r="BJ25" i="69"/>
  <c r="BK25" i="69"/>
  <c r="BM25" i="69"/>
  <c r="BN25" i="69"/>
  <c r="BO25" i="69"/>
  <c r="BP25" i="69"/>
  <c r="BQ25" i="69"/>
  <c r="BR25" i="69"/>
  <c r="BS25" i="69"/>
  <c r="BT25" i="69"/>
  <c r="BU25" i="69"/>
  <c r="BW25" i="69"/>
  <c r="BX25" i="69"/>
  <c r="BY25" i="69"/>
  <c r="BZ25" i="69"/>
  <c r="BG26" i="69"/>
  <c r="BI26" i="69"/>
  <c r="BJ26" i="69"/>
  <c r="BK26" i="69"/>
  <c r="BL26" i="69"/>
  <c r="BN26" i="69"/>
  <c r="BO26" i="69"/>
  <c r="BP26" i="69"/>
  <c r="BQ26" i="69"/>
  <c r="BR26" i="69"/>
  <c r="BS26" i="69"/>
  <c r="BT26" i="69"/>
  <c r="BU26" i="69"/>
  <c r="BV26" i="69"/>
  <c r="BX26" i="69"/>
  <c r="BY26" i="69"/>
  <c r="BZ26" i="69"/>
  <c r="BG27" i="69"/>
  <c r="BH27" i="69"/>
  <c r="BJ27" i="69"/>
  <c r="BK27" i="69"/>
  <c r="BL27" i="69"/>
  <c r="BM27" i="69"/>
  <c r="BO27" i="69"/>
  <c r="BP27" i="69"/>
  <c r="BQ27" i="69"/>
  <c r="BR27" i="69"/>
  <c r="BS27" i="69"/>
  <c r="BT27" i="69"/>
  <c r="BU27" i="69"/>
  <c r="BV27" i="69"/>
  <c r="BW27" i="69"/>
  <c r="BY27" i="69"/>
  <c r="BZ27" i="69"/>
  <c r="BG28" i="69"/>
  <c r="BH28" i="69"/>
  <c r="BI28" i="69"/>
  <c r="BK28" i="69"/>
  <c r="BL28" i="69"/>
  <c r="BM28" i="69"/>
  <c r="BN28" i="69"/>
  <c r="BO28" i="69"/>
  <c r="BP28" i="69"/>
  <c r="BQ28" i="69"/>
  <c r="BR28" i="69"/>
  <c r="BS28" i="69"/>
  <c r="BT28" i="69"/>
  <c r="BU28" i="69"/>
  <c r="BV28" i="69"/>
  <c r="BW28" i="69"/>
  <c r="BX28" i="69"/>
  <c r="BZ28" i="69"/>
  <c r="BG29" i="69"/>
  <c r="BH29" i="69"/>
  <c r="BI29" i="69"/>
  <c r="BJ29" i="69"/>
  <c r="BL29" i="69"/>
  <c r="BM29" i="69"/>
  <c r="BN29" i="69"/>
  <c r="BO29" i="69"/>
  <c r="BQ29" i="69"/>
  <c r="BR29" i="69"/>
  <c r="BS29" i="69"/>
  <c r="BT29" i="69"/>
  <c r="BU29" i="69"/>
  <c r="BV29" i="69"/>
  <c r="BW29" i="69"/>
  <c r="BX29" i="69"/>
  <c r="BY29" i="69"/>
  <c r="BG30" i="69"/>
  <c r="BH30" i="69"/>
  <c r="BI30" i="69"/>
  <c r="BJ30" i="69"/>
  <c r="BK30" i="69"/>
  <c r="BL30" i="69"/>
  <c r="BM30" i="69"/>
  <c r="BN30" i="69"/>
  <c r="BO30" i="69"/>
  <c r="BP30" i="69"/>
  <c r="BQ30" i="69"/>
  <c r="BR30" i="69"/>
  <c r="BS30" i="69"/>
  <c r="BT30" i="69"/>
  <c r="BU30" i="69"/>
  <c r="BV30" i="69"/>
  <c r="BW30" i="69"/>
  <c r="BX30" i="69"/>
  <c r="BY30" i="69"/>
  <c r="BZ30" i="69"/>
  <c r="BG31" i="69"/>
  <c r="BH31" i="69"/>
  <c r="BI31" i="69"/>
  <c r="BJ31" i="69"/>
  <c r="BK31" i="69"/>
  <c r="BL31" i="69"/>
  <c r="BM31" i="69"/>
  <c r="BN31" i="69"/>
  <c r="BO31" i="69"/>
  <c r="BP31" i="69"/>
  <c r="BQ31" i="69"/>
  <c r="BR31" i="69"/>
  <c r="BS31" i="69"/>
  <c r="BT31" i="69"/>
  <c r="BU31" i="69"/>
  <c r="BV31" i="69"/>
  <c r="BW31" i="69"/>
  <c r="BX31" i="69"/>
  <c r="BY31" i="69"/>
  <c r="BZ31" i="69"/>
  <c r="BH32" i="69"/>
  <c r="BI32" i="69"/>
  <c r="BJ32" i="69"/>
  <c r="BK32" i="69"/>
  <c r="BM32" i="69"/>
  <c r="BN32" i="69"/>
  <c r="BO32" i="69"/>
  <c r="BP32" i="69"/>
  <c r="BQ32" i="69"/>
  <c r="BR32" i="69"/>
  <c r="BS32" i="69"/>
  <c r="BT32" i="69"/>
  <c r="BU32" i="69"/>
  <c r="BV32" i="69"/>
  <c r="BW32" i="69"/>
  <c r="BX32" i="69"/>
  <c r="BY32" i="69"/>
  <c r="BZ32" i="69"/>
  <c r="BG33" i="69"/>
  <c r="BI33" i="69"/>
  <c r="BJ33" i="69"/>
  <c r="BK33" i="69"/>
  <c r="BL33" i="69"/>
  <c r="BN33" i="69"/>
  <c r="BO33" i="69"/>
  <c r="BP33" i="69"/>
  <c r="BQ33" i="69"/>
  <c r="BR33" i="69"/>
  <c r="BS33" i="69"/>
  <c r="BT33" i="69"/>
  <c r="BU33" i="69"/>
  <c r="BV33" i="69"/>
  <c r="BW33" i="69"/>
  <c r="BX33" i="69"/>
  <c r="BY33" i="69"/>
  <c r="BZ33" i="69"/>
  <c r="BG34" i="69"/>
  <c r="BH34" i="69"/>
  <c r="BJ34" i="69"/>
  <c r="BK34" i="69"/>
  <c r="BL34" i="69"/>
  <c r="BM34" i="69"/>
  <c r="BO34" i="69"/>
  <c r="BP34" i="69"/>
  <c r="BQ34" i="69"/>
  <c r="BR34" i="69"/>
  <c r="BS34" i="69"/>
  <c r="BT34" i="69"/>
  <c r="BU34" i="69"/>
  <c r="BV34" i="69"/>
  <c r="BW34" i="69"/>
  <c r="BX34" i="69"/>
  <c r="BY34" i="69"/>
  <c r="BZ34" i="69"/>
  <c r="BG35" i="69"/>
  <c r="BH35" i="69"/>
  <c r="BI35" i="69"/>
  <c r="BK35" i="69"/>
  <c r="BL35" i="69"/>
  <c r="BM35" i="69"/>
  <c r="BN35" i="69"/>
  <c r="BP35" i="69"/>
  <c r="BQ35" i="69"/>
  <c r="BR35" i="69"/>
  <c r="BS35" i="69"/>
  <c r="BT35" i="69"/>
  <c r="BU35" i="69"/>
  <c r="BV35" i="69"/>
  <c r="BW35" i="69"/>
  <c r="BX35" i="69"/>
  <c r="BY35" i="69"/>
  <c r="BZ35" i="69"/>
  <c r="BG36" i="69"/>
  <c r="BH36" i="69"/>
  <c r="BI36" i="69"/>
  <c r="BJ36" i="69"/>
  <c r="BL36" i="69"/>
  <c r="BM36" i="69"/>
  <c r="BN36" i="69"/>
  <c r="BO36" i="69"/>
  <c r="BQ36" i="69"/>
  <c r="BR36" i="69"/>
  <c r="BS36" i="69"/>
  <c r="BT36" i="69"/>
  <c r="BU36" i="69"/>
  <c r="BV36" i="69"/>
  <c r="BW36" i="69"/>
  <c r="BX36" i="69"/>
  <c r="BY36" i="69"/>
  <c r="BZ36" i="69"/>
  <c r="BG37" i="69"/>
  <c r="BH37" i="69"/>
  <c r="BI37" i="69"/>
  <c r="BJ37" i="69"/>
  <c r="BK37" i="69"/>
  <c r="BL37" i="69"/>
  <c r="BM37" i="69"/>
  <c r="BN37" i="69"/>
  <c r="BO37" i="69"/>
  <c r="BP37" i="69"/>
  <c r="BQ37" i="69"/>
  <c r="BR37" i="69"/>
  <c r="BS37" i="69"/>
  <c r="BT37" i="69"/>
  <c r="BU37" i="69"/>
  <c r="BV37" i="69"/>
  <c r="BW37" i="69"/>
  <c r="BX37" i="69"/>
  <c r="BY37" i="69"/>
  <c r="BZ37" i="69"/>
  <c r="BG38" i="69"/>
  <c r="BH38" i="69"/>
  <c r="BI38" i="69"/>
  <c r="BJ38" i="69"/>
  <c r="BK38" i="69"/>
  <c r="BL38" i="69"/>
  <c r="BM38" i="69"/>
  <c r="BN38" i="69"/>
  <c r="BO38" i="69"/>
  <c r="BP38" i="69"/>
  <c r="BQ38" i="69"/>
  <c r="BR38" i="69"/>
  <c r="BS38" i="69"/>
  <c r="BT38" i="69"/>
  <c r="BU38" i="69"/>
  <c r="BV38" i="69"/>
  <c r="BW38" i="69"/>
  <c r="BX38" i="69"/>
  <c r="BY38" i="69"/>
  <c r="BZ38" i="69"/>
  <c r="BH39" i="69"/>
  <c r="BI39" i="69"/>
  <c r="BJ39" i="69"/>
  <c r="BK39" i="69"/>
  <c r="BM39" i="69"/>
  <c r="BN39" i="69"/>
  <c r="BO39" i="69"/>
  <c r="BP39" i="69"/>
  <c r="BQ39" i="69"/>
  <c r="BR39" i="69"/>
  <c r="BS39" i="69"/>
  <c r="BT39" i="69"/>
  <c r="BU39" i="69"/>
  <c r="BV39" i="69"/>
  <c r="BW39" i="69"/>
  <c r="BX39" i="69"/>
  <c r="BY39" i="69"/>
  <c r="BZ39" i="69"/>
  <c r="BZ9" i="69"/>
  <c r="BY9" i="69"/>
  <c r="BX9" i="69"/>
  <c r="BW9" i="69"/>
  <c r="BV9" i="69"/>
  <c r="BU9" i="69"/>
  <c r="BT9" i="69"/>
  <c r="BS9" i="69"/>
  <c r="BR9" i="69"/>
  <c r="BQ9" i="69"/>
  <c r="BP9" i="69"/>
  <c r="BO9" i="69"/>
  <c r="BN9" i="69"/>
  <c r="BM9" i="69"/>
  <c r="BL9" i="69"/>
  <c r="BK9" i="69"/>
  <c r="BJ9" i="69"/>
  <c r="BI9" i="69"/>
  <c r="BH9" i="69"/>
  <c r="BG9" i="69"/>
  <c r="BG37" i="68"/>
  <c r="BH37" i="68"/>
  <c r="BI37" i="68"/>
  <c r="BJ37" i="68"/>
  <c r="BK37" i="68"/>
  <c r="BL37" i="68"/>
  <c r="BM37" i="68"/>
  <c r="BN37" i="68"/>
  <c r="BO37" i="68"/>
  <c r="BP37" i="68"/>
  <c r="BQ37" i="68"/>
  <c r="BR37" i="68"/>
  <c r="BS37" i="68"/>
  <c r="BT37" i="68"/>
  <c r="BU37" i="68"/>
  <c r="BV37" i="68"/>
  <c r="BW37" i="68"/>
  <c r="BX37" i="68"/>
  <c r="BY37" i="68"/>
  <c r="BZ37" i="68"/>
  <c r="BG10" i="67"/>
  <c r="BH10" i="67"/>
  <c r="BI10" i="67"/>
  <c r="BJ10" i="67"/>
  <c r="BK10" i="67"/>
  <c r="BL10" i="67"/>
  <c r="BM10" i="67"/>
  <c r="BN10" i="67"/>
  <c r="BO10" i="67"/>
  <c r="BP10" i="67"/>
  <c r="BQ10" i="67"/>
  <c r="BR10" i="67"/>
  <c r="BS10" i="67"/>
  <c r="BT10" i="67"/>
  <c r="BU10" i="67"/>
  <c r="BV10" i="67"/>
  <c r="BW10" i="67"/>
  <c r="BX10" i="67"/>
  <c r="BY10" i="67"/>
  <c r="BZ10" i="67"/>
  <c r="BG11" i="67"/>
  <c r="BH11" i="67"/>
  <c r="BI11" i="67"/>
  <c r="BJ11" i="67"/>
  <c r="BK11" i="67"/>
  <c r="BL11" i="67"/>
  <c r="BM11" i="67"/>
  <c r="BN11" i="67"/>
  <c r="BO11" i="67"/>
  <c r="BP11" i="67"/>
  <c r="BQ11" i="67"/>
  <c r="BR11" i="67"/>
  <c r="BS11" i="67"/>
  <c r="BT11" i="67"/>
  <c r="BU11" i="67"/>
  <c r="BV11" i="67"/>
  <c r="BW11" i="67"/>
  <c r="BX11" i="67"/>
  <c r="BY11" i="67"/>
  <c r="BZ11" i="67"/>
  <c r="BG12" i="67"/>
  <c r="BH12" i="67"/>
  <c r="BI12" i="67"/>
  <c r="BJ12" i="67"/>
  <c r="BK12" i="67"/>
  <c r="BL12" i="67"/>
  <c r="BM12" i="67"/>
  <c r="BN12" i="67"/>
  <c r="BO12" i="67"/>
  <c r="BP12" i="67"/>
  <c r="BQ12" i="67"/>
  <c r="BR12" i="67"/>
  <c r="BS12" i="67"/>
  <c r="BT12" i="67"/>
  <c r="BU12" i="67"/>
  <c r="BV12" i="67"/>
  <c r="BW12" i="67"/>
  <c r="BX12" i="67"/>
  <c r="BY12" i="67"/>
  <c r="BZ12" i="67"/>
  <c r="BG13" i="67"/>
  <c r="BH13" i="67"/>
  <c r="BI13" i="67"/>
  <c r="BJ13" i="67"/>
  <c r="BK13" i="67"/>
  <c r="BL13" i="67"/>
  <c r="BM13" i="67"/>
  <c r="BN13" i="67"/>
  <c r="BO13" i="67"/>
  <c r="BP13" i="67"/>
  <c r="BQ13" i="67"/>
  <c r="BR13" i="67"/>
  <c r="BS13" i="67"/>
  <c r="BT13" i="67"/>
  <c r="BU13" i="67"/>
  <c r="BV13" i="67"/>
  <c r="BW13" i="67"/>
  <c r="BX13" i="67"/>
  <c r="BY13" i="67"/>
  <c r="BZ13" i="67"/>
  <c r="BH14" i="67"/>
  <c r="BI14" i="67"/>
  <c r="BJ14" i="67"/>
  <c r="BK14" i="67"/>
  <c r="BM14" i="67"/>
  <c r="BN14" i="67"/>
  <c r="BO14" i="67"/>
  <c r="BP14" i="67"/>
  <c r="BQ14" i="67"/>
  <c r="BR14" i="67"/>
  <c r="BS14" i="67"/>
  <c r="BT14" i="67"/>
  <c r="BU14" i="67"/>
  <c r="BV14" i="67"/>
  <c r="BW14" i="67"/>
  <c r="BX14" i="67"/>
  <c r="BY14" i="67"/>
  <c r="BZ14" i="67"/>
  <c r="BG15" i="67"/>
  <c r="BI15" i="67"/>
  <c r="BJ15" i="67"/>
  <c r="BK15" i="67"/>
  <c r="BL15" i="67"/>
  <c r="BN15" i="67"/>
  <c r="BO15" i="67"/>
  <c r="BP15" i="67"/>
  <c r="BQ15" i="67"/>
  <c r="BR15" i="67"/>
  <c r="BS15" i="67"/>
  <c r="BT15" i="67"/>
  <c r="BU15" i="67"/>
  <c r="BV15" i="67"/>
  <c r="BW15" i="67"/>
  <c r="BX15" i="67"/>
  <c r="BY15" i="67"/>
  <c r="BZ15" i="67"/>
  <c r="BG16" i="67"/>
  <c r="BH16" i="67"/>
  <c r="BJ16" i="67"/>
  <c r="BK16" i="67"/>
  <c r="BL16" i="67"/>
  <c r="BM16" i="67"/>
  <c r="BO16" i="67"/>
  <c r="BP16" i="67"/>
  <c r="BQ16" i="67"/>
  <c r="BR16" i="67"/>
  <c r="BS16" i="67"/>
  <c r="BT16" i="67"/>
  <c r="BU16" i="67"/>
  <c r="BV16" i="67"/>
  <c r="BW16" i="67"/>
  <c r="BX16" i="67"/>
  <c r="BY16" i="67"/>
  <c r="BZ16" i="67"/>
  <c r="BG17" i="67"/>
  <c r="BH17" i="67"/>
  <c r="BI17" i="67"/>
  <c r="BK17" i="67"/>
  <c r="BL17" i="67"/>
  <c r="BM17" i="67"/>
  <c r="BN17" i="67"/>
  <c r="BP17" i="67"/>
  <c r="BQ17" i="67"/>
  <c r="BR17" i="67"/>
  <c r="BS17" i="67"/>
  <c r="BT17" i="67"/>
  <c r="BU17" i="67"/>
  <c r="BV17" i="67"/>
  <c r="BW17" i="67"/>
  <c r="BX17" i="67"/>
  <c r="BY17" i="67"/>
  <c r="BZ17" i="67"/>
  <c r="BG18" i="67"/>
  <c r="BH18" i="67"/>
  <c r="BI18" i="67"/>
  <c r="BJ18" i="67"/>
  <c r="BL18" i="67"/>
  <c r="BM18" i="67"/>
  <c r="BN18" i="67"/>
  <c r="BO18" i="67"/>
  <c r="BQ18" i="67"/>
  <c r="BR18" i="67"/>
  <c r="BS18" i="67"/>
  <c r="BT18" i="67"/>
  <c r="BU18" i="67"/>
  <c r="BV18" i="67"/>
  <c r="BW18" i="67"/>
  <c r="BX18" i="67"/>
  <c r="BY18" i="67"/>
  <c r="BZ18" i="67"/>
  <c r="BG19" i="67"/>
  <c r="BH19" i="67"/>
  <c r="BI19" i="67"/>
  <c r="BJ19" i="67"/>
  <c r="BK19" i="67"/>
  <c r="BL19" i="67"/>
  <c r="BM19" i="67"/>
  <c r="BN19" i="67"/>
  <c r="BO19" i="67"/>
  <c r="BP19" i="67"/>
  <c r="BQ19" i="67"/>
  <c r="BR19" i="67"/>
  <c r="BS19" i="67"/>
  <c r="BT19" i="67"/>
  <c r="BU19" i="67"/>
  <c r="BV19" i="67"/>
  <c r="BW19" i="67"/>
  <c r="BX19" i="67"/>
  <c r="BY19" i="67"/>
  <c r="BZ19" i="67"/>
  <c r="BG20" i="67"/>
  <c r="BH20" i="67"/>
  <c r="BI20" i="67"/>
  <c r="BJ20" i="67"/>
  <c r="BK20" i="67"/>
  <c r="BL20" i="67"/>
  <c r="BM20" i="67"/>
  <c r="BN20" i="67"/>
  <c r="BO20" i="67"/>
  <c r="BP20" i="67"/>
  <c r="BQ20" i="67"/>
  <c r="BR20" i="67"/>
  <c r="BS20" i="67"/>
  <c r="BT20" i="67"/>
  <c r="BU20" i="67"/>
  <c r="BV20" i="67"/>
  <c r="BW20" i="67"/>
  <c r="BX20" i="67"/>
  <c r="BY20" i="67"/>
  <c r="BZ20" i="67"/>
  <c r="BH21" i="67"/>
  <c r="BI21" i="67"/>
  <c r="BJ21" i="67"/>
  <c r="BK21" i="67"/>
  <c r="BM21" i="67"/>
  <c r="BN21" i="67"/>
  <c r="BO21" i="67"/>
  <c r="BP21" i="67"/>
  <c r="BQ21" i="67"/>
  <c r="BR21" i="67"/>
  <c r="BS21" i="67"/>
  <c r="BT21" i="67"/>
  <c r="BU21" i="67"/>
  <c r="BV21" i="67"/>
  <c r="BW21" i="67"/>
  <c r="BX21" i="67"/>
  <c r="BY21" i="67"/>
  <c r="BZ21" i="67"/>
  <c r="BG22" i="67"/>
  <c r="BI22" i="67"/>
  <c r="BJ22" i="67"/>
  <c r="BK22" i="67"/>
  <c r="BL22" i="67"/>
  <c r="BN22" i="67"/>
  <c r="BO22" i="67"/>
  <c r="BP22" i="67"/>
  <c r="BQ22" i="67"/>
  <c r="BR22" i="67"/>
  <c r="BS22" i="67"/>
  <c r="BT22" i="67"/>
  <c r="BU22" i="67"/>
  <c r="BV22" i="67"/>
  <c r="BW22" i="67"/>
  <c r="BX22" i="67"/>
  <c r="BY22" i="67"/>
  <c r="BZ22" i="67"/>
  <c r="BG23" i="67"/>
  <c r="BH23" i="67"/>
  <c r="BJ23" i="67"/>
  <c r="BK23" i="67"/>
  <c r="BL23" i="67"/>
  <c r="BM23" i="67"/>
  <c r="BO23" i="67"/>
  <c r="BP23" i="67"/>
  <c r="BQ23" i="67"/>
  <c r="BR23" i="67"/>
  <c r="BS23" i="67"/>
  <c r="BT23" i="67"/>
  <c r="BU23" i="67"/>
  <c r="BV23" i="67"/>
  <c r="BW23" i="67"/>
  <c r="BX23" i="67"/>
  <c r="BY23" i="67"/>
  <c r="BZ23" i="67"/>
  <c r="BG24" i="67"/>
  <c r="BH24" i="67"/>
  <c r="BI24" i="67"/>
  <c r="BK24" i="67"/>
  <c r="BL24" i="67"/>
  <c r="BM24" i="67"/>
  <c r="BN24" i="67"/>
  <c r="BP24" i="67"/>
  <c r="BQ24" i="67"/>
  <c r="BR24" i="67"/>
  <c r="BS24" i="67"/>
  <c r="BT24" i="67"/>
  <c r="BU24" i="67"/>
  <c r="BV24" i="67"/>
  <c r="BW24" i="67"/>
  <c r="BX24" i="67"/>
  <c r="BY24" i="67"/>
  <c r="BZ24" i="67"/>
  <c r="BG25" i="67"/>
  <c r="BH25" i="67"/>
  <c r="BI25" i="67"/>
  <c r="BJ25" i="67"/>
  <c r="BL25" i="67"/>
  <c r="BM25" i="67"/>
  <c r="BN25" i="67"/>
  <c r="BO25" i="67"/>
  <c r="BQ25" i="67"/>
  <c r="BR25" i="67"/>
  <c r="BS25" i="67"/>
  <c r="BT25" i="67"/>
  <c r="BU25" i="67"/>
  <c r="BV25" i="67"/>
  <c r="BW25" i="67"/>
  <c r="BX25" i="67"/>
  <c r="BY25" i="67"/>
  <c r="BZ25" i="67"/>
  <c r="BG26" i="67"/>
  <c r="BH26" i="67"/>
  <c r="BI26" i="67"/>
  <c r="BJ26" i="67"/>
  <c r="BK26" i="67"/>
  <c r="BL26" i="67"/>
  <c r="BM26" i="67"/>
  <c r="BN26" i="67"/>
  <c r="BO26" i="67"/>
  <c r="BP26" i="67"/>
  <c r="BQ26" i="67"/>
  <c r="BR26" i="67"/>
  <c r="BS26" i="67"/>
  <c r="BT26" i="67"/>
  <c r="BU26" i="67"/>
  <c r="BV26" i="67"/>
  <c r="BW26" i="67"/>
  <c r="BX26" i="67"/>
  <c r="BY26" i="67"/>
  <c r="BZ26" i="67"/>
  <c r="BG27" i="67"/>
  <c r="BH27" i="67"/>
  <c r="BI27" i="67"/>
  <c r="BJ27" i="67"/>
  <c r="BK27" i="67"/>
  <c r="BL27" i="67"/>
  <c r="BM27" i="67"/>
  <c r="BN27" i="67"/>
  <c r="BO27" i="67"/>
  <c r="BP27" i="67"/>
  <c r="BQ27" i="67"/>
  <c r="BR27" i="67"/>
  <c r="BS27" i="67"/>
  <c r="BT27" i="67"/>
  <c r="BU27" i="67"/>
  <c r="BV27" i="67"/>
  <c r="BW27" i="67"/>
  <c r="BX27" i="67"/>
  <c r="BY27" i="67"/>
  <c r="BZ27" i="67"/>
  <c r="BH28" i="67"/>
  <c r="BI28" i="67"/>
  <c r="BJ28" i="67"/>
  <c r="BK28" i="67"/>
  <c r="BM28" i="67"/>
  <c r="BN28" i="67"/>
  <c r="BO28" i="67"/>
  <c r="BP28" i="67"/>
  <c r="BQ28" i="67"/>
  <c r="BR28" i="67"/>
  <c r="BS28" i="67"/>
  <c r="BT28" i="67"/>
  <c r="BU28" i="67"/>
  <c r="BV28" i="67"/>
  <c r="BW28" i="67"/>
  <c r="BX28" i="67"/>
  <c r="BY28" i="67"/>
  <c r="BZ28" i="67"/>
  <c r="BG29" i="67"/>
  <c r="BI29" i="67"/>
  <c r="BJ29" i="67"/>
  <c r="BK29" i="67"/>
  <c r="BL29" i="67"/>
  <c r="BN29" i="67"/>
  <c r="BO29" i="67"/>
  <c r="BP29" i="67"/>
  <c r="BQ29" i="67"/>
  <c r="BR29" i="67"/>
  <c r="BS29" i="67"/>
  <c r="BT29" i="67"/>
  <c r="BU29" i="67"/>
  <c r="BV29" i="67"/>
  <c r="BW29" i="67"/>
  <c r="BX29" i="67"/>
  <c r="BY29" i="67"/>
  <c r="BZ29" i="67"/>
  <c r="BG30" i="67"/>
  <c r="BH30" i="67"/>
  <c r="BJ30" i="67"/>
  <c r="BK30" i="67"/>
  <c r="BL30" i="67"/>
  <c r="BM30" i="67"/>
  <c r="BO30" i="67"/>
  <c r="BP30" i="67"/>
  <c r="BQ30" i="67"/>
  <c r="BR30" i="67"/>
  <c r="BS30" i="67"/>
  <c r="BT30" i="67"/>
  <c r="BU30" i="67"/>
  <c r="BV30" i="67"/>
  <c r="BW30" i="67"/>
  <c r="BX30" i="67"/>
  <c r="BY30" i="67"/>
  <c r="BZ30" i="67"/>
  <c r="BG31" i="67"/>
  <c r="BH31" i="67"/>
  <c r="BI31" i="67"/>
  <c r="BK31" i="67"/>
  <c r="BL31" i="67"/>
  <c r="BM31" i="67"/>
  <c r="BN31" i="67"/>
  <c r="BP31" i="67"/>
  <c r="BQ31" i="67"/>
  <c r="BR31" i="67"/>
  <c r="BS31" i="67"/>
  <c r="BT31" i="67"/>
  <c r="BU31" i="67"/>
  <c r="BV31" i="67"/>
  <c r="BW31" i="67"/>
  <c r="BX31" i="67"/>
  <c r="BY31" i="67"/>
  <c r="BZ31" i="67"/>
  <c r="BG32" i="67"/>
  <c r="BH32" i="67"/>
  <c r="BI32" i="67"/>
  <c r="BJ32" i="67"/>
  <c r="BL32" i="67"/>
  <c r="BM32" i="67"/>
  <c r="BN32" i="67"/>
  <c r="BO32" i="67"/>
  <c r="BQ32" i="67"/>
  <c r="BR32" i="67"/>
  <c r="BS32" i="67"/>
  <c r="BT32" i="67"/>
  <c r="BU32" i="67"/>
  <c r="BV32" i="67"/>
  <c r="BW32" i="67"/>
  <c r="BX32" i="67"/>
  <c r="BY32" i="67"/>
  <c r="BZ32" i="67"/>
  <c r="BG33" i="67"/>
  <c r="BH33" i="67"/>
  <c r="BI33" i="67"/>
  <c r="BJ33" i="67"/>
  <c r="BK33" i="67"/>
  <c r="BL33" i="67"/>
  <c r="BM33" i="67"/>
  <c r="BN33" i="67"/>
  <c r="BO33" i="67"/>
  <c r="BP33" i="67"/>
  <c r="BQ33" i="67"/>
  <c r="BR33" i="67"/>
  <c r="BS33" i="67"/>
  <c r="BT33" i="67"/>
  <c r="BU33" i="67"/>
  <c r="BV33" i="67"/>
  <c r="BW33" i="67"/>
  <c r="BX33" i="67"/>
  <c r="BY33" i="67"/>
  <c r="BZ33" i="67"/>
  <c r="BG34" i="67"/>
  <c r="BH34" i="67"/>
  <c r="BI34" i="67"/>
  <c r="BJ34" i="67"/>
  <c r="BK34" i="67"/>
  <c r="BL34" i="67"/>
  <c r="BM34" i="67"/>
  <c r="BN34" i="67"/>
  <c r="BO34" i="67"/>
  <c r="BP34" i="67"/>
  <c r="BQ34" i="67"/>
  <c r="BR34" i="67"/>
  <c r="BS34" i="67"/>
  <c r="BT34" i="67"/>
  <c r="BU34" i="67"/>
  <c r="BV34" i="67"/>
  <c r="BW34" i="67"/>
  <c r="BX34" i="67"/>
  <c r="BY34" i="67"/>
  <c r="BZ34" i="67"/>
  <c r="BH35" i="67"/>
  <c r="BI35" i="67"/>
  <c r="BJ35" i="67"/>
  <c r="BK35" i="67"/>
  <c r="BM35" i="67"/>
  <c r="BN35" i="67"/>
  <c r="BO35" i="67"/>
  <c r="BP35" i="67"/>
  <c r="BQ35" i="67"/>
  <c r="BR35" i="67"/>
  <c r="BS35" i="67"/>
  <c r="BT35" i="67"/>
  <c r="BU35" i="67"/>
  <c r="BV35" i="67"/>
  <c r="BW35" i="67"/>
  <c r="BX35" i="67"/>
  <c r="BY35" i="67"/>
  <c r="BZ35" i="67"/>
  <c r="BG36" i="67"/>
  <c r="BI36" i="67"/>
  <c r="BJ36" i="67"/>
  <c r="BK36" i="67"/>
  <c r="BL36" i="67"/>
  <c r="BN36" i="67"/>
  <c r="BO36" i="67"/>
  <c r="BP36" i="67"/>
  <c r="BQ36" i="67"/>
  <c r="BR36" i="67"/>
  <c r="BS36" i="67"/>
  <c r="BT36" i="67"/>
  <c r="BU36" i="67"/>
  <c r="BV36" i="67"/>
  <c r="BW36" i="67"/>
  <c r="BX36" i="67"/>
  <c r="BY36" i="67"/>
  <c r="BZ36" i="67"/>
  <c r="BG37" i="67"/>
  <c r="BH37" i="67"/>
  <c r="BJ37" i="67"/>
  <c r="BK37" i="67"/>
  <c r="BL37" i="67"/>
  <c r="BM37" i="67"/>
  <c r="BO37" i="67"/>
  <c r="BP37" i="67"/>
  <c r="BQ37" i="67"/>
  <c r="BR37" i="67"/>
  <c r="BS37" i="67"/>
  <c r="BT37" i="67"/>
  <c r="BU37" i="67"/>
  <c r="BV37" i="67"/>
  <c r="BW37" i="67"/>
  <c r="BX37" i="67"/>
  <c r="BY37" i="67"/>
  <c r="BZ37" i="67"/>
  <c r="BG38" i="67"/>
  <c r="BH38" i="67"/>
  <c r="BI38" i="67"/>
  <c r="BK38" i="67"/>
  <c r="BL38" i="67"/>
  <c r="BM38" i="67"/>
  <c r="BN38" i="67"/>
  <c r="BP38" i="67"/>
  <c r="BQ38" i="67"/>
  <c r="BR38" i="67"/>
  <c r="BS38" i="67"/>
  <c r="BT38" i="67"/>
  <c r="BU38" i="67"/>
  <c r="BV38" i="67"/>
  <c r="BW38" i="67"/>
  <c r="BX38" i="67"/>
  <c r="BY38" i="67"/>
  <c r="BZ38" i="67"/>
  <c r="BG39" i="67"/>
  <c r="BH39" i="67"/>
  <c r="BI39" i="67"/>
  <c r="BJ39" i="67"/>
  <c r="BL39" i="67"/>
  <c r="BM39" i="67"/>
  <c r="BN39" i="67"/>
  <c r="BO39" i="67"/>
  <c r="BQ39" i="67"/>
  <c r="BR39" i="67"/>
  <c r="BS39" i="67"/>
  <c r="BT39" i="67"/>
  <c r="BU39" i="67"/>
  <c r="BV39" i="67"/>
  <c r="BW39" i="67"/>
  <c r="BX39" i="67"/>
  <c r="BY39" i="67"/>
  <c r="BZ39" i="67"/>
  <c r="BZ9" i="67"/>
  <c r="BY9" i="67"/>
  <c r="BX9" i="67"/>
  <c r="BW9" i="67"/>
  <c r="BV9" i="67"/>
  <c r="BU9" i="67"/>
  <c r="BT9" i="67"/>
  <c r="BS9" i="67"/>
  <c r="BR9" i="67"/>
  <c r="BQ9" i="67"/>
  <c r="BP9" i="67"/>
  <c r="BO9" i="67"/>
  <c r="BN9" i="67"/>
  <c r="BM9" i="67"/>
  <c r="BL9" i="67"/>
  <c r="BK9" i="67"/>
  <c r="BJ9" i="67"/>
  <c r="BI9" i="67"/>
  <c r="BH9" i="67"/>
  <c r="BG9" i="67"/>
  <c r="BH10" i="66"/>
  <c r="BI10" i="66"/>
  <c r="BJ10" i="66"/>
  <c r="BK10" i="66"/>
  <c r="BL10" i="66"/>
  <c r="BM10" i="66"/>
  <c r="BN10" i="66"/>
  <c r="BO10" i="66"/>
  <c r="BP10" i="66"/>
  <c r="BQ10" i="66"/>
  <c r="BR10" i="66"/>
  <c r="BS10" i="66"/>
  <c r="BT10" i="66"/>
  <c r="BU10" i="66"/>
  <c r="BV10" i="66"/>
  <c r="BW10" i="66"/>
  <c r="BX10" i="66"/>
  <c r="BY10" i="66"/>
  <c r="BZ10" i="66"/>
  <c r="BG11" i="66"/>
  <c r="BI11" i="66"/>
  <c r="BJ11" i="66"/>
  <c r="BK11" i="66"/>
  <c r="BL11" i="66"/>
  <c r="BM11" i="66"/>
  <c r="BN11" i="66"/>
  <c r="BO11" i="66"/>
  <c r="BP11" i="66"/>
  <c r="BQ11" i="66"/>
  <c r="BR11" i="66"/>
  <c r="BS11" i="66"/>
  <c r="BT11" i="66"/>
  <c r="BU11" i="66"/>
  <c r="BV11" i="66"/>
  <c r="BW11" i="66"/>
  <c r="BX11" i="66"/>
  <c r="BY11" i="66"/>
  <c r="BZ11" i="66"/>
  <c r="BG12" i="66"/>
  <c r="BH12" i="66"/>
  <c r="BJ12" i="66"/>
  <c r="BK12" i="66"/>
  <c r="BL12" i="66"/>
  <c r="BM12" i="66"/>
  <c r="BO12" i="66"/>
  <c r="BP12" i="66"/>
  <c r="BQ12" i="66"/>
  <c r="BR12" i="66"/>
  <c r="BS12" i="66"/>
  <c r="BT12" i="66"/>
  <c r="BU12" i="66"/>
  <c r="BV12" i="66"/>
  <c r="BW12" i="66"/>
  <c r="BX12" i="66"/>
  <c r="BY12" i="66"/>
  <c r="BZ12" i="66"/>
  <c r="BG13" i="66"/>
  <c r="BH13" i="66"/>
  <c r="BI13" i="66"/>
  <c r="BK13" i="66"/>
  <c r="BL13" i="66"/>
  <c r="BM13" i="66"/>
  <c r="BN13" i="66"/>
  <c r="BO13" i="66"/>
  <c r="BP13" i="66"/>
  <c r="BQ13" i="66"/>
  <c r="BR13" i="66"/>
  <c r="BS13" i="66"/>
  <c r="BT13" i="66"/>
  <c r="BU13" i="66"/>
  <c r="BV13" i="66"/>
  <c r="BW13" i="66"/>
  <c r="BX13" i="66"/>
  <c r="BY13" i="66"/>
  <c r="BZ13" i="66"/>
  <c r="BG14" i="66"/>
  <c r="BH14" i="66"/>
  <c r="BI14" i="66"/>
  <c r="BJ14" i="66"/>
  <c r="BL14" i="66"/>
  <c r="BM14" i="66"/>
  <c r="BN14" i="66"/>
  <c r="BO14" i="66"/>
  <c r="BP14" i="66"/>
  <c r="BQ14" i="66"/>
  <c r="BR14" i="66"/>
  <c r="BS14" i="66"/>
  <c r="BT14" i="66"/>
  <c r="BU14" i="66"/>
  <c r="BV14" i="66"/>
  <c r="BW14" i="66"/>
  <c r="BX14" i="66"/>
  <c r="BY14" i="66"/>
  <c r="BZ14" i="66"/>
  <c r="BG15" i="66"/>
  <c r="BH15" i="66"/>
  <c r="BI15" i="66"/>
  <c r="BJ15" i="66"/>
  <c r="BK15" i="66"/>
  <c r="BL15" i="66"/>
  <c r="BM15" i="66"/>
  <c r="BN15" i="66"/>
  <c r="BO15" i="66"/>
  <c r="BP15" i="66"/>
  <c r="BQ15" i="66"/>
  <c r="BR15" i="66"/>
  <c r="BS15" i="66"/>
  <c r="BT15" i="66"/>
  <c r="BU15" i="66"/>
  <c r="BV15" i="66"/>
  <c r="BW15" i="66"/>
  <c r="BX15" i="66"/>
  <c r="BY15" i="66"/>
  <c r="BZ15" i="66"/>
  <c r="BG16" i="66"/>
  <c r="BH16" i="66"/>
  <c r="BI16" i="66"/>
  <c r="BJ16" i="66"/>
  <c r="BK16" i="66"/>
  <c r="BL16" i="66"/>
  <c r="BM16" i="66"/>
  <c r="BN16" i="66"/>
  <c r="BO16" i="66"/>
  <c r="BP16" i="66"/>
  <c r="BQ16" i="66"/>
  <c r="BR16" i="66"/>
  <c r="BS16" i="66"/>
  <c r="BT16" i="66"/>
  <c r="BU16" i="66"/>
  <c r="BV16" i="66"/>
  <c r="BW16" i="66"/>
  <c r="BX16" i="66"/>
  <c r="BY16" i="66"/>
  <c r="BZ16" i="66"/>
  <c r="BH17" i="66"/>
  <c r="BI17" i="66"/>
  <c r="BJ17" i="66"/>
  <c r="BK17" i="66"/>
  <c r="BL17" i="66"/>
  <c r="BM17" i="66"/>
  <c r="BN17" i="66"/>
  <c r="BO17" i="66"/>
  <c r="BP17" i="66"/>
  <c r="BQ17" i="66"/>
  <c r="BR17" i="66"/>
  <c r="BS17" i="66"/>
  <c r="BT17" i="66"/>
  <c r="BU17" i="66"/>
  <c r="BV17" i="66"/>
  <c r="BW17" i="66"/>
  <c r="BX17" i="66"/>
  <c r="BY17" i="66"/>
  <c r="BZ17" i="66"/>
  <c r="BG18" i="66"/>
  <c r="BI18" i="66"/>
  <c r="BJ18" i="66"/>
  <c r="BK18" i="66"/>
  <c r="BL18" i="66"/>
  <c r="BM18" i="66"/>
  <c r="BN18" i="66"/>
  <c r="BO18" i="66"/>
  <c r="BP18" i="66"/>
  <c r="BQ18" i="66"/>
  <c r="BR18" i="66"/>
  <c r="BS18" i="66"/>
  <c r="BT18" i="66"/>
  <c r="BU18" i="66"/>
  <c r="BV18" i="66"/>
  <c r="BW18" i="66"/>
  <c r="BX18" i="66"/>
  <c r="BY18" i="66"/>
  <c r="BZ18" i="66"/>
  <c r="BG19" i="66"/>
  <c r="BH19" i="66"/>
  <c r="BJ19" i="66"/>
  <c r="BK19" i="66"/>
  <c r="BL19" i="66"/>
  <c r="BM19" i="66"/>
  <c r="BO19" i="66"/>
  <c r="BP19" i="66"/>
  <c r="BQ19" i="66"/>
  <c r="BR19" i="66"/>
  <c r="BS19" i="66"/>
  <c r="BT19" i="66"/>
  <c r="BU19" i="66"/>
  <c r="BV19" i="66"/>
  <c r="BW19" i="66"/>
  <c r="BX19" i="66"/>
  <c r="BY19" i="66"/>
  <c r="BZ19" i="66"/>
  <c r="BG20" i="66"/>
  <c r="BH20" i="66"/>
  <c r="BI20" i="66"/>
  <c r="BK20" i="66"/>
  <c r="BL20" i="66"/>
  <c r="BM20" i="66"/>
  <c r="BN20" i="66"/>
  <c r="BO20" i="66"/>
  <c r="BP20" i="66"/>
  <c r="BQ20" i="66"/>
  <c r="BR20" i="66"/>
  <c r="BS20" i="66"/>
  <c r="BT20" i="66"/>
  <c r="BU20" i="66"/>
  <c r="BV20" i="66"/>
  <c r="BW20" i="66"/>
  <c r="BX20" i="66"/>
  <c r="BY20" i="66"/>
  <c r="BZ20" i="66"/>
  <c r="BG21" i="66"/>
  <c r="BH21" i="66"/>
  <c r="BI21" i="66"/>
  <c r="BJ21" i="66"/>
  <c r="BL21" i="66"/>
  <c r="BM21" i="66"/>
  <c r="BN21" i="66"/>
  <c r="BO21" i="66"/>
  <c r="BP21" i="66"/>
  <c r="BQ21" i="66"/>
  <c r="BR21" i="66"/>
  <c r="BS21" i="66"/>
  <c r="BT21" i="66"/>
  <c r="BU21" i="66"/>
  <c r="BV21" i="66"/>
  <c r="BW21" i="66"/>
  <c r="BX21" i="66"/>
  <c r="BY21" i="66"/>
  <c r="BZ21" i="66"/>
  <c r="BG22" i="66"/>
  <c r="BH22" i="66"/>
  <c r="BI22" i="66"/>
  <c r="BJ22" i="66"/>
  <c r="BK22" i="66"/>
  <c r="BL22" i="66"/>
  <c r="BM22" i="66"/>
  <c r="BN22" i="66"/>
  <c r="BO22" i="66"/>
  <c r="BP22" i="66"/>
  <c r="BQ22" i="66"/>
  <c r="BR22" i="66"/>
  <c r="BS22" i="66"/>
  <c r="BT22" i="66"/>
  <c r="BU22" i="66"/>
  <c r="BV22" i="66"/>
  <c r="BW22" i="66"/>
  <c r="BX22" i="66"/>
  <c r="BY22" i="66"/>
  <c r="BZ22" i="66"/>
  <c r="BG23" i="66"/>
  <c r="BH23" i="66"/>
  <c r="BI23" i="66"/>
  <c r="BJ23" i="66"/>
  <c r="BK23" i="66"/>
  <c r="BL23" i="66"/>
  <c r="BM23" i="66"/>
  <c r="BN23" i="66"/>
  <c r="BO23" i="66"/>
  <c r="BP23" i="66"/>
  <c r="BQ23" i="66"/>
  <c r="BR23" i="66"/>
  <c r="BS23" i="66"/>
  <c r="BT23" i="66"/>
  <c r="BU23" i="66"/>
  <c r="BV23" i="66"/>
  <c r="BW23" i="66"/>
  <c r="BX23" i="66"/>
  <c r="BY23" i="66"/>
  <c r="BZ23" i="66"/>
  <c r="BH24" i="66"/>
  <c r="BI24" i="66"/>
  <c r="BJ24" i="66"/>
  <c r="BK24" i="66"/>
  <c r="BL24" i="66"/>
  <c r="BM24" i="66"/>
  <c r="BN24" i="66"/>
  <c r="BO24" i="66"/>
  <c r="BP24" i="66"/>
  <c r="BQ24" i="66"/>
  <c r="BR24" i="66"/>
  <c r="BS24" i="66"/>
  <c r="BT24" i="66"/>
  <c r="BU24" i="66"/>
  <c r="BV24" i="66"/>
  <c r="BW24" i="66"/>
  <c r="BX24" i="66"/>
  <c r="BY24" i="66"/>
  <c r="BZ24" i="66"/>
  <c r="BG25" i="66"/>
  <c r="BI25" i="66"/>
  <c r="BJ25" i="66"/>
  <c r="BK25" i="66"/>
  <c r="BL25" i="66"/>
  <c r="BM25" i="66"/>
  <c r="BN25" i="66"/>
  <c r="BO25" i="66"/>
  <c r="BP25" i="66"/>
  <c r="BQ25" i="66"/>
  <c r="BR25" i="66"/>
  <c r="BS25" i="66"/>
  <c r="BT25" i="66"/>
  <c r="BU25" i="66"/>
  <c r="BV25" i="66"/>
  <c r="BW25" i="66"/>
  <c r="BX25" i="66"/>
  <c r="BY25" i="66"/>
  <c r="BZ25" i="66"/>
  <c r="BG26" i="66"/>
  <c r="BH26" i="66"/>
  <c r="BJ26" i="66"/>
  <c r="BK26" i="66"/>
  <c r="BL26" i="66"/>
  <c r="BM26" i="66"/>
  <c r="BO26" i="66"/>
  <c r="BP26" i="66"/>
  <c r="BQ26" i="66"/>
  <c r="BR26" i="66"/>
  <c r="BS26" i="66"/>
  <c r="BT26" i="66"/>
  <c r="BU26" i="66"/>
  <c r="BV26" i="66"/>
  <c r="BW26" i="66"/>
  <c r="BX26" i="66"/>
  <c r="BY26" i="66"/>
  <c r="BZ26" i="66"/>
  <c r="BG27" i="66"/>
  <c r="BH27" i="66"/>
  <c r="BI27" i="66"/>
  <c r="BK27" i="66"/>
  <c r="BL27" i="66"/>
  <c r="BM27" i="66"/>
  <c r="BN27" i="66"/>
  <c r="BO27" i="66"/>
  <c r="BP27" i="66"/>
  <c r="BQ27" i="66"/>
  <c r="BR27" i="66"/>
  <c r="BS27" i="66"/>
  <c r="BT27" i="66"/>
  <c r="BU27" i="66"/>
  <c r="BV27" i="66"/>
  <c r="BW27" i="66"/>
  <c r="BX27" i="66"/>
  <c r="BY27" i="66"/>
  <c r="BZ27" i="66"/>
  <c r="BG28" i="66"/>
  <c r="BH28" i="66"/>
  <c r="BI28" i="66"/>
  <c r="BJ28" i="66"/>
  <c r="BL28" i="66"/>
  <c r="BM28" i="66"/>
  <c r="BN28" i="66"/>
  <c r="BO28" i="66"/>
  <c r="BP28" i="66"/>
  <c r="BQ28" i="66"/>
  <c r="BR28" i="66"/>
  <c r="BS28" i="66"/>
  <c r="BT28" i="66"/>
  <c r="BU28" i="66"/>
  <c r="BV28" i="66"/>
  <c r="BW28" i="66"/>
  <c r="BX28" i="66"/>
  <c r="BY28" i="66"/>
  <c r="BZ28" i="66"/>
  <c r="BG29" i="66"/>
  <c r="BH29" i="66"/>
  <c r="BI29" i="66"/>
  <c r="BJ29" i="66"/>
  <c r="BK29" i="66"/>
  <c r="BL29" i="66"/>
  <c r="BM29" i="66"/>
  <c r="BN29" i="66"/>
  <c r="BO29" i="66"/>
  <c r="BP29" i="66"/>
  <c r="BQ29" i="66"/>
  <c r="BR29" i="66"/>
  <c r="BS29" i="66"/>
  <c r="BT29" i="66"/>
  <c r="BU29" i="66"/>
  <c r="BV29" i="66"/>
  <c r="BW29" i="66"/>
  <c r="BX29" i="66"/>
  <c r="BY29" i="66"/>
  <c r="BZ29" i="66"/>
  <c r="BG30" i="66"/>
  <c r="BH30" i="66"/>
  <c r="BI30" i="66"/>
  <c r="BJ30" i="66"/>
  <c r="BK30" i="66"/>
  <c r="BL30" i="66"/>
  <c r="BM30" i="66"/>
  <c r="BN30" i="66"/>
  <c r="BO30" i="66"/>
  <c r="BP30" i="66"/>
  <c r="BQ30" i="66"/>
  <c r="BR30" i="66"/>
  <c r="BS30" i="66"/>
  <c r="BT30" i="66"/>
  <c r="BU30" i="66"/>
  <c r="BV30" i="66"/>
  <c r="BW30" i="66"/>
  <c r="BX30" i="66"/>
  <c r="BY30" i="66"/>
  <c r="BZ30" i="66"/>
  <c r="BG31" i="66"/>
  <c r="BH31" i="66"/>
  <c r="BI31" i="66"/>
  <c r="BJ31" i="66"/>
  <c r="BK31" i="66"/>
  <c r="BL31" i="66"/>
  <c r="BM31" i="66"/>
  <c r="BN31" i="66"/>
  <c r="BO31" i="66"/>
  <c r="BP31" i="66"/>
  <c r="BQ31" i="66"/>
  <c r="BR31" i="66"/>
  <c r="BS31" i="66"/>
  <c r="BT31" i="66"/>
  <c r="BU31" i="66"/>
  <c r="BV31" i="66"/>
  <c r="BW31" i="66"/>
  <c r="BX31" i="66"/>
  <c r="BY31" i="66"/>
  <c r="BZ31" i="66"/>
  <c r="BG32" i="66"/>
  <c r="BH32" i="66"/>
  <c r="BI32" i="66"/>
  <c r="BJ32" i="66"/>
  <c r="BK32" i="66"/>
  <c r="BL32" i="66"/>
  <c r="BM32" i="66"/>
  <c r="BN32" i="66"/>
  <c r="BO32" i="66"/>
  <c r="BP32" i="66"/>
  <c r="BQ32" i="66"/>
  <c r="BR32" i="66"/>
  <c r="BS32" i="66"/>
  <c r="BT32" i="66"/>
  <c r="BU32" i="66"/>
  <c r="BV32" i="66"/>
  <c r="BW32" i="66"/>
  <c r="BX32" i="66"/>
  <c r="BY32" i="66"/>
  <c r="BZ32" i="66"/>
  <c r="BG33" i="66"/>
  <c r="BH33" i="66"/>
  <c r="BI33" i="66"/>
  <c r="BJ33" i="66"/>
  <c r="BK33" i="66"/>
  <c r="BL33" i="66"/>
  <c r="BM33" i="66"/>
  <c r="BN33" i="66"/>
  <c r="BO33" i="66"/>
  <c r="BP33" i="66"/>
  <c r="BQ33" i="66"/>
  <c r="BR33" i="66"/>
  <c r="BS33" i="66"/>
  <c r="BT33" i="66"/>
  <c r="BU33" i="66"/>
  <c r="BV33" i="66"/>
  <c r="BW33" i="66"/>
  <c r="BX33" i="66"/>
  <c r="BY33" i="66"/>
  <c r="BZ33" i="66"/>
  <c r="BG34" i="66"/>
  <c r="BH34" i="66"/>
  <c r="BI34" i="66"/>
  <c r="BJ34" i="66"/>
  <c r="BK34" i="66"/>
  <c r="BL34" i="66"/>
  <c r="BM34" i="66"/>
  <c r="BN34" i="66"/>
  <c r="BO34" i="66"/>
  <c r="BP34" i="66"/>
  <c r="BQ34" i="66"/>
  <c r="BR34" i="66"/>
  <c r="BS34" i="66"/>
  <c r="BT34" i="66"/>
  <c r="BU34" i="66"/>
  <c r="BV34" i="66"/>
  <c r="BW34" i="66"/>
  <c r="BX34" i="66"/>
  <c r="BY34" i="66"/>
  <c r="BZ34" i="66"/>
  <c r="BG35" i="66"/>
  <c r="BH35" i="66"/>
  <c r="BI35" i="66"/>
  <c r="BJ35" i="66"/>
  <c r="BK35" i="66"/>
  <c r="BL35" i="66"/>
  <c r="BM35" i="66"/>
  <c r="BN35" i="66"/>
  <c r="BO35" i="66"/>
  <c r="BP35" i="66"/>
  <c r="BQ35" i="66"/>
  <c r="BR35" i="66"/>
  <c r="BS35" i="66"/>
  <c r="BT35" i="66"/>
  <c r="BU35" i="66"/>
  <c r="BV35" i="66"/>
  <c r="BW35" i="66"/>
  <c r="BX35" i="66"/>
  <c r="BY35" i="66"/>
  <c r="BZ35" i="66"/>
  <c r="BG36" i="66"/>
  <c r="BH36" i="66"/>
  <c r="BI36" i="66"/>
  <c r="BJ36" i="66"/>
  <c r="BK36" i="66"/>
  <c r="BL36" i="66"/>
  <c r="BM36" i="66"/>
  <c r="BN36" i="66"/>
  <c r="BO36" i="66"/>
  <c r="BP36" i="66"/>
  <c r="BQ36" i="66"/>
  <c r="BR36" i="66"/>
  <c r="BS36" i="66"/>
  <c r="BT36" i="66"/>
  <c r="BU36" i="66"/>
  <c r="BV36" i="66"/>
  <c r="BW36" i="66"/>
  <c r="BX36" i="66"/>
  <c r="BY36" i="66"/>
  <c r="BZ36" i="66"/>
  <c r="BG37" i="66"/>
  <c r="BH37" i="66"/>
  <c r="BI37" i="66"/>
  <c r="BJ37" i="66"/>
  <c r="BK37" i="66"/>
  <c r="BL37" i="66"/>
  <c r="BM37" i="66"/>
  <c r="BN37" i="66"/>
  <c r="BO37" i="66"/>
  <c r="BP37" i="66"/>
  <c r="BQ37" i="66"/>
  <c r="BR37" i="66"/>
  <c r="BS37" i="66"/>
  <c r="BT37" i="66"/>
  <c r="BU37" i="66"/>
  <c r="BV37" i="66"/>
  <c r="BW37" i="66"/>
  <c r="BX37" i="66"/>
  <c r="BY37" i="66"/>
  <c r="BZ37" i="66"/>
  <c r="BG38" i="66"/>
  <c r="BH38" i="66"/>
  <c r="BI38" i="66"/>
  <c r="BJ38" i="66"/>
  <c r="BK38" i="66"/>
  <c r="BL38" i="66"/>
  <c r="BM38" i="66"/>
  <c r="BN38" i="66"/>
  <c r="BO38" i="66"/>
  <c r="BP38" i="66"/>
  <c r="BQ38" i="66"/>
  <c r="BR38" i="66"/>
  <c r="BS38" i="66"/>
  <c r="BT38" i="66"/>
  <c r="BU38" i="66"/>
  <c r="BV38" i="66"/>
  <c r="BW38" i="66"/>
  <c r="BX38" i="66"/>
  <c r="BY38" i="66"/>
  <c r="BZ38" i="66"/>
  <c r="BG39" i="66"/>
  <c r="BH39" i="66"/>
  <c r="BI39" i="66"/>
  <c r="BJ39" i="66"/>
  <c r="BK39" i="66"/>
  <c r="BL39" i="66"/>
  <c r="BM39" i="66"/>
  <c r="BN39" i="66"/>
  <c r="BO39" i="66"/>
  <c r="BP39" i="66"/>
  <c r="BQ39" i="66"/>
  <c r="BR39" i="66"/>
  <c r="BS39" i="66"/>
  <c r="BT39" i="66"/>
  <c r="BU39" i="66"/>
  <c r="BV39" i="66"/>
  <c r="BW39" i="66"/>
  <c r="BX39" i="66"/>
  <c r="BY39" i="66"/>
  <c r="BZ39" i="66"/>
  <c r="BZ9" i="66"/>
  <c r="BY9" i="66"/>
  <c r="BX9" i="66"/>
  <c r="BW9" i="66"/>
  <c r="BV9" i="66"/>
  <c r="BU9" i="66"/>
  <c r="BT9" i="66"/>
  <c r="BS9" i="66"/>
  <c r="BR9" i="66"/>
  <c r="BQ9" i="66"/>
  <c r="BP9" i="66"/>
  <c r="BO9" i="66"/>
  <c r="BN9" i="66"/>
  <c r="BM9" i="66"/>
  <c r="BL9" i="66"/>
  <c r="BK9" i="66"/>
  <c r="BJ9" i="66"/>
  <c r="BI9" i="66"/>
  <c r="BH9" i="66"/>
  <c r="BG9" i="66"/>
  <c r="BG10" i="65"/>
  <c r="BH10" i="65"/>
  <c r="BI10" i="65"/>
  <c r="BJ10" i="65"/>
  <c r="BK10" i="65"/>
  <c r="BL10" i="65"/>
  <c r="BM10" i="65"/>
  <c r="BN10" i="65"/>
  <c r="BO10" i="65"/>
  <c r="BP10" i="65"/>
  <c r="BQ10" i="65"/>
  <c r="BR10" i="65"/>
  <c r="BS10" i="65"/>
  <c r="BT10" i="65"/>
  <c r="BU10" i="65"/>
  <c r="BV10" i="65"/>
  <c r="BW10" i="65"/>
  <c r="BX10" i="65"/>
  <c r="BY10" i="65"/>
  <c r="BZ10" i="65"/>
  <c r="BG11" i="65"/>
  <c r="BH11" i="65"/>
  <c r="BI11" i="65"/>
  <c r="BJ11" i="65"/>
  <c r="BK11" i="65"/>
  <c r="BL11" i="65"/>
  <c r="BM11" i="65"/>
  <c r="BN11" i="65"/>
  <c r="BO11" i="65"/>
  <c r="BP11" i="65"/>
  <c r="BQ11" i="65"/>
  <c r="BR11" i="65"/>
  <c r="BS11" i="65"/>
  <c r="BT11" i="65"/>
  <c r="BU11" i="65"/>
  <c r="BV11" i="65"/>
  <c r="BW11" i="65"/>
  <c r="BX11" i="65"/>
  <c r="BY11" i="65"/>
  <c r="BZ11" i="65"/>
  <c r="BH12" i="65"/>
  <c r="BI12" i="65"/>
  <c r="BJ12" i="65"/>
  <c r="BK12" i="65"/>
  <c r="BL12" i="65"/>
  <c r="BM12" i="65"/>
  <c r="BN12" i="65"/>
  <c r="BO12" i="65"/>
  <c r="BP12" i="65"/>
  <c r="BQ12" i="65"/>
  <c r="BR12" i="65"/>
  <c r="BS12" i="65"/>
  <c r="BT12" i="65"/>
  <c r="BU12" i="65"/>
  <c r="BV12" i="65"/>
  <c r="BW12" i="65"/>
  <c r="BX12" i="65"/>
  <c r="BY12" i="65"/>
  <c r="BZ12" i="65"/>
  <c r="BG13" i="65"/>
  <c r="BI13" i="65"/>
  <c r="BJ13" i="65"/>
  <c r="BK13" i="65"/>
  <c r="BL13" i="65"/>
  <c r="BM13" i="65"/>
  <c r="BN13" i="65"/>
  <c r="BO13" i="65"/>
  <c r="BP13" i="65"/>
  <c r="BQ13" i="65"/>
  <c r="BR13" i="65"/>
  <c r="BS13" i="65"/>
  <c r="BT13" i="65"/>
  <c r="BU13" i="65"/>
  <c r="BV13" i="65"/>
  <c r="BW13" i="65"/>
  <c r="BX13" i="65"/>
  <c r="BY13" i="65"/>
  <c r="BZ13" i="65"/>
  <c r="BG14" i="65"/>
  <c r="BH14" i="65"/>
  <c r="BJ14" i="65"/>
  <c r="BK14" i="65"/>
  <c r="BL14" i="65"/>
  <c r="BM14" i="65"/>
  <c r="BO14" i="65"/>
  <c r="BP14" i="65"/>
  <c r="BQ14" i="65"/>
  <c r="BR14" i="65"/>
  <c r="BS14" i="65"/>
  <c r="BT14" i="65"/>
  <c r="BU14" i="65"/>
  <c r="BV14" i="65"/>
  <c r="BW14" i="65"/>
  <c r="BX14" i="65"/>
  <c r="BY14" i="65"/>
  <c r="BZ14" i="65"/>
  <c r="BG15" i="65"/>
  <c r="BH15" i="65"/>
  <c r="BI15" i="65"/>
  <c r="BK15" i="65"/>
  <c r="BL15" i="65"/>
  <c r="BM15" i="65"/>
  <c r="BN15" i="65"/>
  <c r="BO15" i="65"/>
  <c r="BP15" i="65"/>
  <c r="BQ15" i="65"/>
  <c r="BR15" i="65"/>
  <c r="BS15" i="65"/>
  <c r="BT15" i="65"/>
  <c r="BU15" i="65"/>
  <c r="BV15" i="65"/>
  <c r="BW15" i="65"/>
  <c r="BX15" i="65"/>
  <c r="BY15" i="65"/>
  <c r="BZ15" i="65"/>
  <c r="BG16" i="65"/>
  <c r="BH16" i="65"/>
  <c r="BI16" i="65"/>
  <c r="BJ16" i="65"/>
  <c r="BL16" i="65"/>
  <c r="BM16" i="65"/>
  <c r="BN16" i="65"/>
  <c r="BO16" i="65"/>
  <c r="BP16" i="65"/>
  <c r="BQ16" i="65"/>
  <c r="BR16" i="65"/>
  <c r="BS16" i="65"/>
  <c r="BT16" i="65"/>
  <c r="BU16" i="65"/>
  <c r="BV16" i="65"/>
  <c r="BW16" i="65"/>
  <c r="BX16" i="65"/>
  <c r="BY16" i="65"/>
  <c r="BZ16" i="65"/>
  <c r="BG17" i="65"/>
  <c r="BH17" i="65"/>
  <c r="BI17" i="65"/>
  <c r="BJ17" i="65"/>
  <c r="BK17" i="65"/>
  <c r="BL17" i="65"/>
  <c r="BM17" i="65"/>
  <c r="BN17" i="65"/>
  <c r="BO17" i="65"/>
  <c r="BP17" i="65"/>
  <c r="BQ17" i="65"/>
  <c r="BR17" i="65"/>
  <c r="BS17" i="65"/>
  <c r="BT17" i="65"/>
  <c r="BU17" i="65"/>
  <c r="BV17" i="65"/>
  <c r="BW17" i="65"/>
  <c r="BX17" i="65"/>
  <c r="BY17" i="65"/>
  <c r="BZ17" i="65"/>
  <c r="BG18" i="65"/>
  <c r="BH18" i="65"/>
  <c r="BI18" i="65"/>
  <c r="BJ18" i="65"/>
  <c r="BK18" i="65"/>
  <c r="BL18" i="65"/>
  <c r="BM18" i="65"/>
  <c r="BN18" i="65"/>
  <c r="BO18" i="65"/>
  <c r="BP18" i="65"/>
  <c r="BQ18" i="65"/>
  <c r="BR18" i="65"/>
  <c r="BS18" i="65"/>
  <c r="BT18" i="65"/>
  <c r="BU18" i="65"/>
  <c r="BV18" i="65"/>
  <c r="BW18" i="65"/>
  <c r="BX18" i="65"/>
  <c r="BY18" i="65"/>
  <c r="BZ18" i="65"/>
  <c r="BH19" i="65"/>
  <c r="BI19" i="65"/>
  <c r="BJ19" i="65"/>
  <c r="BK19" i="65"/>
  <c r="BL19" i="65"/>
  <c r="BM19" i="65"/>
  <c r="BN19" i="65"/>
  <c r="BO19" i="65"/>
  <c r="BP19" i="65"/>
  <c r="BQ19" i="65"/>
  <c r="BR19" i="65"/>
  <c r="BS19" i="65"/>
  <c r="BT19" i="65"/>
  <c r="BU19" i="65"/>
  <c r="BV19" i="65"/>
  <c r="BW19" i="65"/>
  <c r="BX19" i="65"/>
  <c r="BY19" i="65"/>
  <c r="BZ19" i="65"/>
  <c r="BG20" i="65"/>
  <c r="BI20" i="65"/>
  <c r="BJ20" i="65"/>
  <c r="BK20" i="65"/>
  <c r="BL20" i="65"/>
  <c r="BM20" i="65"/>
  <c r="BN20" i="65"/>
  <c r="BO20" i="65"/>
  <c r="BP20" i="65"/>
  <c r="BQ20" i="65"/>
  <c r="BR20" i="65"/>
  <c r="BS20" i="65"/>
  <c r="BT20" i="65"/>
  <c r="BU20" i="65"/>
  <c r="BV20" i="65"/>
  <c r="BW20" i="65"/>
  <c r="BX20" i="65"/>
  <c r="BY20" i="65"/>
  <c r="BZ20" i="65"/>
  <c r="BG21" i="65"/>
  <c r="BH21" i="65"/>
  <c r="BJ21" i="65"/>
  <c r="BK21" i="65"/>
  <c r="BL21" i="65"/>
  <c r="BM21" i="65"/>
  <c r="BO21" i="65"/>
  <c r="BP21" i="65"/>
  <c r="BQ21" i="65"/>
  <c r="BR21" i="65"/>
  <c r="BS21" i="65"/>
  <c r="BT21" i="65"/>
  <c r="BU21" i="65"/>
  <c r="BV21" i="65"/>
  <c r="BW21" i="65"/>
  <c r="BX21" i="65"/>
  <c r="BY21" i="65"/>
  <c r="BZ21" i="65"/>
  <c r="BG22" i="65"/>
  <c r="BH22" i="65"/>
  <c r="BI22" i="65"/>
  <c r="BK22" i="65"/>
  <c r="BL22" i="65"/>
  <c r="BM22" i="65"/>
  <c r="BN22" i="65"/>
  <c r="BO22" i="65"/>
  <c r="BP22" i="65"/>
  <c r="BQ22" i="65"/>
  <c r="BR22" i="65"/>
  <c r="BS22" i="65"/>
  <c r="BT22" i="65"/>
  <c r="BU22" i="65"/>
  <c r="BV22" i="65"/>
  <c r="BW22" i="65"/>
  <c r="BX22" i="65"/>
  <c r="BY22" i="65"/>
  <c r="BZ22" i="65"/>
  <c r="BG23" i="65"/>
  <c r="BH23" i="65"/>
  <c r="BI23" i="65"/>
  <c r="BJ23" i="65"/>
  <c r="BL23" i="65"/>
  <c r="BM23" i="65"/>
  <c r="BN23" i="65"/>
  <c r="BO23" i="65"/>
  <c r="BP23" i="65"/>
  <c r="BQ23" i="65"/>
  <c r="BR23" i="65"/>
  <c r="BS23" i="65"/>
  <c r="BT23" i="65"/>
  <c r="BU23" i="65"/>
  <c r="BV23" i="65"/>
  <c r="BW23" i="65"/>
  <c r="BX23" i="65"/>
  <c r="BY23" i="65"/>
  <c r="BZ23" i="65"/>
  <c r="BG24" i="65"/>
  <c r="BH24" i="65"/>
  <c r="BI24" i="65"/>
  <c r="BJ24" i="65"/>
  <c r="BK24" i="65"/>
  <c r="BL24" i="65"/>
  <c r="BM24" i="65"/>
  <c r="BN24" i="65"/>
  <c r="BO24" i="65"/>
  <c r="BP24" i="65"/>
  <c r="BQ24" i="65"/>
  <c r="BR24" i="65"/>
  <c r="BS24" i="65"/>
  <c r="BT24" i="65"/>
  <c r="BU24" i="65"/>
  <c r="BV24" i="65"/>
  <c r="BW24" i="65"/>
  <c r="BX24" i="65"/>
  <c r="BY24" i="65"/>
  <c r="BZ24" i="65"/>
  <c r="BG25" i="65"/>
  <c r="BH25" i="65"/>
  <c r="BI25" i="65"/>
  <c r="BJ25" i="65"/>
  <c r="BK25" i="65"/>
  <c r="BL25" i="65"/>
  <c r="BM25" i="65"/>
  <c r="BN25" i="65"/>
  <c r="BO25" i="65"/>
  <c r="BP25" i="65"/>
  <c r="BQ25" i="65"/>
  <c r="BR25" i="65"/>
  <c r="BS25" i="65"/>
  <c r="BT25" i="65"/>
  <c r="BU25" i="65"/>
  <c r="BV25" i="65"/>
  <c r="BW25" i="65"/>
  <c r="BX25" i="65"/>
  <c r="BY25" i="65"/>
  <c r="BZ25" i="65"/>
  <c r="BH26" i="65"/>
  <c r="BI26" i="65"/>
  <c r="BJ26" i="65"/>
  <c r="BK26" i="65"/>
  <c r="BL26" i="65"/>
  <c r="BM26" i="65"/>
  <c r="BN26" i="65"/>
  <c r="BO26" i="65"/>
  <c r="BP26" i="65"/>
  <c r="BQ26" i="65"/>
  <c r="BR26" i="65"/>
  <c r="BS26" i="65"/>
  <c r="BT26" i="65"/>
  <c r="BU26" i="65"/>
  <c r="BV26" i="65"/>
  <c r="BW26" i="65"/>
  <c r="BX26" i="65"/>
  <c r="BY26" i="65"/>
  <c r="BZ26" i="65"/>
  <c r="BG27" i="65"/>
  <c r="BI27" i="65"/>
  <c r="BJ27" i="65"/>
  <c r="BK27" i="65"/>
  <c r="BL27" i="65"/>
  <c r="BM27" i="65"/>
  <c r="BN27" i="65"/>
  <c r="BO27" i="65"/>
  <c r="BP27" i="65"/>
  <c r="BQ27" i="65"/>
  <c r="BR27" i="65"/>
  <c r="BS27" i="65"/>
  <c r="BT27" i="65"/>
  <c r="BU27" i="65"/>
  <c r="BV27" i="65"/>
  <c r="BW27" i="65"/>
  <c r="BX27" i="65"/>
  <c r="BY27" i="65"/>
  <c r="BZ27" i="65"/>
  <c r="BG28" i="65"/>
  <c r="BH28" i="65"/>
  <c r="BJ28" i="65"/>
  <c r="BK28" i="65"/>
  <c r="BL28" i="65"/>
  <c r="BM28" i="65"/>
  <c r="BO28" i="65"/>
  <c r="BP28" i="65"/>
  <c r="BQ28" i="65"/>
  <c r="BR28" i="65"/>
  <c r="BS28" i="65"/>
  <c r="BT28" i="65"/>
  <c r="BU28" i="65"/>
  <c r="BV28" i="65"/>
  <c r="BW28" i="65"/>
  <c r="BX28" i="65"/>
  <c r="BY28" i="65"/>
  <c r="BZ28" i="65"/>
  <c r="BG29" i="65"/>
  <c r="BH29" i="65"/>
  <c r="BI29" i="65"/>
  <c r="BK29" i="65"/>
  <c r="BL29" i="65"/>
  <c r="BM29" i="65"/>
  <c r="BN29" i="65"/>
  <c r="BO29" i="65"/>
  <c r="BP29" i="65"/>
  <c r="BQ29" i="65"/>
  <c r="BR29" i="65"/>
  <c r="BS29" i="65"/>
  <c r="BT29" i="65"/>
  <c r="BU29" i="65"/>
  <c r="BV29" i="65"/>
  <c r="BW29" i="65"/>
  <c r="BX29" i="65"/>
  <c r="BY29" i="65"/>
  <c r="BZ29" i="65"/>
  <c r="BG30" i="65"/>
  <c r="BH30" i="65"/>
  <c r="BI30" i="65"/>
  <c r="BJ30" i="65"/>
  <c r="BL30" i="65"/>
  <c r="BM30" i="65"/>
  <c r="BN30" i="65"/>
  <c r="BO30" i="65"/>
  <c r="BP30" i="65"/>
  <c r="BQ30" i="65"/>
  <c r="BR30" i="65"/>
  <c r="BS30" i="65"/>
  <c r="BT30" i="65"/>
  <c r="BU30" i="65"/>
  <c r="BV30" i="65"/>
  <c r="BW30" i="65"/>
  <c r="BX30" i="65"/>
  <c r="BY30" i="65"/>
  <c r="BZ30" i="65"/>
  <c r="BG31" i="65"/>
  <c r="BH31" i="65"/>
  <c r="BI31" i="65"/>
  <c r="BJ31" i="65"/>
  <c r="BK31" i="65"/>
  <c r="BL31" i="65"/>
  <c r="BM31" i="65"/>
  <c r="BN31" i="65"/>
  <c r="BO31" i="65"/>
  <c r="BP31" i="65"/>
  <c r="BQ31" i="65"/>
  <c r="BR31" i="65"/>
  <c r="BS31" i="65"/>
  <c r="BT31" i="65"/>
  <c r="BU31" i="65"/>
  <c r="BV31" i="65"/>
  <c r="BW31" i="65"/>
  <c r="BX31" i="65"/>
  <c r="BY31" i="65"/>
  <c r="BZ31" i="65"/>
  <c r="BG32" i="65"/>
  <c r="BH32" i="65"/>
  <c r="BI32" i="65"/>
  <c r="BJ32" i="65"/>
  <c r="BK32" i="65"/>
  <c r="BL32" i="65"/>
  <c r="BM32" i="65"/>
  <c r="BN32" i="65"/>
  <c r="BO32" i="65"/>
  <c r="BP32" i="65"/>
  <c r="BQ32" i="65"/>
  <c r="BR32" i="65"/>
  <c r="BS32" i="65"/>
  <c r="BT32" i="65"/>
  <c r="BU32" i="65"/>
  <c r="BV32" i="65"/>
  <c r="BW32" i="65"/>
  <c r="BX32" i="65"/>
  <c r="BY32" i="65"/>
  <c r="BZ32" i="65"/>
  <c r="BH33" i="65"/>
  <c r="BI33" i="65"/>
  <c r="BJ33" i="65"/>
  <c r="BK33" i="65"/>
  <c r="BL33" i="65"/>
  <c r="BM33" i="65"/>
  <c r="BN33" i="65"/>
  <c r="BO33" i="65"/>
  <c r="BP33" i="65"/>
  <c r="BQ33" i="65"/>
  <c r="BR33" i="65"/>
  <c r="BS33" i="65"/>
  <c r="BT33" i="65"/>
  <c r="BU33" i="65"/>
  <c r="BV33" i="65"/>
  <c r="BW33" i="65"/>
  <c r="BX33" i="65"/>
  <c r="BY33" i="65"/>
  <c r="BZ33" i="65"/>
  <c r="BG34" i="65"/>
  <c r="BI34" i="65"/>
  <c r="BJ34" i="65"/>
  <c r="BK34" i="65"/>
  <c r="BL34" i="65"/>
  <c r="BM34" i="65"/>
  <c r="BN34" i="65"/>
  <c r="BO34" i="65"/>
  <c r="BP34" i="65"/>
  <c r="BQ34" i="65"/>
  <c r="BR34" i="65"/>
  <c r="BS34" i="65"/>
  <c r="BT34" i="65"/>
  <c r="BU34" i="65"/>
  <c r="BV34" i="65"/>
  <c r="BW34" i="65"/>
  <c r="BX34" i="65"/>
  <c r="BY34" i="65"/>
  <c r="BZ34" i="65"/>
  <c r="BG35" i="65"/>
  <c r="BH35" i="65"/>
  <c r="BJ35" i="65"/>
  <c r="BK35" i="65"/>
  <c r="BL35" i="65"/>
  <c r="BM35" i="65"/>
  <c r="BO35" i="65"/>
  <c r="BP35" i="65"/>
  <c r="BQ35" i="65"/>
  <c r="BR35" i="65"/>
  <c r="BS35" i="65"/>
  <c r="BT35" i="65"/>
  <c r="BU35" i="65"/>
  <c r="BV35" i="65"/>
  <c r="BW35" i="65"/>
  <c r="BX35" i="65"/>
  <c r="BY35" i="65"/>
  <c r="BZ35" i="65"/>
  <c r="BG36" i="65"/>
  <c r="BH36" i="65"/>
  <c r="BI36" i="65"/>
  <c r="BK36" i="65"/>
  <c r="BL36" i="65"/>
  <c r="BM36" i="65"/>
  <c r="BN36" i="65"/>
  <c r="BO36" i="65"/>
  <c r="BP36" i="65"/>
  <c r="BQ36" i="65"/>
  <c r="BR36" i="65"/>
  <c r="BS36" i="65"/>
  <c r="BT36" i="65"/>
  <c r="BU36" i="65"/>
  <c r="BV36" i="65"/>
  <c r="BW36" i="65"/>
  <c r="BX36" i="65"/>
  <c r="BY36" i="65"/>
  <c r="BZ36" i="65"/>
  <c r="BG37" i="65"/>
  <c r="BH37" i="65"/>
  <c r="BI37" i="65"/>
  <c r="BJ37" i="65"/>
  <c r="BL37" i="65"/>
  <c r="BM37" i="65"/>
  <c r="BN37" i="65"/>
  <c r="BO37" i="65"/>
  <c r="BP37" i="65"/>
  <c r="BQ37" i="65"/>
  <c r="BR37" i="65"/>
  <c r="BS37" i="65"/>
  <c r="BT37" i="65"/>
  <c r="BU37" i="65"/>
  <c r="BV37" i="65"/>
  <c r="BW37" i="65"/>
  <c r="BX37" i="65"/>
  <c r="BY37" i="65"/>
  <c r="BZ37" i="65"/>
  <c r="BG38" i="65"/>
  <c r="BH38" i="65"/>
  <c r="BI38" i="65"/>
  <c r="BJ38" i="65"/>
  <c r="BK38" i="65"/>
  <c r="BL38" i="65"/>
  <c r="BM38" i="65"/>
  <c r="BN38" i="65"/>
  <c r="BO38" i="65"/>
  <c r="BP38" i="65"/>
  <c r="BQ38" i="65"/>
  <c r="BR38" i="65"/>
  <c r="BS38" i="65"/>
  <c r="BT38" i="65"/>
  <c r="BU38" i="65"/>
  <c r="BV38" i="65"/>
  <c r="BW38" i="65"/>
  <c r="BX38" i="65"/>
  <c r="BY38" i="65"/>
  <c r="BZ38" i="65"/>
  <c r="BZ9" i="65"/>
  <c r="BY9" i="65"/>
  <c r="BX9" i="65"/>
  <c r="BW9" i="65"/>
  <c r="BV9" i="65"/>
  <c r="BU9" i="65"/>
  <c r="BT9" i="65"/>
  <c r="BS9" i="65"/>
  <c r="BR9" i="65"/>
  <c r="BQ9" i="65"/>
  <c r="BP9" i="65"/>
  <c r="BO9" i="65"/>
  <c r="BN9" i="65"/>
  <c r="BM9" i="65"/>
  <c r="BL9" i="65"/>
  <c r="BJ9" i="65"/>
  <c r="BI9" i="65"/>
  <c r="BH9" i="65"/>
  <c r="BG9" i="65"/>
  <c r="BG10" i="64"/>
  <c r="BH10" i="64"/>
  <c r="BJ10" i="64"/>
  <c r="BK10" i="64"/>
  <c r="BL10" i="64"/>
  <c r="BM10" i="64"/>
  <c r="BO10" i="64"/>
  <c r="BP10" i="64"/>
  <c r="BQ10" i="64"/>
  <c r="BR10" i="64"/>
  <c r="BS10" i="64"/>
  <c r="BT10" i="64"/>
  <c r="BU10" i="64"/>
  <c r="BV10" i="64"/>
  <c r="BW10" i="64"/>
  <c r="BX10" i="64"/>
  <c r="BY10" i="64"/>
  <c r="BZ10" i="64"/>
  <c r="BG11" i="64"/>
  <c r="BH11" i="64"/>
  <c r="BI11" i="64"/>
  <c r="BK11" i="64"/>
  <c r="BL11" i="64"/>
  <c r="BM11" i="64"/>
  <c r="BN11" i="64"/>
  <c r="BO11" i="64"/>
  <c r="BP11" i="64"/>
  <c r="BQ11" i="64"/>
  <c r="BR11" i="64"/>
  <c r="BS11" i="64"/>
  <c r="BT11" i="64"/>
  <c r="BU11" i="64"/>
  <c r="BV11" i="64"/>
  <c r="BW11" i="64"/>
  <c r="BX11" i="64"/>
  <c r="BY11" i="64"/>
  <c r="BZ11" i="64"/>
  <c r="BG12" i="64"/>
  <c r="BH12" i="64"/>
  <c r="BI12" i="64"/>
  <c r="BJ12" i="64"/>
  <c r="BL12" i="64"/>
  <c r="BM12" i="64"/>
  <c r="BN12" i="64"/>
  <c r="BO12" i="64"/>
  <c r="BP12" i="64"/>
  <c r="BQ12" i="64"/>
  <c r="BR12" i="64"/>
  <c r="BS12" i="64"/>
  <c r="BT12" i="64"/>
  <c r="BU12" i="64"/>
  <c r="BV12" i="64"/>
  <c r="BW12" i="64"/>
  <c r="BX12" i="64"/>
  <c r="BY12" i="64"/>
  <c r="BZ12" i="64"/>
  <c r="BG13" i="64"/>
  <c r="BH13" i="64"/>
  <c r="BI13" i="64"/>
  <c r="BJ13" i="64"/>
  <c r="BK13" i="64"/>
  <c r="BL13" i="64"/>
  <c r="BM13" i="64"/>
  <c r="BN13" i="64"/>
  <c r="BO13" i="64"/>
  <c r="BP13" i="64"/>
  <c r="BQ13" i="64"/>
  <c r="BR13" i="64"/>
  <c r="BS13" i="64"/>
  <c r="BT13" i="64"/>
  <c r="BU13" i="64"/>
  <c r="BV13" i="64"/>
  <c r="BW13" i="64"/>
  <c r="BX13" i="64"/>
  <c r="BY13" i="64"/>
  <c r="BZ13" i="64"/>
  <c r="BG14" i="64"/>
  <c r="BH14" i="64"/>
  <c r="BI14" i="64"/>
  <c r="BJ14" i="64"/>
  <c r="BK14" i="64"/>
  <c r="BL14" i="64"/>
  <c r="BM14" i="64"/>
  <c r="BN14" i="64"/>
  <c r="BO14" i="64"/>
  <c r="BP14" i="64"/>
  <c r="BQ14" i="64"/>
  <c r="BR14" i="64"/>
  <c r="BS14" i="64"/>
  <c r="BT14" i="64"/>
  <c r="BU14" i="64"/>
  <c r="BV14" i="64"/>
  <c r="BW14" i="64"/>
  <c r="BX14" i="64"/>
  <c r="BY14" i="64"/>
  <c r="BZ14" i="64"/>
  <c r="BH15" i="64"/>
  <c r="BI15" i="64"/>
  <c r="BJ15" i="64"/>
  <c r="BK15" i="64"/>
  <c r="BL15" i="64"/>
  <c r="BM15" i="64"/>
  <c r="BN15" i="64"/>
  <c r="BO15" i="64"/>
  <c r="BP15" i="64"/>
  <c r="BQ15" i="64"/>
  <c r="BR15" i="64"/>
  <c r="BS15" i="64"/>
  <c r="BT15" i="64"/>
  <c r="BU15" i="64"/>
  <c r="BV15" i="64"/>
  <c r="BW15" i="64"/>
  <c r="BX15" i="64"/>
  <c r="BY15" i="64"/>
  <c r="BZ15" i="64"/>
  <c r="BG16" i="64"/>
  <c r="BI16" i="64"/>
  <c r="BJ16" i="64"/>
  <c r="BK16" i="64"/>
  <c r="BL16" i="64"/>
  <c r="BM16" i="64"/>
  <c r="BN16" i="64"/>
  <c r="BO16" i="64"/>
  <c r="BP16" i="64"/>
  <c r="BQ16" i="64"/>
  <c r="BR16" i="64"/>
  <c r="BS16" i="64"/>
  <c r="BT16" i="64"/>
  <c r="BU16" i="64"/>
  <c r="BV16" i="64"/>
  <c r="BW16" i="64"/>
  <c r="BX16" i="64"/>
  <c r="BY16" i="64"/>
  <c r="BZ16" i="64"/>
  <c r="BG17" i="64"/>
  <c r="BH17" i="64"/>
  <c r="BJ17" i="64"/>
  <c r="BK17" i="64"/>
  <c r="BL17" i="64"/>
  <c r="BM17" i="64"/>
  <c r="BO17" i="64"/>
  <c r="BP17" i="64"/>
  <c r="BQ17" i="64"/>
  <c r="BR17" i="64"/>
  <c r="BS17" i="64"/>
  <c r="BT17" i="64"/>
  <c r="BU17" i="64"/>
  <c r="BV17" i="64"/>
  <c r="BW17" i="64"/>
  <c r="BX17" i="64"/>
  <c r="BY17" i="64"/>
  <c r="BZ17" i="64"/>
  <c r="BG18" i="64"/>
  <c r="BH18" i="64"/>
  <c r="BI18" i="64"/>
  <c r="BK18" i="64"/>
  <c r="BL18" i="64"/>
  <c r="BM18" i="64"/>
  <c r="BN18" i="64"/>
  <c r="BO18" i="64"/>
  <c r="BP18" i="64"/>
  <c r="BQ18" i="64"/>
  <c r="BR18" i="64"/>
  <c r="BS18" i="64"/>
  <c r="BT18" i="64"/>
  <c r="BU18" i="64"/>
  <c r="BV18" i="64"/>
  <c r="BW18" i="64"/>
  <c r="BX18" i="64"/>
  <c r="BY18" i="64"/>
  <c r="BZ18" i="64"/>
  <c r="BG19" i="64"/>
  <c r="BH19" i="64"/>
  <c r="BI19" i="64"/>
  <c r="BJ19" i="64"/>
  <c r="BL19" i="64"/>
  <c r="BM19" i="64"/>
  <c r="BN19" i="64"/>
  <c r="BO19" i="64"/>
  <c r="BP19" i="64"/>
  <c r="BQ19" i="64"/>
  <c r="BR19" i="64"/>
  <c r="BS19" i="64"/>
  <c r="BT19" i="64"/>
  <c r="BU19" i="64"/>
  <c r="BV19" i="64"/>
  <c r="BW19" i="64"/>
  <c r="BX19" i="64"/>
  <c r="BY19" i="64"/>
  <c r="BZ19" i="64"/>
  <c r="BG20" i="64"/>
  <c r="BH20" i="64"/>
  <c r="BI20" i="64"/>
  <c r="BJ20" i="64"/>
  <c r="BK20" i="64"/>
  <c r="BL20" i="64"/>
  <c r="BM20" i="64"/>
  <c r="BN20" i="64"/>
  <c r="BO20" i="64"/>
  <c r="BP20" i="64"/>
  <c r="BQ20" i="64"/>
  <c r="BR20" i="64"/>
  <c r="BS20" i="64"/>
  <c r="BT20" i="64"/>
  <c r="BU20" i="64"/>
  <c r="BV20" i="64"/>
  <c r="BW20" i="64"/>
  <c r="BX20" i="64"/>
  <c r="BY20" i="64"/>
  <c r="BZ20" i="64"/>
  <c r="BG21" i="64"/>
  <c r="BH21" i="64"/>
  <c r="BI21" i="64"/>
  <c r="BJ21" i="64"/>
  <c r="BK21" i="64"/>
  <c r="BL21" i="64"/>
  <c r="BM21" i="64"/>
  <c r="BN21" i="64"/>
  <c r="BO21" i="64"/>
  <c r="BP21" i="64"/>
  <c r="BQ21" i="64"/>
  <c r="BR21" i="64"/>
  <c r="BS21" i="64"/>
  <c r="BT21" i="64"/>
  <c r="BU21" i="64"/>
  <c r="BV21" i="64"/>
  <c r="BW21" i="64"/>
  <c r="BX21" i="64"/>
  <c r="BY21" i="64"/>
  <c r="BZ21" i="64"/>
  <c r="BG22" i="64"/>
  <c r="BH22" i="64"/>
  <c r="BI22" i="64"/>
  <c r="BJ22" i="64"/>
  <c r="BK22" i="64"/>
  <c r="BL22" i="64"/>
  <c r="BM22" i="64"/>
  <c r="BN22" i="64"/>
  <c r="BO22" i="64"/>
  <c r="BP22" i="64"/>
  <c r="BQ22" i="64"/>
  <c r="BR22" i="64"/>
  <c r="BS22" i="64"/>
  <c r="BT22" i="64"/>
  <c r="BU22" i="64"/>
  <c r="BV22" i="64"/>
  <c r="BW22" i="64"/>
  <c r="BX22" i="64"/>
  <c r="BY22" i="64"/>
  <c r="BZ22" i="64"/>
  <c r="BG23" i="64"/>
  <c r="BH23" i="64"/>
  <c r="BI23" i="64"/>
  <c r="BJ23" i="64"/>
  <c r="BK23" i="64"/>
  <c r="BL23" i="64"/>
  <c r="BM23" i="64"/>
  <c r="BN23" i="64"/>
  <c r="BO23" i="64"/>
  <c r="BP23" i="64"/>
  <c r="BQ23" i="64"/>
  <c r="BR23" i="64"/>
  <c r="BS23" i="64"/>
  <c r="BT23" i="64"/>
  <c r="BU23" i="64"/>
  <c r="BV23" i="64"/>
  <c r="BW23" i="64"/>
  <c r="BX23" i="64"/>
  <c r="BY23" i="64"/>
  <c r="BZ23" i="64"/>
  <c r="BG24" i="64"/>
  <c r="BH24" i="64"/>
  <c r="BI24" i="64"/>
  <c r="BJ24" i="64"/>
  <c r="BK24" i="64"/>
  <c r="BL24" i="64"/>
  <c r="BM24" i="64"/>
  <c r="BN24" i="64"/>
  <c r="BO24" i="64"/>
  <c r="BP24" i="64"/>
  <c r="BQ24" i="64"/>
  <c r="BR24" i="64"/>
  <c r="BS24" i="64"/>
  <c r="BT24" i="64"/>
  <c r="BU24" i="64"/>
  <c r="BV24" i="64"/>
  <c r="BW24" i="64"/>
  <c r="BX24" i="64"/>
  <c r="BY24" i="64"/>
  <c r="BZ24" i="64"/>
  <c r="BG25" i="64"/>
  <c r="BH25" i="64"/>
  <c r="BI25" i="64"/>
  <c r="BJ25" i="64"/>
  <c r="BK25" i="64"/>
  <c r="BL25" i="64"/>
  <c r="BM25" i="64"/>
  <c r="BN25" i="64"/>
  <c r="BO25" i="64"/>
  <c r="BP25" i="64"/>
  <c r="BQ25" i="64"/>
  <c r="BR25" i="64"/>
  <c r="BS25" i="64"/>
  <c r="BT25" i="64"/>
  <c r="BU25" i="64"/>
  <c r="BV25" i="64"/>
  <c r="BW25" i="64"/>
  <c r="BX25" i="64"/>
  <c r="BY25" i="64"/>
  <c r="BZ25" i="64"/>
  <c r="BG26" i="64"/>
  <c r="BH26" i="64"/>
  <c r="BI26" i="64"/>
  <c r="BJ26" i="64"/>
  <c r="BK26" i="64"/>
  <c r="BL26" i="64"/>
  <c r="BM26" i="64"/>
  <c r="BN26" i="64"/>
  <c r="BO26" i="64"/>
  <c r="BP26" i="64"/>
  <c r="BQ26" i="64"/>
  <c r="BR26" i="64"/>
  <c r="BS26" i="64"/>
  <c r="BT26" i="64"/>
  <c r="BU26" i="64"/>
  <c r="BV26" i="64"/>
  <c r="BW26" i="64"/>
  <c r="BX26" i="64"/>
  <c r="BY26" i="64"/>
  <c r="BZ26" i="64"/>
  <c r="BG27" i="64"/>
  <c r="BH27" i="64"/>
  <c r="BI27" i="64"/>
  <c r="BJ27" i="64"/>
  <c r="BK27" i="64"/>
  <c r="BL27" i="64"/>
  <c r="BM27" i="64"/>
  <c r="BN27" i="64"/>
  <c r="BO27" i="64"/>
  <c r="BP27" i="64"/>
  <c r="BQ27" i="64"/>
  <c r="BR27" i="64"/>
  <c r="BS27" i="64"/>
  <c r="BT27" i="64"/>
  <c r="BU27" i="64"/>
  <c r="BV27" i="64"/>
  <c r="BW27" i="64"/>
  <c r="BX27" i="64"/>
  <c r="BY27" i="64"/>
  <c r="BZ27" i="64"/>
  <c r="BG28" i="64"/>
  <c r="BH28" i="64"/>
  <c r="BI28" i="64"/>
  <c r="BJ28" i="64"/>
  <c r="BK28" i="64"/>
  <c r="BL28" i="64"/>
  <c r="BM28" i="64"/>
  <c r="BN28" i="64"/>
  <c r="BO28" i="64"/>
  <c r="BP28" i="64"/>
  <c r="BQ28" i="64"/>
  <c r="BR28" i="64"/>
  <c r="BS28" i="64"/>
  <c r="BT28" i="64"/>
  <c r="BU28" i="64"/>
  <c r="BV28" i="64"/>
  <c r="BW28" i="64"/>
  <c r="BX28" i="64"/>
  <c r="BY28" i="64"/>
  <c r="BZ28" i="64"/>
  <c r="BH29" i="64"/>
  <c r="BI29" i="64"/>
  <c r="BJ29" i="64"/>
  <c r="BK29" i="64"/>
  <c r="BM29" i="64"/>
  <c r="BN29" i="64"/>
  <c r="BO29" i="64"/>
  <c r="BP29" i="64"/>
  <c r="BQ29" i="64"/>
  <c r="BR29" i="64"/>
  <c r="BS29" i="64"/>
  <c r="BT29" i="64"/>
  <c r="BU29" i="64"/>
  <c r="BV29" i="64"/>
  <c r="BW29" i="64"/>
  <c r="BX29" i="64"/>
  <c r="BY29" i="64"/>
  <c r="BZ29" i="64"/>
  <c r="BG30" i="64"/>
  <c r="BI30" i="64"/>
  <c r="BJ30" i="64"/>
  <c r="BK30" i="64"/>
  <c r="BL30" i="64"/>
  <c r="BN30" i="64"/>
  <c r="BO30" i="64"/>
  <c r="BP30" i="64"/>
  <c r="BQ30" i="64"/>
  <c r="BR30" i="64"/>
  <c r="BS30" i="64"/>
  <c r="BT30" i="64"/>
  <c r="BU30" i="64"/>
  <c r="BV30" i="64"/>
  <c r="BW30" i="64"/>
  <c r="BX30" i="64"/>
  <c r="BY30" i="64"/>
  <c r="BZ30" i="64"/>
  <c r="BG31" i="64"/>
  <c r="BH31" i="64"/>
  <c r="BJ31" i="64"/>
  <c r="BK31" i="64"/>
  <c r="BL31" i="64"/>
  <c r="BM31" i="64"/>
  <c r="BO31" i="64"/>
  <c r="BP31" i="64"/>
  <c r="BQ31" i="64"/>
  <c r="BR31" i="64"/>
  <c r="BS31" i="64"/>
  <c r="BT31" i="64"/>
  <c r="BU31" i="64"/>
  <c r="BV31" i="64"/>
  <c r="BW31" i="64"/>
  <c r="BX31" i="64"/>
  <c r="BY31" i="64"/>
  <c r="BZ31" i="64"/>
  <c r="BG32" i="64"/>
  <c r="BH32" i="64"/>
  <c r="BI32" i="64"/>
  <c r="BK32" i="64"/>
  <c r="BL32" i="64"/>
  <c r="BM32" i="64"/>
  <c r="BN32" i="64"/>
  <c r="BP32" i="64"/>
  <c r="BQ32" i="64"/>
  <c r="BR32" i="64"/>
  <c r="BS32" i="64"/>
  <c r="BT32" i="64"/>
  <c r="BU32" i="64"/>
  <c r="BV32" i="64"/>
  <c r="BW32" i="64"/>
  <c r="BX32" i="64"/>
  <c r="BY32" i="64"/>
  <c r="BZ32" i="64"/>
  <c r="BG33" i="64"/>
  <c r="BH33" i="64"/>
  <c r="BI33" i="64"/>
  <c r="BJ33" i="64"/>
  <c r="BL33" i="64"/>
  <c r="BM33" i="64"/>
  <c r="BN33" i="64"/>
  <c r="BO33" i="64"/>
  <c r="BQ33" i="64"/>
  <c r="BR33" i="64"/>
  <c r="BS33" i="64"/>
  <c r="BT33" i="64"/>
  <c r="BU33" i="64"/>
  <c r="BV33" i="64"/>
  <c r="BW33" i="64"/>
  <c r="BX33" i="64"/>
  <c r="BY33" i="64"/>
  <c r="BZ33" i="64"/>
  <c r="BG34" i="64"/>
  <c r="BH34" i="64"/>
  <c r="BI34" i="64"/>
  <c r="BJ34" i="64"/>
  <c r="BK34" i="64"/>
  <c r="BL34" i="64"/>
  <c r="BM34" i="64"/>
  <c r="BN34" i="64"/>
  <c r="BO34" i="64"/>
  <c r="BP34" i="64"/>
  <c r="BQ34" i="64"/>
  <c r="BR34" i="64"/>
  <c r="BS34" i="64"/>
  <c r="BT34" i="64"/>
  <c r="BU34" i="64"/>
  <c r="BV34" i="64"/>
  <c r="BW34" i="64"/>
  <c r="BX34" i="64"/>
  <c r="BY34" i="64"/>
  <c r="BZ34" i="64"/>
  <c r="BG35" i="64"/>
  <c r="BH35" i="64"/>
  <c r="BI35" i="64"/>
  <c r="BJ35" i="64"/>
  <c r="BK35" i="64"/>
  <c r="BL35" i="64"/>
  <c r="BM35" i="64"/>
  <c r="BN35" i="64"/>
  <c r="BO35" i="64"/>
  <c r="BP35" i="64"/>
  <c r="BQ35" i="64"/>
  <c r="BR35" i="64"/>
  <c r="BS35" i="64"/>
  <c r="BT35" i="64"/>
  <c r="BU35" i="64"/>
  <c r="BV35" i="64"/>
  <c r="BW35" i="64"/>
  <c r="BX35" i="64"/>
  <c r="BY35" i="64"/>
  <c r="BZ35" i="64"/>
  <c r="BH36" i="64"/>
  <c r="BI36" i="64"/>
  <c r="BJ36" i="64"/>
  <c r="BK36" i="64"/>
  <c r="BL36" i="64"/>
  <c r="BM36" i="64"/>
  <c r="BN36" i="64"/>
  <c r="BO36" i="64"/>
  <c r="BP36" i="64"/>
  <c r="BQ36" i="64"/>
  <c r="BR36" i="64"/>
  <c r="BS36" i="64"/>
  <c r="BT36" i="64"/>
  <c r="BU36" i="64"/>
  <c r="BV36" i="64"/>
  <c r="BW36" i="64"/>
  <c r="BX36" i="64"/>
  <c r="BY36" i="64"/>
  <c r="BZ36" i="64"/>
  <c r="BZ9" i="64"/>
  <c r="BY9" i="64"/>
  <c r="BX9" i="64"/>
  <c r="BW9" i="64"/>
  <c r="BV9" i="64"/>
  <c r="BU9" i="64"/>
  <c r="BT9" i="64"/>
  <c r="BS9" i="64"/>
  <c r="BR9" i="64"/>
  <c r="BQ9" i="64"/>
  <c r="BP9" i="64"/>
  <c r="BO9" i="64"/>
  <c r="BN9" i="64"/>
  <c r="BM9" i="64"/>
  <c r="BL9" i="64"/>
  <c r="BK9" i="64"/>
  <c r="BJ9" i="64"/>
  <c r="BI9" i="64"/>
  <c r="BG9" i="64"/>
  <c r="BH10" i="63"/>
  <c r="BI10" i="63"/>
  <c r="BJ10" i="63"/>
  <c r="BK10" i="63"/>
  <c r="BL10" i="63"/>
  <c r="BM10" i="63"/>
  <c r="BN10" i="63"/>
  <c r="BO10" i="63"/>
  <c r="BP10" i="63"/>
  <c r="BQ10" i="63"/>
  <c r="BR10" i="63"/>
  <c r="BS10" i="63"/>
  <c r="BT10" i="63"/>
  <c r="BU10" i="63"/>
  <c r="BV10" i="63"/>
  <c r="BW10" i="63"/>
  <c r="BX10" i="63"/>
  <c r="BY10" i="63"/>
  <c r="BZ10" i="63"/>
  <c r="BG11" i="63"/>
  <c r="BI11" i="63"/>
  <c r="BJ11" i="63"/>
  <c r="BK11" i="63"/>
  <c r="BL11" i="63"/>
  <c r="BM11" i="63"/>
  <c r="BN11" i="63"/>
  <c r="BO11" i="63"/>
  <c r="BP11" i="63"/>
  <c r="BQ11" i="63"/>
  <c r="BR11" i="63"/>
  <c r="BS11" i="63"/>
  <c r="BT11" i="63"/>
  <c r="BU11" i="63"/>
  <c r="BV11" i="63"/>
  <c r="BW11" i="63"/>
  <c r="BX11" i="63"/>
  <c r="BY11" i="63"/>
  <c r="BZ11" i="63"/>
  <c r="BG12" i="63"/>
  <c r="BH12" i="63"/>
  <c r="BJ12" i="63"/>
  <c r="BK12" i="63"/>
  <c r="BL12" i="63"/>
  <c r="BM12" i="63"/>
  <c r="BO12" i="63"/>
  <c r="BP12" i="63"/>
  <c r="BQ12" i="63"/>
  <c r="BR12" i="63"/>
  <c r="BS12" i="63"/>
  <c r="BT12" i="63"/>
  <c r="BU12" i="63"/>
  <c r="BV12" i="63"/>
  <c r="BW12" i="63"/>
  <c r="BX12" i="63"/>
  <c r="BY12" i="63"/>
  <c r="BZ12" i="63"/>
  <c r="BG13" i="63"/>
  <c r="BH13" i="63"/>
  <c r="BI13" i="63"/>
  <c r="BK13" i="63"/>
  <c r="BL13" i="63"/>
  <c r="BM13" i="63"/>
  <c r="BN13" i="63"/>
  <c r="BO13" i="63"/>
  <c r="BP13" i="63"/>
  <c r="BQ13" i="63"/>
  <c r="BR13" i="63"/>
  <c r="BS13" i="63"/>
  <c r="BT13" i="63"/>
  <c r="BU13" i="63"/>
  <c r="BV13" i="63"/>
  <c r="BW13" i="63"/>
  <c r="BX13" i="63"/>
  <c r="BY13" i="63"/>
  <c r="BZ13" i="63"/>
  <c r="BG14" i="63"/>
  <c r="BH14" i="63"/>
  <c r="BI14" i="63"/>
  <c r="BJ14" i="63"/>
  <c r="BL14" i="63"/>
  <c r="BM14" i="63"/>
  <c r="BN14" i="63"/>
  <c r="BO14" i="63"/>
  <c r="BP14" i="63"/>
  <c r="BQ14" i="63"/>
  <c r="BR14" i="63"/>
  <c r="BS14" i="63"/>
  <c r="BT14" i="63"/>
  <c r="BU14" i="63"/>
  <c r="BV14" i="63"/>
  <c r="BW14" i="63"/>
  <c r="BX14" i="63"/>
  <c r="BY14" i="63"/>
  <c r="BZ14" i="63"/>
  <c r="BG15" i="63"/>
  <c r="BH15" i="63"/>
  <c r="BI15" i="63"/>
  <c r="BJ15" i="63"/>
  <c r="BK15" i="63"/>
  <c r="BL15" i="63"/>
  <c r="BM15" i="63"/>
  <c r="BN15" i="63"/>
  <c r="BO15" i="63"/>
  <c r="BP15" i="63"/>
  <c r="BQ15" i="63"/>
  <c r="BR15" i="63"/>
  <c r="BS15" i="63"/>
  <c r="BT15" i="63"/>
  <c r="BU15" i="63"/>
  <c r="BV15" i="63"/>
  <c r="BW15" i="63"/>
  <c r="BX15" i="63"/>
  <c r="BY15" i="63"/>
  <c r="BZ15" i="63"/>
  <c r="BG16" i="63"/>
  <c r="BH16" i="63"/>
  <c r="BI16" i="63"/>
  <c r="BJ16" i="63"/>
  <c r="BK16" i="63"/>
  <c r="BL16" i="63"/>
  <c r="BM16" i="63"/>
  <c r="BN16" i="63"/>
  <c r="BO16" i="63"/>
  <c r="BP16" i="63"/>
  <c r="BQ16" i="63"/>
  <c r="BR16" i="63"/>
  <c r="BS16" i="63"/>
  <c r="BT16" i="63"/>
  <c r="BU16" i="63"/>
  <c r="BV16" i="63"/>
  <c r="BW16" i="63"/>
  <c r="BX16" i="63"/>
  <c r="BY16" i="63"/>
  <c r="BZ16" i="63"/>
  <c r="BH17" i="63"/>
  <c r="BI17" i="63"/>
  <c r="BJ17" i="63"/>
  <c r="BK17" i="63"/>
  <c r="BL17" i="63"/>
  <c r="BM17" i="63"/>
  <c r="BN17" i="63"/>
  <c r="BO17" i="63"/>
  <c r="BP17" i="63"/>
  <c r="BQ17" i="63"/>
  <c r="BR17" i="63"/>
  <c r="BS17" i="63"/>
  <c r="BT17" i="63"/>
  <c r="BU17" i="63"/>
  <c r="BV17" i="63"/>
  <c r="BW17" i="63"/>
  <c r="BX17" i="63"/>
  <c r="BY17" i="63"/>
  <c r="BZ17" i="63"/>
  <c r="BG18" i="63"/>
  <c r="BI18" i="63"/>
  <c r="BJ18" i="63"/>
  <c r="BK18" i="63"/>
  <c r="BL18" i="63"/>
  <c r="BM18" i="63"/>
  <c r="BN18" i="63"/>
  <c r="BO18" i="63"/>
  <c r="BP18" i="63"/>
  <c r="BQ18" i="63"/>
  <c r="BR18" i="63"/>
  <c r="BS18" i="63"/>
  <c r="BT18" i="63"/>
  <c r="BU18" i="63"/>
  <c r="BV18" i="63"/>
  <c r="BW18" i="63"/>
  <c r="BX18" i="63"/>
  <c r="BY18" i="63"/>
  <c r="BZ18" i="63"/>
  <c r="BG19" i="63"/>
  <c r="BH19" i="63"/>
  <c r="BJ19" i="63"/>
  <c r="BK19" i="63"/>
  <c r="BL19" i="63"/>
  <c r="BM19" i="63"/>
  <c r="BO19" i="63"/>
  <c r="BP19" i="63"/>
  <c r="BQ19" i="63"/>
  <c r="BR19" i="63"/>
  <c r="BS19" i="63"/>
  <c r="BT19" i="63"/>
  <c r="BU19" i="63"/>
  <c r="BV19" i="63"/>
  <c r="BW19" i="63"/>
  <c r="BX19" i="63"/>
  <c r="BY19" i="63"/>
  <c r="BZ19" i="63"/>
  <c r="BG20" i="63"/>
  <c r="BH20" i="63"/>
  <c r="BI20" i="63"/>
  <c r="BK20" i="63"/>
  <c r="BL20" i="63"/>
  <c r="BM20" i="63"/>
  <c r="BN20" i="63"/>
  <c r="BO20" i="63"/>
  <c r="BP20" i="63"/>
  <c r="BQ20" i="63"/>
  <c r="BR20" i="63"/>
  <c r="BS20" i="63"/>
  <c r="BT20" i="63"/>
  <c r="BU20" i="63"/>
  <c r="BV20" i="63"/>
  <c r="BW20" i="63"/>
  <c r="BX20" i="63"/>
  <c r="BY20" i="63"/>
  <c r="BZ20" i="63"/>
  <c r="BG21" i="63"/>
  <c r="BH21" i="63"/>
  <c r="BI21" i="63"/>
  <c r="BJ21" i="63"/>
  <c r="BL21" i="63"/>
  <c r="BM21" i="63"/>
  <c r="BN21" i="63"/>
  <c r="BO21" i="63"/>
  <c r="BP21" i="63"/>
  <c r="BQ21" i="63"/>
  <c r="BR21" i="63"/>
  <c r="BS21" i="63"/>
  <c r="BT21" i="63"/>
  <c r="BU21" i="63"/>
  <c r="BV21" i="63"/>
  <c r="BW21" i="63"/>
  <c r="BX21" i="63"/>
  <c r="BY21" i="63"/>
  <c r="BZ21" i="63"/>
  <c r="BG22" i="63"/>
  <c r="BH22" i="63"/>
  <c r="BI22" i="63"/>
  <c r="BJ22" i="63"/>
  <c r="BK22" i="63"/>
  <c r="BL22" i="63"/>
  <c r="BM22" i="63"/>
  <c r="BN22" i="63"/>
  <c r="BO22" i="63"/>
  <c r="BP22" i="63"/>
  <c r="BQ22" i="63"/>
  <c r="BR22" i="63"/>
  <c r="BS22" i="63"/>
  <c r="BT22" i="63"/>
  <c r="BU22" i="63"/>
  <c r="BV22" i="63"/>
  <c r="BW22" i="63"/>
  <c r="BX22" i="63"/>
  <c r="BY22" i="63"/>
  <c r="BZ22" i="63"/>
  <c r="BG23" i="63"/>
  <c r="BH23" i="63"/>
  <c r="BI23" i="63"/>
  <c r="BJ23" i="63"/>
  <c r="BK23" i="63"/>
  <c r="BL23" i="63"/>
  <c r="BM23" i="63"/>
  <c r="BN23" i="63"/>
  <c r="BO23" i="63"/>
  <c r="BP23" i="63"/>
  <c r="BQ23" i="63"/>
  <c r="BR23" i="63"/>
  <c r="BS23" i="63"/>
  <c r="BT23" i="63"/>
  <c r="BU23" i="63"/>
  <c r="BV23" i="63"/>
  <c r="BW23" i="63"/>
  <c r="BX23" i="63"/>
  <c r="BY23" i="63"/>
  <c r="BZ23" i="63"/>
  <c r="BH24" i="63"/>
  <c r="BI24" i="63"/>
  <c r="BJ24" i="63"/>
  <c r="BK24" i="63"/>
  <c r="BL24" i="63"/>
  <c r="BM24" i="63"/>
  <c r="BN24" i="63"/>
  <c r="BO24" i="63"/>
  <c r="BP24" i="63"/>
  <c r="BQ24" i="63"/>
  <c r="BR24" i="63"/>
  <c r="BS24" i="63"/>
  <c r="BT24" i="63"/>
  <c r="BU24" i="63"/>
  <c r="BV24" i="63"/>
  <c r="BW24" i="63"/>
  <c r="BX24" i="63"/>
  <c r="BY24" i="63"/>
  <c r="BZ24" i="63"/>
  <c r="BG25" i="63"/>
  <c r="BI25" i="63"/>
  <c r="BJ25" i="63"/>
  <c r="BK25" i="63"/>
  <c r="BL25" i="63"/>
  <c r="BM25" i="63"/>
  <c r="BN25" i="63"/>
  <c r="BO25" i="63"/>
  <c r="BP25" i="63"/>
  <c r="BQ25" i="63"/>
  <c r="BR25" i="63"/>
  <c r="BS25" i="63"/>
  <c r="BT25" i="63"/>
  <c r="BU25" i="63"/>
  <c r="BV25" i="63"/>
  <c r="BW25" i="63"/>
  <c r="BX25" i="63"/>
  <c r="BY25" i="63"/>
  <c r="BZ25" i="63"/>
  <c r="BG26" i="63"/>
  <c r="BH26" i="63"/>
  <c r="BJ26" i="63"/>
  <c r="BK26" i="63"/>
  <c r="BL26" i="63"/>
  <c r="BM26" i="63"/>
  <c r="BO26" i="63"/>
  <c r="BP26" i="63"/>
  <c r="BQ26" i="63"/>
  <c r="BR26" i="63"/>
  <c r="BS26" i="63"/>
  <c r="BT26" i="63"/>
  <c r="BU26" i="63"/>
  <c r="BV26" i="63"/>
  <c r="BW26" i="63"/>
  <c r="BX26" i="63"/>
  <c r="BY26" i="63"/>
  <c r="BZ26" i="63"/>
  <c r="BG27" i="63"/>
  <c r="BH27" i="63"/>
  <c r="BI27" i="63"/>
  <c r="BK27" i="63"/>
  <c r="BL27" i="63"/>
  <c r="BM27" i="63"/>
  <c r="BN27" i="63"/>
  <c r="BO27" i="63"/>
  <c r="BP27" i="63"/>
  <c r="BQ27" i="63"/>
  <c r="BR27" i="63"/>
  <c r="BS27" i="63"/>
  <c r="BT27" i="63"/>
  <c r="BU27" i="63"/>
  <c r="BV27" i="63"/>
  <c r="BW27" i="63"/>
  <c r="BX27" i="63"/>
  <c r="BY27" i="63"/>
  <c r="BZ27" i="63"/>
  <c r="BG28" i="63"/>
  <c r="BH28" i="63"/>
  <c r="BI28" i="63"/>
  <c r="BJ28" i="63"/>
  <c r="BL28" i="63"/>
  <c r="BM28" i="63"/>
  <c r="BN28" i="63"/>
  <c r="BO28" i="63"/>
  <c r="BP28" i="63"/>
  <c r="BQ28" i="63"/>
  <c r="BR28" i="63"/>
  <c r="BS28" i="63"/>
  <c r="BT28" i="63"/>
  <c r="BU28" i="63"/>
  <c r="BV28" i="63"/>
  <c r="BW28" i="63"/>
  <c r="BX28" i="63"/>
  <c r="BY28" i="63"/>
  <c r="BZ28" i="63"/>
  <c r="BG29" i="63"/>
  <c r="BH29" i="63"/>
  <c r="BI29" i="63"/>
  <c r="BJ29" i="63"/>
  <c r="BK29" i="63"/>
  <c r="BL29" i="63"/>
  <c r="BM29" i="63"/>
  <c r="BN29" i="63"/>
  <c r="BO29" i="63"/>
  <c r="BP29" i="63"/>
  <c r="BQ29" i="63"/>
  <c r="BR29" i="63"/>
  <c r="BS29" i="63"/>
  <c r="BT29" i="63"/>
  <c r="BU29" i="63"/>
  <c r="BV29" i="63"/>
  <c r="BW29" i="63"/>
  <c r="BX29" i="63"/>
  <c r="BY29" i="63"/>
  <c r="BZ29" i="63"/>
  <c r="BG30" i="63"/>
  <c r="BH30" i="63"/>
  <c r="BI30" i="63"/>
  <c r="BJ30" i="63"/>
  <c r="BK30" i="63"/>
  <c r="BL30" i="63"/>
  <c r="BM30" i="63"/>
  <c r="BN30" i="63"/>
  <c r="BO30" i="63"/>
  <c r="BP30" i="63"/>
  <c r="BQ30" i="63"/>
  <c r="BR30" i="63"/>
  <c r="BS30" i="63"/>
  <c r="BT30" i="63"/>
  <c r="BU30" i="63"/>
  <c r="BV30" i="63"/>
  <c r="BW30" i="63"/>
  <c r="BX30" i="63"/>
  <c r="BY30" i="63"/>
  <c r="BZ30" i="63"/>
  <c r="BH31" i="63"/>
  <c r="BI31" i="63"/>
  <c r="BJ31" i="63"/>
  <c r="BK31" i="63"/>
  <c r="BL31" i="63"/>
  <c r="BM31" i="63"/>
  <c r="BN31" i="63"/>
  <c r="BO31" i="63"/>
  <c r="BP31" i="63"/>
  <c r="BQ31" i="63"/>
  <c r="BR31" i="63"/>
  <c r="BS31" i="63"/>
  <c r="BT31" i="63"/>
  <c r="BU31" i="63"/>
  <c r="BV31" i="63"/>
  <c r="BW31" i="63"/>
  <c r="BX31" i="63"/>
  <c r="BY31" i="63"/>
  <c r="BZ31" i="63"/>
  <c r="BG32" i="63"/>
  <c r="BI32" i="63"/>
  <c r="BJ32" i="63"/>
  <c r="BK32" i="63"/>
  <c r="BL32" i="63"/>
  <c r="BM32" i="63"/>
  <c r="BN32" i="63"/>
  <c r="BO32" i="63"/>
  <c r="BP32" i="63"/>
  <c r="BQ32" i="63"/>
  <c r="BR32" i="63"/>
  <c r="BS32" i="63"/>
  <c r="BT32" i="63"/>
  <c r="BU32" i="63"/>
  <c r="BV32" i="63"/>
  <c r="BW32" i="63"/>
  <c r="BX32" i="63"/>
  <c r="BY32" i="63"/>
  <c r="BZ32" i="63"/>
  <c r="BG33" i="63"/>
  <c r="BH33" i="63"/>
  <c r="BJ33" i="63"/>
  <c r="BK33" i="63"/>
  <c r="BL33" i="63"/>
  <c r="BM33" i="63"/>
  <c r="BO33" i="63"/>
  <c r="BP33" i="63"/>
  <c r="BQ33" i="63"/>
  <c r="BR33" i="63"/>
  <c r="BS33" i="63"/>
  <c r="BT33" i="63"/>
  <c r="BU33" i="63"/>
  <c r="BV33" i="63"/>
  <c r="BW33" i="63"/>
  <c r="BX33" i="63"/>
  <c r="BY33" i="63"/>
  <c r="BZ33" i="63"/>
  <c r="BG34" i="63"/>
  <c r="BH34" i="63"/>
  <c r="BI34" i="63"/>
  <c r="BK34" i="63"/>
  <c r="BL34" i="63"/>
  <c r="BM34" i="63"/>
  <c r="BN34" i="63"/>
  <c r="BO34" i="63"/>
  <c r="BP34" i="63"/>
  <c r="BQ34" i="63"/>
  <c r="BR34" i="63"/>
  <c r="BS34" i="63"/>
  <c r="BT34" i="63"/>
  <c r="BU34" i="63"/>
  <c r="BV34" i="63"/>
  <c r="BW34" i="63"/>
  <c r="BX34" i="63"/>
  <c r="BY34" i="63"/>
  <c r="BZ34" i="63"/>
  <c r="BG35" i="63"/>
  <c r="BH35" i="63"/>
  <c r="BI35" i="63"/>
  <c r="BJ35" i="63"/>
  <c r="BL35" i="63"/>
  <c r="BM35" i="63"/>
  <c r="BN35" i="63"/>
  <c r="BO35" i="63"/>
  <c r="BP35" i="63"/>
  <c r="BQ35" i="63"/>
  <c r="BR35" i="63"/>
  <c r="BS35" i="63"/>
  <c r="BT35" i="63"/>
  <c r="BU35" i="63"/>
  <c r="BV35" i="63"/>
  <c r="BW35" i="63"/>
  <c r="BX35" i="63"/>
  <c r="BY35" i="63"/>
  <c r="BZ35" i="63"/>
  <c r="BG36" i="63"/>
  <c r="BH36" i="63"/>
  <c r="BI36" i="63"/>
  <c r="BJ36" i="63"/>
  <c r="BK36" i="63"/>
  <c r="BL36" i="63"/>
  <c r="BM36" i="63"/>
  <c r="BN36" i="63"/>
  <c r="BO36" i="63"/>
  <c r="BP36" i="63"/>
  <c r="BQ36" i="63"/>
  <c r="BR36" i="63"/>
  <c r="BS36" i="63"/>
  <c r="BT36" i="63"/>
  <c r="BU36" i="63"/>
  <c r="BV36" i="63"/>
  <c r="BW36" i="63"/>
  <c r="BX36" i="63"/>
  <c r="BY36" i="63"/>
  <c r="BZ36" i="63"/>
  <c r="BG37" i="63"/>
  <c r="BH37" i="63"/>
  <c r="BI37" i="63"/>
  <c r="BJ37" i="63"/>
  <c r="BK37" i="63"/>
  <c r="BL37" i="63"/>
  <c r="BM37" i="63"/>
  <c r="BN37" i="63"/>
  <c r="BO37" i="63"/>
  <c r="BP37" i="63"/>
  <c r="BQ37" i="63"/>
  <c r="BR37" i="63"/>
  <c r="BS37" i="63"/>
  <c r="BT37" i="63"/>
  <c r="BU37" i="63"/>
  <c r="BV37" i="63"/>
  <c r="BW37" i="63"/>
  <c r="BX37" i="63"/>
  <c r="BY37" i="63"/>
  <c r="BZ37" i="63"/>
  <c r="BH38" i="63"/>
  <c r="BI38" i="63"/>
  <c r="BJ38" i="63"/>
  <c r="BK38" i="63"/>
  <c r="BL38" i="63"/>
  <c r="BM38" i="63"/>
  <c r="BN38" i="63"/>
  <c r="BO38" i="63"/>
  <c r="BP38" i="63"/>
  <c r="BQ38" i="63"/>
  <c r="BR38" i="63"/>
  <c r="BS38" i="63"/>
  <c r="BT38" i="63"/>
  <c r="BU38" i="63"/>
  <c r="BV38" i="63"/>
  <c r="BW38" i="63"/>
  <c r="BX38" i="63"/>
  <c r="BY38" i="63"/>
  <c r="BZ38" i="63"/>
  <c r="BZ9" i="63"/>
  <c r="BY9" i="63"/>
  <c r="BX9" i="63"/>
  <c r="BW9" i="63"/>
  <c r="BV9" i="63"/>
  <c r="BU9" i="63"/>
  <c r="BT9" i="63"/>
  <c r="BS9" i="63"/>
  <c r="BR9" i="63"/>
  <c r="BQ9" i="63"/>
  <c r="BP9" i="63"/>
  <c r="BO9" i="63"/>
  <c r="BN9" i="63"/>
  <c r="BM9" i="63"/>
  <c r="BL9" i="63"/>
  <c r="BK9" i="63"/>
  <c r="BJ9" i="63"/>
  <c r="BI9" i="63"/>
  <c r="BH9" i="63"/>
  <c r="BG9" i="63"/>
  <c r="BV11" i="41"/>
  <c r="BW11" i="41"/>
  <c r="BX11" i="41"/>
  <c r="BY11" i="41"/>
  <c r="BZ11" i="41"/>
  <c r="BV12" i="41"/>
  <c r="BW12" i="41"/>
  <c r="BX12" i="41"/>
  <c r="BY12" i="41"/>
  <c r="BZ12" i="41"/>
  <c r="BV13" i="41"/>
  <c r="BW13" i="41"/>
  <c r="BX13" i="41"/>
  <c r="BY13" i="41"/>
  <c r="BZ13" i="41"/>
  <c r="BV14" i="41"/>
  <c r="BW14" i="41"/>
  <c r="BX14" i="41"/>
  <c r="BY14" i="41"/>
  <c r="BZ14" i="41"/>
  <c r="BV15" i="41"/>
  <c r="BW15" i="41"/>
  <c r="BX15" i="41"/>
  <c r="BY15" i="41"/>
  <c r="BZ15" i="41"/>
  <c r="BV16" i="41"/>
  <c r="BW16" i="41"/>
  <c r="BX16" i="41"/>
  <c r="BY16" i="41"/>
  <c r="BZ16" i="41"/>
  <c r="BV17" i="41"/>
  <c r="BW17" i="41"/>
  <c r="BX17" i="41"/>
  <c r="BY17" i="41"/>
  <c r="BZ17" i="41"/>
  <c r="BV18" i="41"/>
  <c r="BW18" i="41"/>
  <c r="BX18" i="41"/>
  <c r="BY18" i="41"/>
  <c r="BZ18" i="41"/>
  <c r="BV19" i="41"/>
  <c r="BW19" i="41"/>
  <c r="BX19" i="41"/>
  <c r="BY19" i="41"/>
  <c r="BZ19" i="41"/>
  <c r="BV20" i="41"/>
  <c r="BW20" i="41"/>
  <c r="BX20" i="41"/>
  <c r="BY20" i="41"/>
  <c r="BZ20" i="41"/>
  <c r="BW21" i="41"/>
  <c r="BX21" i="41"/>
  <c r="BY21" i="41"/>
  <c r="BZ21" i="41"/>
  <c r="BV22" i="41"/>
  <c r="BX22" i="41"/>
  <c r="BY22" i="41"/>
  <c r="BZ22" i="41"/>
  <c r="BV23" i="41"/>
  <c r="BW23" i="41"/>
  <c r="BY23" i="41"/>
  <c r="BZ23" i="41"/>
  <c r="BV24" i="41"/>
  <c r="BW24" i="41"/>
  <c r="BX24" i="41"/>
  <c r="BZ24" i="41"/>
  <c r="BV25" i="41"/>
  <c r="BW25" i="41"/>
  <c r="BX25" i="41"/>
  <c r="BY25" i="41"/>
  <c r="BV26" i="41"/>
  <c r="BW26" i="41"/>
  <c r="BX26" i="41"/>
  <c r="BY26" i="41"/>
  <c r="BZ26" i="41"/>
  <c r="BV27" i="41"/>
  <c r="BW27" i="41"/>
  <c r="BX27" i="41"/>
  <c r="BY27" i="41"/>
  <c r="BZ27" i="41"/>
  <c r="BW28" i="41"/>
  <c r="BX28" i="41"/>
  <c r="BY28" i="41"/>
  <c r="BZ28" i="41"/>
  <c r="BV29" i="41"/>
  <c r="BX29" i="41"/>
  <c r="BY29" i="41"/>
  <c r="BZ29" i="41"/>
  <c r="BV30" i="41"/>
  <c r="BW30" i="41"/>
  <c r="BY30" i="41"/>
  <c r="BZ30" i="41"/>
  <c r="BV31" i="41"/>
  <c r="BW31" i="41"/>
  <c r="BX31" i="41"/>
  <c r="BZ31" i="41"/>
  <c r="BV32" i="41"/>
  <c r="BW32" i="41"/>
  <c r="BX32" i="41"/>
  <c r="BY32" i="41"/>
  <c r="BV33" i="41"/>
  <c r="BW33" i="41"/>
  <c r="BX33" i="41"/>
  <c r="BY33" i="41"/>
  <c r="BZ33" i="41"/>
  <c r="BV34" i="41"/>
  <c r="BW34" i="41"/>
  <c r="BX34" i="41"/>
  <c r="BY34" i="41"/>
  <c r="BZ34" i="41"/>
  <c r="BV35" i="41"/>
  <c r="BW35" i="41"/>
  <c r="BX35" i="41"/>
  <c r="BY35" i="41"/>
  <c r="BZ35" i="41"/>
  <c r="BV36" i="41"/>
  <c r="BX36" i="41"/>
  <c r="BY36" i="41"/>
  <c r="BZ36" i="41"/>
  <c r="BV37" i="41"/>
  <c r="BW37" i="41"/>
  <c r="BX37" i="41"/>
  <c r="BY37" i="41"/>
  <c r="BZ37" i="41"/>
  <c r="BV38" i="41"/>
  <c r="BW38" i="41"/>
  <c r="BX38" i="41"/>
  <c r="BY38" i="41"/>
  <c r="BZ38" i="41"/>
  <c r="BV39" i="41"/>
  <c r="BW39" i="41"/>
  <c r="BX39" i="41"/>
  <c r="BY39" i="41"/>
  <c r="BV40" i="41"/>
  <c r="BW40" i="41"/>
  <c r="BX40" i="41"/>
  <c r="BY40" i="41"/>
  <c r="BZ40" i="41"/>
  <c r="BZ10" i="41"/>
  <c r="BY10" i="41"/>
  <c r="BX10" i="41"/>
  <c r="BW10" i="41"/>
  <c r="BV10" i="41"/>
  <c r="BQ40" i="41"/>
  <c r="BR40" i="41"/>
  <c r="BS40" i="41"/>
  <c r="BT40" i="41"/>
  <c r="BU40" i="41"/>
  <c r="BQ11" i="41"/>
  <c r="BR11" i="41"/>
  <c r="BS11" i="41"/>
  <c r="BT11" i="41"/>
  <c r="BU11" i="41"/>
  <c r="BQ12" i="41"/>
  <c r="BR12" i="41"/>
  <c r="BS12" i="41"/>
  <c r="BT12" i="41"/>
  <c r="BU12" i="41"/>
  <c r="BQ13" i="41"/>
  <c r="BR13" i="41"/>
  <c r="BS13" i="41"/>
  <c r="BT13" i="41"/>
  <c r="BU13" i="41"/>
  <c r="BQ14" i="41"/>
  <c r="BR14" i="41"/>
  <c r="BS14" i="41"/>
  <c r="BT14" i="41"/>
  <c r="BU14" i="41"/>
  <c r="BQ15" i="41"/>
  <c r="BR15" i="41"/>
  <c r="BS15" i="41"/>
  <c r="BT15" i="41"/>
  <c r="BU15" i="41"/>
  <c r="BQ16" i="41"/>
  <c r="BR16" i="41"/>
  <c r="BS16" i="41"/>
  <c r="BT16" i="41"/>
  <c r="BU16" i="41"/>
  <c r="BQ17" i="41"/>
  <c r="BR17" i="41"/>
  <c r="BS17" i="41"/>
  <c r="BT17" i="41"/>
  <c r="BU17" i="41"/>
  <c r="BQ18" i="41"/>
  <c r="BR18" i="41"/>
  <c r="BS18" i="41"/>
  <c r="BT18" i="41"/>
  <c r="BU18" i="41"/>
  <c r="BQ19" i="41"/>
  <c r="BR19" i="41"/>
  <c r="BS19" i="41"/>
  <c r="BT19" i="41"/>
  <c r="BU19" i="41"/>
  <c r="BQ20" i="41"/>
  <c r="BR20" i="41"/>
  <c r="BS20" i="41"/>
  <c r="BT20" i="41"/>
  <c r="BU20" i="41"/>
  <c r="BQ21" i="41"/>
  <c r="BR21" i="41"/>
  <c r="BS21" i="41"/>
  <c r="BT21" i="41"/>
  <c r="BU21" i="41"/>
  <c r="BQ22" i="41"/>
  <c r="BS22" i="41"/>
  <c r="BT22" i="41"/>
  <c r="BU22" i="41"/>
  <c r="BQ23" i="41"/>
  <c r="BR23" i="41"/>
  <c r="BT23" i="41"/>
  <c r="BU23" i="41"/>
  <c r="BQ24" i="41"/>
  <c r="BR24" i="41"/>
  <c r="BS24" i="41"/>
  <c r="BU24" i="41"/>
  <c r="BQ25" i="41"/>
  <c r="BR25" i="41"/>
  <c r="BS25" i="41"/>
  <c r="BT25" i="41"/>
  <c r="BQ26" i="41"/>
  <c r="BR26" i="41"/>
  <c r="BS26" i="41"/>
  <c r="BT26" i="41"/>
  <c r="BU26" i="41"/>
  <c r="BQ27" i="41"/>
  <c r="BR27" i="41"/>
  <c r="BS27" i="41"/>
  <c r="BT27" i="41"/>
  <c r="BU27" i="41"/>
  <c r="BQ28" i="41"/>
  <c r="BR28" i="41"/>
  <c r="BS28" i="41"/>
  <c r="BT28" i="41"/>
  <c r="BU28" i="41"/>
  <c r="BQ29" i="41"/>
  <c r="BS29" i="41"/>
  <c r="BT29" i="41"/>
  <c r="BU29" i="41"/>
  <c r="BQ30" i="41"/>
  <c r="BR30" i="41"/>
  <c r="BT30" i="41"/>
  <c r="BU30" i="41"/>
  <c r="BQ31" i="41"/>
  <c r="BR31" i="41"/>
  <c r="BS31" i="41"/>
  <c r="BU31" i="41"/>
  <c r="BQ32" i="41"/>
  <c r="BR32" i="41"/>
  <c r="BS32" i="41"/>
  <c r="BT32" i="41"/>
  <c r="BQ33" i="41"/>
  <c r="BR33" i="41"/>
  <c r="BS33" i="41"/>
  <c r="BT33" i="41"/>
  <c r="BU33" i="41"/>
  <c r="BQ34" i="41"/>
  <c r="BR34" i="41"/>
  <c r="BS34" i="41"/>
  <c r="BT34" i="41"/>
  <c r="BU34" i="41"/>
  <c r="BQ35" i="41"/>
  <c r="BR35" i="41"/>
  <c r="BS35" i="41"/>
  <c r="BT35" i="41"/>
  <c r="BU35" i="41"/>
  <c r="BQ36" i="41"/>
  <c r="BS36" i="41"/>
  <c r="BT36" i="41"/>
  <c r="BU36" i="41"/>
  <c r="BQ37" i="41"/>
  <c r="BR37" i="41"/>
  <c r="BT37" i="41"/>
  <c r="BU37" i="41"/>
  <c r="BQ38" i="41"/>
  <c r="BR38" i="41"/>
  <c r="BS38" i="41"/>
  <c r="BU38" i="41"/>
  <c r="BQ39" i="41"/>
  <c r="BR39" i="41"/>
  <c r="BS39" i="41"/>
  <c r="BT39" i="41"/>
  <c r="BU10" i="41"/>
  <c r="BT10" i="41"/>
  <c r="BS10" i="41"/>
  <c r="BR10" i="41"/>
  <c r="BQ10" i="41"/>
  <c r="BL11" i="41"/>
  <c r="BM11" i="41"/>
  <c r="BN11" i="41"/>
  <c r="BO11" i="41"/>
  <c r="BP11" i="41"/>
  <c r="BL12" i="41"/>
  <c r="BM12" i="41"/>
  <c r="BN12" i="41"/>
  <c r="BO12" i="41"/>
  <c r="BP12" i="41"/>
  <c r="BL13" i="41"/>
  <c r="BM13" i="41"/>
  <c r="BN13" i="41"/>
  <c r="BO13" i="41"/>
  <c r="BP13" i="41"/>
  <c r="BL14" i="41"/>
  <c r="BM14" i="41"/>
  <c r="BN14" i="41"/>
  <c r="BO14" i="41"/>
  <c r="BP14" i="41"/>
  <c r="BL15" i="41"/>
  <c r="BM15" i="41"/>
  <c r="BN15" i="41"/>
  <c r="BO15" i="41"/>
  <c r="BP15" i="41"/>
  <c r="BL16" i="41"/>
  <c r="BM16" i="41"/>
  <c r="BN16" i="41"/>
  <c r="BO16" i="41"/>
  <c r="BP16" i="41"/>
  <c r="BL17" i="41"/>
  <c r="BM17" i="41"/>
  <c r="BN17" i="41"/>
  <c r="BO17" i="41"/>
  <c r="BP17" i="41"/>
  <c r="BL18" i="41"/>
  <c r="BM18" i="41"/>
  <c r="BN18" i="41"/>
  <c r="BO18" i="41"/>
  <c r="BP18" i="41"/>
  <c r="BL19" i="41"/>
  <c r="BM19" i="41"/>
  <c r="BN19" i="41"/>
  <c r="BO19" i="41"/>
  <c r="BP19" i="41"/>
  <c r="BL20" i="41"/>
  <c r="BM20" i="41"/>
  <c r="BN20" i="41"/>
  <c r="BO20" i="41"/>
  <c r="BP20" i="41"/>
  <c r="BM21" i="41"/>
  <c r="BN21" i="41"/>
  <c r="BO21" i="41"/>
  <c r="BP21" i="41"/>
  <c r="BL22" i="41"/>
  <c r="BN22" i="41"/>
  <c r="BO22" i="41"/>
  <c r="BP22" i="41"/>
  <c r="BL23" i="41"/>
  <c r="BM23" i="41"/>
  <c r="BO23" i="41"/>
  <c r="BP23" i="41"/>
  <c r="BL24" i="41"/>
  <c r="BM24" i="41"/>
  <c r="BN24" i="41"/>
  <c r="BP24" i="41"/>
  <c r="BL25" i="41"/>
  <c r="BM25" i="41"/>
  <c r="BN25" i="41"/>
  <c r="BO25" i="41"/>
  <c r="BL26" i="41"/>
  <c r="BM26" i="41"/>
  <c r="BN26" i="41"/>
  <c r="BO26" i="41"/>
  <c r="BP26" i="41"/>
  <c r="BL27" i="41"/>
  <c r="BM27" i="41"/>
  <c r="BN27" i="41"/>
  <c r="BO27" i="41"/>
  <c r="BP27" i="41"/>
  <c r="BL28" i="41"/>
  <c r="BM28" i="41"/>
  <c r="BN28" i="41"/>
  <c r="BO28" i="41"/>
  <c r="BP28" i="41"/>
  <c r="BL29" i="41"/>
  <c r="BN29" i="41"/>
  <c r="BO29" i="41"/>
  <c r="BP29" i="41"/>
  <c r="BL30" i="41"/>
  <c r="BM30" i="41"/>
  <c r="BO30" i="41"/>
  <c r="BP30" i="41"/>
  <c r="BL31" i="41"/>
  <c r="BM31" i="41"/>
  <c r="BN31" i="41"/>
  <c r="BP31" i="41"/>
  <c r="BL32" i="41"/>
  <c r="BM32" i="41"/>
  <c r="BN32" i="41"/>
  <c r="BO32" i="41"/>
  <c r="BL33" i="41"/>
  <c r="BM33" i="41"/>
  <c r="BN33" i="41"/>
  <c r="BO33" i="41"/>
  <c r="BP33" i="41"/>
  <c r="BL34" i="41"/>
  <c r="BM34" i="41"/>
  <c r="BN34" i="41"/>
  <c r="BO34" i="41"/>
  <c r="BP34" i="41"/>
  <c r="BM35" i="41"/>
  <c r="BN35" i="41"/>
  <c r="BO35" i="41"/>
  <c r="BP35" i="41"/>
  <c r="BL36" i="41"/>
  <c r="BN36" i="41"/>
  <c r="BO36" i="41"/>
  <c r="BP36" i="41"/>
  <c r="BL37" i="41"/>
  <c r="BM37" i="41"/>
  <c r="BO37" i="41"/>
  <c r="BP37" i="41"/>
  <c r="BL38" i="41"/>
  <c r="BM38" i="41"/>
  <c r="BN38" i="41"/>
  <c r="BP38" i="41"/>
  <c r="BL39" i="41"/>
  <c r="BM39" i="41"/>
  <c r="BN39" i="41"/>
  <c r="BO39" i="41"/>
  <c r="BL40" i="41"/>
  <c r="BM40" i="41"/>
  <c r="BN40" i="41"/>
  <c r="BO40" i="41"/>
  <c r="BP40" i="41"/>
  <c r="BP10" i="41"/>
  <c r="BO10" i="41"/>
  <c r="BN10" i="41"/>
  <c r="BM10" i="41"/>
  <c r="BL10" i="41"/>
  <c r="BG11" i="41"/>
  <c r="BG12" i="41"/>
  <c r="BG13" i="41"/>
  <c r="BG15" i="41"/>
  <c r="BG16" i="41"/>
  <c r="BG17" i="41"/>
  <c r="BG18" i="41"/>
  <c r="BG19" i="41"/>
  <c r="BG20" i="41"/>
  <c r="BG22" i="41"/>
  <c r="BG23" i="41"/>
  <c r="BG24" i="41"/>
  <c r="BG25" i="41"/>
  <c r="BG26" i="41"/>
  <c r="BG27" i="41"/>
  <c r="BG29" i="41"/>
  <c r="BG30" i="41"/>
  <c r="BG31" i="41"/>
  <c r="BG32" i="41"/>
  <c r="BG33" i="41"/>
  <c r="BG34" i="41"/>
  <c r="BG36" i="41"/>
  <c r="BG37" i="41"/>
  <c r="BG38" i="41"/>
  <c r="BG39" i="41"/>
  <c r="BG40" i="41"/>
  <c r="BG10" i="41"/>
  <c r="BH11" i="41"/>
  <c r="BI11" i="41"/>
  <c r="BJ11" i="41"/>
  <c r="BK11" i="41"/>
  <c r="BH12" i="41"/>
  <c r="BI12" i="41"/>
  <c r="BJ12" i="41"/>
  <c r="BK12" i="41"/>
  <c r="BH13" i="41"/>
  <c r="BI13" i="41"/>
  <c r="BJ13" i="41"/>
  <c r="BK13" i="41"/>
  <c r="BH14" i="41"/>
  <c r="BI14" i="41"/>
  <c r="BJ14" i="41"/>
  <c r="BK14" i="41"/>
  <c r="BI15" i="41"/>
  <c r="BJ15" i="41"/>
  <c r="BK15" i="41"/>
  <c r="BH16" i="41"/>
  <c r="BJ16" i="41"/>
  <c r="BK16" i="41"/>
  <c r="BH17" i="41"/>
  <c r="BI17" i="41"/>
  <c r="BK17" i="41"/>
  <c r="BH18" i="41"/>
  <c r="BI18" i="41"/>
  <c r="BJ18" i="41"/>
  <c r="BH19" i="41"/>
  <c r="BI19" i="41"/>
  <c r="BJ19" i="41"/>
  <c r="BK19" i="41"/>
  <c r="BH20" i="41"/>
  <c r="BI20" i="41"/>
  <c r="BJ20" i="41"/>
  <c r="BK20" i="41"/>
  <c r="BH21" i="41"/>
  <c r="BI21" i="41"/>
  <c r="BJ21" i="41"/>
  <c r="BK21" i="41"/>
  <c r="BI22" i="41"/>
  <c r="BJ22" i="41"/>
  <c r="BK22" i="41"/>
  <c r="BH23" i="41"/>
  <c r="BJ23" i="41"/>
  <c r="BK23" i="41"/>
  <c r="BH24" i="41"/>
  <c r="BI24" i="41"/>
  <c r="BK24" i="41"/>
  <c r="BH25" i="41"/>
  <c r="BI25" i="41"/>
  <c r="BJ25" i="41"/>
  <c r="BH26" i="41"/>
  <c r="BI26" i="41"/>
  <c r="BJ26" i="41"/>
  <c r="BK26" i="41"/>
  <c r="BH27" i="41"/>
  <c r="BI27" i="41"/>
  <c r="BJ27" i="41"/>
  <c r="BK27" i="41"/>
  <c r="BH28" i="41"/>
  <c r="BI28" i="41"/>
  <c r="BJ28" i="41"/>
  <c r="BK28" i="41"/>
  <c r="BI29" i="41"/>
  <c r="BJ29" i="41"/>
  <c r="BK29" i="41"/>
  <c r="BH30" i="41"/>
  <c r="BJ30" i="41"/>
  <c r="BK30" i="41"/>
  <c r="BH31" i="41"/>
  <c r="BI31" i="41"/>
  <c r="BK31" i="41"/>
  <c r="BH32" i="41"/>
  <c r="BI32" i="41"/>
  <c r="BJ32" i="41"/>
  <c r="BH33" i="41"/>
  <c r="BI33" i="41"/>
  <c r="BJ33" i="41"/>
  <c r="BK33" i="41"/>
  <c r="BH34" i="41"/>
  <c r="BI34" i="41"/>
  <c r="BJ34" i="41"/>
  <c r="BK34" i="41"/>
  <c r="BH35" i="41"/>
  <c r="BI35" i="41"/>
  <c r="BJ35" i="41"/>
  <c r="BK35" i="41"/>
  <c r="BI36" i="41"/>
  <c r="BJ36" i="41"/>
  <c r="BK36" i="41"/>
  <c r="BH37" i="41"/>
  <c r="BJ37" i="41"/>
  <c r="BK37" i="41"/>
  <c r="BH38" i="41"/>
  <c r="BI38" i="41"/>
  <c r="BK38" i="41"/>
  <c r="BH39" i="41"/>
  <c r="BI39" i="41"/>
  <c r="BJ39" i="41"/>
  <c r="BH40" i="41"/>
  <c r="BI40" i="41"/>
  <c r="BJ40" i="41"/>
  <c r="BK40" i="41"/>
  <c r="BK10" i="41"/>
  <c r="BJ10" i="41"/>
  <c r="BI10" i="41"/>
  <c r="BH10" i="41"/>
  <c r="S39" i="43"/>
  <c r="BC31" i="43"/>
  <c r="CW29" i="69" s="1"/>
  <c r="BC30" i="43"/>
  <c r="BC36" i="43" s="1"/>
  <c r="BA31" i="43"/>
  <c r="BA39" i="43" s="1"/>
  <c r="BA30" i="43"/>
  <c r="BA36" i="43" s="1"/>
  <c r="AY31" i="43"/>
  <c r="AY39" i="43" s="1"/>
  <c r="AY30" i="43"/>
  <c r="BX27" i="69" s="1"/>
  <c r="AW31" i="43"/>
  <c r="AW39" i="43" s="1"/>
  <c r="AW30" i="43"/>
  <c r="BW26" i="69" s="1"/>
  <c r="AU31" i="43"/>
  <c r="AU39" i="43" s="1"/>
  <c r="AU30" i="43"/>
  <c r="AU36" i="43" s="1"/>
  <c r="AO31" i="43"/>
  <c r="CR22" i="69" s="1"/>
  <c r="AO30" i="43"/>
  <c r="AO36" i="43" s="1"/>
  <c r="AM31" i="43"/>
  <c r="CQ21" i="69" s="1"/>
  <c r="AM30" i="43"/>
  <c r="BT21" i="69" s="1"/>
  <c r="AK31" i="43"/>
  <c r="AK39" i="43" s="1"/>
  <c r="AK30" i="43"/>
  <c r="BS20" i="69" s="1"/>
  <c r="AI31" i="43"/>
  <c r="CO19" i="69" s="1"/>
  <c r="AI30" i="43"/>
  <c r="BR19" i="69" s="1"/>
  <c r="AG31" i="43"/>
  <c r="AG39" i="43" s="1"/>
  <c r="AG36" i="43"/>
  <c r="AA31" i="43"/>
  <c r="AA39" i="43" s="1"/>
  <c r="Y31" i="43"/>
  <c r="W31" i="43"/>
  <c r="CK13" i="69" s="1"/>
  <c r="U31" i="43"/>
  <c r="CJ12" i="69" s="1"/>
  <c r="AA30" i="43"/>
  <c r="BP15" i="69" s="1"/>
  <c r="Y30" i="43"/>
  <c r="Y36" i="43" s="1"/>
  <c r="W30" i="43"/>
  <c r="BN13" i="69" s="1"/>
  <c r="U30" i="43"/>
  <c r="U36" i="43" s="1"/>
  <c r="S30" i="43"/>
  <c r="S36" i="43" s="1"/>
  <c r="M39" i="43"/>
  <c r="CG20" i="72"/>
  <c r="CF19" i="72"/>
  <c r="CE11" i="72"/>
  <c r="K30" i="43"/>
  <c r="BJ27" i="72" s="1"/>
  <c r="M30" i="43"/>
  <c r="M36" i="43" s="1"/>
  <c r="I30" i="43"/>
  <c r="BI23" i="41" s="1"/>
  <c r="G30" i="43"/>
  <c r="BH18" i="72" s="1"/>
  <c r="AQ5" i="43"/>
  <c r="A1" i="48" s="1"/>
  <c r="AC5" i="43"/>
  <c r="A1" i="49" s="1"/>
  <c r="O5" i="43"/>
  <c r="A1" i="47" s="1"/>
  <c r="Q11" i="43"/>
  <c r="B11" i="43"/>
  <c r="C11" i="43" s="1"/>
  <c r="CL20" i="72" l="1"/>
  <c r="CL30" i="71"/>
  <c r="CL32" i="70"/>
  <c r="CL35" i="69"/>
  <c r="CL16" i="71"/>
  <c r="CL9" i="71"/>
  <c r="CL18" i="70"/>
  <c r="CL21" i="69"/>
  <c r="CL11" i="70"/>
  <c r="CL34" i="72"/>
  <c r="CL27" i="72"/>
  <c r="BP29" i="69"/>
  <c r="BM26" i="69"/>
  <c r="BO32" i="70"/>
  <c r="BO30" i="71"/>
  <c r="BP17" i="71"/>
  <c r="BL31" i="72"/>
  <c r="BM18" i="72"/>
  <c r="BM11" i="72"/>
  <c r="CJ33" i="69"/>
  <c r="CM19" i="70"/>
  <c r="CM17" i="71"/>
  <c r="BM19" i="69"/>
  <c r="BM37" i="70"/>
  <c r="BO11" i="70"/>
  <c r="BM35" i="71"/>
  <c r="BL20" i="71"/>
  <c r="BO20" i="72"/>
  <c r="CM36" i="69"/>
  <c r="CJ9" i="70"/>
  <c r="CJ28" i="71"/>
  <c r="CM24" i="71"/>
  <c r="BL32" i="69"/>
  <c r="BM16" i="70"/>
  <c r="BO9" i="71"/>
  <c r="BP24" i="71"/>
  <c r="BM25" i="72"/>
  <c r="CJ30" i="70"/>
  <c r="CJ35" i="71"/>
  <c r="CM31" i="71"/>
  <c r="CJ18" i="72"/>
  <c r="BP36" i="69"/>
  <c r="BL25" i="69"/>
  <c r="BO18" i="70"/>
  <c r="BL27" i="71"/>
  <c r="BM14" i="71"/>
  <c r="BO27" i="72"/>
  <c r="CJ26" i="69"/>
  <c r="CJ37" i="70"/>
  <c r="CM33" i="70"/>
  <c r="CJ25" i="72"/>
  <c r="CM21" i="72"/>
  <c r="CM14" i="72"/>
  <c r="CJ11" i="72"/>
  <c r="BO21" i="69"/>
  <c r="BL18" i="69"/>
  <c r="BM9" i="70"/>
  <c r="BP33" i="70"/>
  <c r="BP31" i="71"/>
  <c r="BO16" i="71"/>
  <c r="BM32" i="72"/>
  <c r="BP14" i="72"/>
  <c r="BL10" i="72"/>
  <c r="CJ32" i="72"/>
  <c r="CM28" i="72"/>
  <c r="BL36" i="70"/>
  <c r="BP12" i="70"/>
  <c r="BL34" i="71"/>
  <c r="BO34" i="72"/>
  <c r="BP21" i="72"/>
  <c r="CJ19" i="69"/>
  <c r="BM33" i="69"/>
  <c r="BL15" i="70"/>
  <c r="BP10" i="71"/>
  <c r="BL24" i="72"/>
  <c r="BO35" i="69"/>
  <c r="BM30" i="70"/>
  <c r="BP19" i="70"/>
  <c r="BM28" i="71"/>
  <c r="BL13" i="71"/>
  <c r="BP28" i="72"/>
  <c r="CM29" i="69"/>
  <c r="CJ16" i="70"/>
  <c r="CM12" i="70"/>
  <c r="CJ14" i="71"/>
  <c r="CM10" i="71"/>
  <c r="BL21" i="41"/>
  <c r="BL35" i="41"/>
  <c r="P12" i="43"/>
  <c r="B4" i="47"/>
  <c r="BM36" i="67"/>
  <c r="BL21" i="67"/>
  <c r="BL35" i="67"/>
  <c r="BM22" i="67"/>
  <c r="CJ22" i="67"/>
  <c r="CM18" i="67"/>
  <c r="BP39" i="67"/>
  <c r="BO24" i="67"/>
  <c r="CJ29" i="67"/>
  <c r="CM25" i="67"/>
  <c r="CL38" i="67"/>
  <c r="CL31" i="67"/>
  <c r="CL24" i="67"/>
  <c r="CL17" i="67"/>
  <c r="BM29" i="67"/>
  <c r="BL14" i="67"/>
  <c r="CJ36" i="67"/>
  <c r="CM32" i="67"/>
  <c r="BO31" i="67"/>
  <c r="BP18" i="67"/>
  <c r="CM39" i="67"/>
  <c r="BO38" i="67"/>
  <c r="BP25" i="67"/>
  <c r="BL28" i="67"/>
  <c r="BM15" i="67"/>
  <c r="BP32" i="67"/>
  <c r="BO17" i="67"/>
  <c r="CJ15" i="67"/>
  <c r="BJ17" i="41"/>
  <c r="BI16" i="41"/>
  <c r="BH15" i="41"/>
  <c r="BK18" i="41"/>
  <c r="BZ32" i="41"/>
  <c r="CW32" i="41"/>
  <c r="BZ39" i="41"/>
  <c r="CW39" i="41"/>
  <c r="CW25" i="41"/>
  <c r="BZ25" i="41"/>
  <c r="CV31" i="41"/>
  <c r="BY24" i="41"/>
  <c r="BY31" i="41"/>
  <c r="CV38" i="41"/>
  <c r="CU23" i="41"/>
  <c r="CU30" i="41"/>
  <c r="BX30" i="41"/>
  <c r="BX23" i="41"/>
  <c r="CU37" i="41"/>
  <c r="CT22" i="41"/>
  <c r="BW36" i="41"/>
  <c r="CT29" i="41"/>
  <c r="CT36" i="41"/>
  <c r="BW29" i="41"/>
  <c r="BW22" i="41"/>
  <c r="BV21" i="41"/>
  <c r="CS35" i="41"/>
  <c r="CS28" i="41"/>
  <c r="CS21" i="41"/>
  <c r="BV28" i="41"/>
  <c r="BL39" i="69"/>
  <c r="CR39" i="41"/>
  <c r="CR32" i="41"/>
  <c r="BU39" i="41"/>
  <c r="BU32" i="41"/>
  <c r="BU25" i="41"/>
  <c r="CR25" i="41"/>
  <c r="BT31" i="41"/>
  <c r="CQ24" i="41"/>
  <c r="BT24" i="41"/>
  <c r="CQ38" i="41"/>
  <c r="CQ31" i="41"/>
  <c r="BT38" i="41"/>
  <c r="BS30" i="41"/>
  <c r="CP23" i="41"/>
  <c r="BS23" i="41"/>
  <c r="CP37" i="41"/>
  <c r="BS37" i="41"/>
  <c r="CP30" i="41"/>
  <c r="BR29" i="41"/>
  <c r="CO36" i="41"/>
  <c r="BR36" i="41"/>
  <c r="CO22" i="41"/>
  <c r="BR22" i="41"/>
  <c r="CO29" i="41"/>
  <c r="BN26" i="66"/>
  <c r="BN30" i="67"/>
  <c r="BN15" i="71"/>
  <c r="BN19" i="72"/>
  <c r="CK36" i="71"/>
  <c r="CK29" i="71"/>
  <c r="CK22" i="71"/>
  <c r="CK15" i="71"/>
  <c r="CK12" i="72"/>
  <c r="BN12" i="63"/>
  <c r="BN14" i="65"/>
  <c r="BN37" i="67"/>
  <c r="BN34" i="69"/>
  <c r="BN10" i="70"/>
  <c r="BN22" i="71"/>
  <c r="BN26" i="72"/>
  <c r="BN12" i="72"/>
  <c r="CN21" i="41"/>
  <c r="CK35" i="65"/>
  <c r="CK28" i="65"/>
  <c r="CK21" i="65"/>
  <c r="CK14" i="65"/>
  <c r="BN21" i="65"/>
  <c r="BN17" i="70"/>
  <c r="BN29" i="71"/>
  <c r="BN33" i="72"/>
  <c r="CK33" i="63"/>
  <c r="CK26" i="63"/>
  <c r="CK19" i="63"/>
  <c r="CK12" i="63"/>
  <c r="CK37" i="67"/>
  <c r="CK30" i="67"/>
  <c r="CK23" i="67"/>
  <c r="CK16" i="67"/>
  <c r="BN19" i="63"/>
  <c r="BN26" i="63"/>
  <c r="BN28" i="65"/>
  <c r="BN36" i="71"/>
  <c r="CN28" i="41"/>
  <c r="CK17" i="70"/>
  <c r="CK10" i="70"/>
  <c r="BN33" i="63"/>
  <c r="BN10" i="64"/>
  <c r="BN35" i="65"/>
  <c r="CK27" i="69"/>
  <c r="BN17" i="64"/>
  <c r="BN27" i="69"/>
  <c r="CK26" i="66"/>
  <c r="CK19" i="66"/>
  <c r="CK12" i="66"/>
  <c r="CK38" i="70"/>
  <c r="CK31" i="70"/>
  <c r="BN12" i="66"/>
  <c r="BN16" i="67"/>
  <c r="BN31" i="70"/>
  <c r="CN35" i="41"/>
  <c r="CK17" i="64"/>
  <c r="CK10" i="64"/>
  <c r="CK33" i="72"/>
  <c r="CK26" i="72"/>
  <c r="CK19" i="72"/>
  <c r="BN19" i="66"/>
  <c r="BN23" i="67"/>
  <c r="BN20" i="69"/>
  <c r="BN38" i="70"/>
  <c r="CK34" i="69"/>
  <c r="CK20" i="69"/>
  <c r="CM39" i="41"/>
  <c r="BP32" i="41"/>
  <c r="BP39" i="41"/>
  <c r="CM32" i="41"/>
  <c r="BO31" i="41"/>
  <c r="BO24" i="41"/>
  <c r="BO38" i="41"/>
  <c r="Y39" i="43"/>
  <c r="CL38" i="41"/>
  <c r="CL32" i="64"/>
  <c r="CL31" i="41"/>
  <c r="CL24" i="41"/>
  <c r="CL14" i="69"/>
  <c r="BN37" i="41"/>
  <c r="CK23" i="41"/>
  <c r="BN30" i="41"/>
  <c r="CK30" i="41"/>
  <c r="BN23" i="41"/>
  <c r="CK37" i="41"/>
  <c r="BM36" i="41"/>
  <c r="CJ22" i="41"/>
  <c r="BM29" i="41"/>
  <c r="CJ36" i="41"/>
  <c r="CJ29" i="41"/>
  <c r="BM22" i="41"/>
  <c r="CM33" i="64"/>
  <c r="BM30" i="64"/>
  <c r="BL29" i="64"/>
  <c r="BP33" i="64"/>
  <c r="BO32" i="64"/>
  <c r="BN31" i="64"/>
  <c r="CK31" i="64"/>
  <c r="CJ30" i="64"/>
  <c r="CM25" i="41"/>
  <c r="BP25" i="41"/>
  <c r="BH22" i="41"/>
  <c r="BC39" i="43"/>
  <c r="AY36" i="43"/>
  <c r="CV28" i="69"/>
  <c r="CT26" i="69"/>
  <c r="AW36" i="43"/>
  <c r="BZ29" i="69"/>
  <c r="BV25" i="69"/>
  <c r="CU27" i="69"/>
  <c r="CS25" i="69"/>
  <c r="BY28" i="69"/>
  <c r="AI39" i="43"/>
  <c r="AM39" i="43"/>
  <c r="AI36" i="43"/>
  <c r="AO39" i="43"/>
  <c r="AK36" i="43"/>
  <c r="AM36" i="43"/>
  <c r="BU22" i="69"/>
  <c r="BQ18" i="69"/>
  <c r="CP20" i="69"/>
  <c r="CN18" i="69"/>
  <c r="CX9" i="63"/>
  <c r="U39" i="43"/>
  <c r="W39" i="43"/>
  <c r="BO14" i="69"/>
  <c r="BM12" i="69"/>
  <c r="CM15" i="69"/>
  <c r="BL11" i="69"/>
  <c r="AA36" i="43"/>
  <c r="W36" i="43"/>
  <c r="G39" i="43"/>
  <c r="BH36" i="41"/>
  <c r="BH9" i="64"/>
  <c r="BK35" i="63"/>
  <c r="BH29" i="41"/>
  <c r="BK21" i="63"/>
  <c r="G36" i="43"/>
  <c r="I36" i="43"/>
  <c r="BI19" i="66"/>
  <c r="BI16" i="67"/>
  <c r="BI34" i="69"/>
  <c r="BI38" i="70"/>
  <c r="BI10" i="70"/>
  <c r="BI29" i="71"/>
  <c r="BI15" i="71"/>
  <c r="BI33" i="72"/>
  <c r="BI19" i="72"/>
  <c r="CF30" i="41"/>
  <c r="CF33" i="63"/>
  <c r="CF19" i="63"/>
  <c r="CE9" i="64"/>
  <c r="CF10" i="64"/>
  <c r="CF28" i="65"/>
  <c r="CF14" i="65"/>
  <c r="CF19" i="66"/>
  <c r="CF30" i="67"/>
  <c r="CF16" i="67"/>
  <c r="CF27" i="69"/>
  <c r="CF13" i="69"/>
  <c r="CE9" i="70"/>
  <c r="CF31" i="70"/>
  <c r="CF17" i="70"/>
  <c r="CF36" i="71"/>
  <c r="CF22" i="71"/>
  <c r="CF26" i="72"/>
  <c r="CF12" i="72"/>
  <c r="BI30" i="67"/>
  <c r="BI20" i="69"/>
  <c r="BI30" i="41"/>
  <c r="BH25" i="63"/>
  <c r="BH11" i="63"/>
  <c r="BH30" i="64"/>
  <c r="BH16" i="64"/>
  <c r="BH34" i="65"/>
  <c r="BH20" i="65"/>
  <c r="BH25" i="66"/>
  <c r="BH11" i="66"/>
  <c r="BH36" i="67"/>
  <c r="BH22" i="67"/>
  <c r="BH26" i="69"/>
  <c r="BH12" i="69"/>
  <c r="BH30" i="70"/>
  <c r="BH16" i="70"/>
  <c r="BH35" i="71"/>
  <c r="BH21" i="71"/>
  <c r="BH25" i="72"/>
  <c r="BH11" i="72"/>
  <c r="CE36" i="41"/>
  <c r="CE25" i="63"/>
  <c r="CE11" i="63"/>
  <c r="CE30" i="64"/>
  <c r="CE16" i="64"/>
  <c r="CE34" i="65"/>
  <c r="CE20" i="65"/>
  <c r="CE25" i="66"/>
  <c r="CE11" i="66"/>
  <c r="CE36" i="67"/>
  <c r="CE22" i="67"/>
  <c r="CE33" i="69"/>
  <c r="CE19" i="69"/>
  <c r="CE37" i="70"/>
  <c r="CE28" i="71"/>
  <c r="CE14" i="71"/>
  <c r="CE32" i="72"/>
  <c r="CE18" i="72"/>
  <c r="BJ24" i="41"/>
  <c r="BI14" i="65"/>
  <c r="I39" i="43"/>
  <c r="BK14" i="63"/>
  <c r="BK33" i="64"/>
  <c r="BK19" i="64"/>
  <c r="BK37" i="65"/>
  <c r="BK23" i="65"/>
  <c r="BK28" i="66"/>
  <c r="BK14" i="66"/>
  <c r="BK39" i="67"/>
  <c r="BK25" i="67"/>
  <c r="BK29" i="69"/>
  <c r="BK15" i="69"/>
  <c r="BK33" i="70"/>
  <c r="BK19" i="70"/>
  <c r="BK24" i="71"/>
  <c r="BK10" i="71"/>
  <c r="BK28" i="72"/>
  <c r="BK14" i="72"/>
  <c r="CH39" i="41"/>
  <c r="CH25" i="41"/>
  <c r="CH28" i="63"/>
  <c r="CH14" i="63"/>
  <c r="CH33" i="64"/>
  <c r="CH19" i="64"/>
  <c r="CH37" i="65"/>
  <c r="CH23" i="65"/>
  <c r="CH28" i="66"/>
  <c r="CH14" i="66"/>
  <c r="CH39" i="67"/>
  <c r="CH25" i="67"/>
  <c r="CH36" i="69"/>
  <c r="CH22" i="69"/>
  <c r="CH12" i="70"/>
  <c r="CG9" i="71"/>
  <c r="CH31" i="71"/>
  <c r="CH17" i="71"/>
  <c r="CH35" i="72"/>
  <c r="CH21" i="72"/>
  <c r="BI33" i="63"/>
  <c r="BI19" i="63"/>
  <c r="BI10" i="64"/>
  <c r="BI28" i="65"/>
  <c r="BK28" i="63"/>
  <c r="BK39" i="41"/>
  <c r="BK25" i="41"/>
  <c r="BJ34" i="63"/>
  <c r="BJ20" i="63"/>
  <c r="BJ11" i="64"/>
  <c r="BJ29" i="65"/>
  <c r="BJ15" i="65"/>
  <c r="BJ20" i="66"/>
  <c r="BJ31" i="67"/>
  <c r="BJ17" i="67"/>
  <c r="BJ35" i="69"/>
  <c r="BJ21" i="69"/>
  <c r="BJ11" i="70"/>
  <c r="BJ30" i="71"/>
  <c r="BJ16" i="71"/>
  <c r="BJ34" i="72"/>
  <c r="BJ20" i="72"/>
  <c r="CG31" i="41"/>
  <c r="CG34" i="63"/>
  <c r="CG20" i="63"/>
  <c r="CG11" i="64"/>
  <c r="CG29" i="65"/>
  <c r="CG15" i="65"/>
  <c r="CG20" i="66"/>
  <c r="CG31" i="67"/>
  <c r="CG17" i="67"/>
  <c r="CG28" i="69"/>
  <c r="CG14" i="69"/>
  <c r="CG32" i="70"/>
  <c r="CG18" i="70"/>
  <c r="CG23" i="71"/>
  <c r="CG27" i="72"/>
  <c r="BK32" i="41"/>
  <c r="BI13" i="69"/>
  <c r="BH9" i="70"/>
  <c r="BI31" i="70"/>
  <c r="BI17" i="70"/>
  <c r="BI36" i="71"/>
  <c r="BI22" i="71"/>
  <c r="BI26" i="72"/>
  <c r="BI12" i="72"/>
  <c r="CF37" i="41"/>
  <c r="CF23" i="41"/>
  <c r="CF26" i="63"/>
  <c r="CF12" i="63"/>
  <c r="CF31" i="64"/>
  <c r="CF17" i="64"/>
  <c r="CF35" i="65"/>
  <c r="CF21" i="65"/>
  <c r="CF26" i="66"/>
  <c r="CF12" i="66"/>
  <c r="CF37" i="67"/>
  <c r="CF23" i="67"/>
  <c r="CF34" i="69"/>
  <c r="CF20" i="69"/>
  <c r="CF38" i="70"/>
  <c r="CF10" i="70"/>
  <c r="CF29" i="71"/>
  <c r="CF15" i="71"/>
  <c r="CF33" i="72"/>
  <c r="K36" i="43"/>
  <c r="BJ38" i="41"/>
  <c r="BJ31" i="41"/>
  <c r="BI26" i="63"/>
  <c r="BI12" i="63"/>
  <c r="BI31" i="64"/>
  <c r="BI17" i="64"/>
  <c r="BI35" i="65"/>
  <c r="BI21" i="65"/>
  <c r="BI26" i="66"/>
  <c r="BI12" i="66"/>
  <c r="BI37" i="67"/>
  <c r="BI23" i="67"/>
  <c r="BI27" i="69"/>
  <c r="K39" i="43"/>
  <c r="BI37" i="41"/>
  <c r="BH32" i="63"/>
  <c r="BH18" i="63"/>
  <c r="BH27" i="65"/>
  <c r="BH13" i="65"/>
  <c r="BH18" i="66"/>
  <c r="BH29" i="67"/>
  <c r="BH15" i="67"/>
  <c r="BH33" i="69"/>
  <c r="BH19" i="69"/>
  <c r="BH37" i="70"/>
  <c r="BH28" i="71"/>
  <c r="BH14" i="71"/>
  <c r="BH32" i="72"/>
  <c r="CE29" i="41"/>
  <c r="CE32" i="63"/>
  <c r="CE18" i="63"/>
  <c r="CE27" i="65"/>
  <c r="CE13" i="65"/>
  <c r="CE18" i="66"/>
  <c r="CE29" i="67"/>
  <c r="CE15" i="67"/>
  <c r="CE26" i="69"/>
  <c r="CE12" i="69"/>
  <c r="CE30" i="70"/>
  <c r="CE16" i="70"/>
  <c r="CE35" i="71"/>
  <c r="CE21" i="71"/>
  <c r="CE25" i="72"/>
  <c r="BK12" i="64"/>
  <c r="BK30" i="65"/>
  <c r="BK16" i="65"/>
  <c r="BK21" i="66"/>
  <c r="BK32" i="67"/>
  <c r="BK18" i="67"/>
  <c r="BK36" i="69"/>
  <c r="BK22" i="69"/>
  <c r="BK12" i="70"/>
  <c r="BJ9" i="71"/>
  <c r="BK31" i="71"/>
  <c r="BK17" i="71"/>
  <c r="BK35" i="72"/>
  <c r="BK21" i="72"/>
  <c r="CH32" i="41"/>
  <c r="CH35" i="63"/>
  <c r="CH21" i="63"/>
  <c r="CH12" i="64"/>
  <c r="CH30" i="65"/>
  <c r="CH16" i="65"/>
  <c r="CH21" i="66"/>
  <c r="CH32" i="67"/>
  <c r="CH18" i="67"/>
  <c r="CH29" i="69"/>
  <c r="CH15" i="69"/>
  <c r="CH33" i="70"/>
  <c r="CH19" i="70"/>
  <c r="CH24" i="71"/>
  <c r="CH10" i="71"/>
  <c r="CH28" i="72"/>
  <c r="CH14" i="72"/>
  <c r="BJ27" i="63"/>
  <c r="BJ13" i="63"/>
  <c r="BJ32" i="64"/>
  <c r="BJ18" i="64"/>
  <c r="BK9" i="65"/>
  <c r="BJ36" i="65"/>
  <c r="BJ22" i="65"/>
  <c r="BJ27" i="66"/>
  <c r="BJ13" i="66"/>
  <c r="BJ38" i="67"/>
  <c r="BJ24" i="67"/>
  <c r="BJ28" i="69"/>
  <c r="BJ14" i="69"/>
  <c r="BJ32" i="70"/>
  <c r="BJ18" i="70"/>
  <c r="BJ23" i="71"/>
  <c r="CG38" i="41"/>
  <c r="CG24" i="41"/>
  <c r="CG27" i="63"/>
  <c r="CG13" i="63"/>
  <c r="CG32" i="64"/>
  <c r="CG18" i="64"/>
  <c r="CH9" i="65"/>
  <c r="CG36" i="65"/>
  <c r="CG22" i="65"/>
  <c r="CG27" i="66"/>
  <c r="CG13" i="66"/>
  <c r="CG38" i="67"/>
  <c r="CG24" i="67"/>
  <c r="CG35" i="69"/>
  <c r="CG21" i="69"/>
  <c r="CG11" i="70"/>
  <c r="CG30" i="71"/>
  <c r="CG16" i="71"/>
  <c r="CG34" i="72"/>
  <c r="E30" i="43"/>
  <c r="BG14" i="41" s="1"/>
  <c r="Q12" i="43" l="1"/>
  <c r="A5" i="47"/>
  <c r="BD30" i="43"/>
  <c r="BG10" i="72"/>
  <c r="BG24" i="72"/>
  <c r="BG20" i="71"/>
  <c r="BG34" i="71"/>
  <c r="BG15" i="70"/>
  <c r="BG11" i="69"/>
  <c r="BG25" i="69"/>
  <c r="BG39" i="69"/>
  <c r="BG21" i="67"/>
  <c r="BG35" i="67"/>
  <c r="BG10" i="66"/>
  <c r="BG24" i="66"/>
  <c r="BG19" i="65"/>
  <c r="BG33" i="65"/>
  <c r="BG15" i="64"/>
  <c r="BG29" i="64"/>
  <c r="BG38" i="63"/>
  <c r="BG35" i="41"/>
  <c r="BG28" i="41"/>
  <c r="E36" i="43"/>
  <c r="BG10" i="63"/>
  <c r="BG24" i="63"/>
  <c r="BG21" i="41"/>
  <c r="BG17" i="63"/>
  <c r="BG31" i="63"/>
  <c r="BG31" i="72"/>
  <c r="BG13" i="71"/>
  <c r="BG27" i="71"/>
  <c r="BG36" i="70"/>
  <c r="BG18" i="69"/>
  <c r="BG32" i="69"/>
  <c r="BG14" i="67"/>
  <c r="BG28" i="67"/>
  <c r="BG17" i="66"/>
  <c r="BG12" i="65"/>
  <c r="BG26" i="65"/>
  <c r="BG36" i="64"/>
  <c r="CD31" i="72"/>
  <c r="CD13" i="71"/>
  <c r="CD27" i="71"/>
  <c r="CD36" i="70"/>
  <c r="CD18" i="69"/>
  <c r="CD32" i="69"/>
  <c r="CD21" i="67"/>
  <c r="CD35" i="67"/>
  <c r="CD10" i="66"/>
  <c r="CD24" i="66"/>
  <c r="CD19" i="65"/>
  <c r="CD33" i="65"/>
  <c r="CD15" i="64"/>
  <c r="CD29" i="64"/>
  <c r="CD10" i="63"/>
  <c r="CD24" i="63"/>
  <c r="CD38" i="63"/>
  <c r="CD21" i="41"/>
  <c r="CD35" i="41"/>
  <c r="CD10" i="72"/>
  <c r="CD24" i="72"/>
  <c r="CD20" i="71"/>
  <c r="CD34" i="71"/>
  <c r="CD15" i="70"/>
  <c r="CD11" i="69"/>
  <c r="CD25" i="69"/>
  <c r="CD39" i="69"/>
  <c r="CD14" i="67"/>
  <c r="CD28" i="67"/>
  <c r="CD17" i="66"/>
  <c r="CD12" i="65"/>
  <c r="CD26" i="65"/>
  <c r="CD36" i="64"/>
  <c r="CD17" i="63"/>
  <c r="CD31" i="63"/>
  <c r="CD28" i="41"/>
  <c r="P13" i="43" l="1"/>
  <c r="B5" i="47"/>
  <c r="J23" i="61"/>
  <c r="B2" i="61"/>
  <c r="B23" i="44"/>
  <c r="A5" i="43"/>
  <c r="A1" i="82"/>
  <c r="A1" i="84" s="1"/>
  <c r="Q13" i="43" l="1"/>
  <c r="A6" i="47"/>
  <c r="A1" i="83"/>
  <c r="P14" i="43" l="1"/>
  <c r="B6" i="47"/>
  <c r="A39" i="66"/>
  <c r="B39" i="66" s="1"/>
  <c r="D39" i="66" s="1"/>
  <c r="Q14" i="43" l="1"/>
  <c r="A7" i="47"/>
  <c r="A85" i="73"/>
  <c r="A84" i="73"/>
  <c r="A83" i="73"/>
  <c r="A82" i="73"/>
  <c r="A85" i="72"/>
  <c r="A84" i="72"/>
  <c r="A83" i="72"/>
  <c r="A82" i="72"/>
  <c r="A81" i="72"/>
  <c r="A87" i="71"/>
  <c r="A86" i="71"/>
  <c r="A85" i="71"/>
  <c r="A84" i="71"/>
  <c r="A83" i="71"/>
  <c r="A84" i="70"/>
  <c r="A83" i="70"/>
  <c r="A82" i="70"/>
  <c r="A81" i="70"/>
  <c r="A86" i="69"/>
  <c r="A85" i="69"/>
  <c r="A84" i="69"/>
  <c r="A83" i="69"/>
  <c r="A82" i="69"/>
  <c r="A83" i="68"/>
  <c r="A82" i="68"/>
  <c r="A81" i="68"/>
  <c r="A80" i="68"/>
  <c r="A85" i="67"/>
  <c r="A84" i="67"/>
  <c r="A83" i="67"/>
  <c r="A82" i="67"/>
  <c r="A86" i="66"/>
  <c r="A85" i="66"/>
  <c r="A84" i="66"/>
  <c r="A83" i="66"/>
  <c r="A82" i="66"/>
  <c r="A85" i="65"/>
  <c r="A84" i="65"/>
  <c r="A83" i="65"/>
  <c r="A82" i="65"/>
  <c r="A81" i="65"/>
  <c r="A85" i="64"/>
  <c r="A84" i="64"/>
  <c r="A83" i="64"/>
  <c r="A82" i="64"/>
  <c r="A82" i="63"/>
  <c r="A87" i="73" l="1"/>
  <c r="P15" i="43"/>
  <c r="B7" i="47"/>
  <c r="A86" i="72"/>
  <c r="A88" i="71"/>
  <c r="A86" i="70"/>
  <c r="A87" i="69"/>
  <c r="A85" i="68"/>
  <c r="A87" i="67"/>
  <c r="A87" i="66"/>
  <c r="A86" i="65"/>
  <c r="A87" i="64"/>
  <c r="A85" i="63"/>
  <c r="A84" i="63"/>
  <c r="A83" i="63"/>
  <c r="A81" i="63"/>
  <c r="D75" i="41"/>
  <c r="D71" i="41"/>
  <c r="D65" i="41"/>
  <c r="D64" i="41"/>
  <c r="Y37" i="68"/>
  <c r="Z37" i="68"/>
  <c r="AA37" i="68"/>
  <c r="AB37" i="68"/>
  <c r="AC37" i="68"/>
  <c r="AD37" i="68"/>
  <c r="AE37" i="68"/>
  <c r="AF37" i="68"/>
  <c r="BC37" i="68"/>
  <c r="BD37" i="68"/>
  <c r="BE37" i="68"/>
  <c r="BF37" i="68"/>
  <c r="CB37" i="68"/>
  <c r="CC37" i="68"/>
  <c r="CY37" i="68"/>
  <c r="CZ37" i="68"/>
  <c r="DA37" i="68"/>
  <c r="DB37" i="68"/>
  <c r="DC37" i="68"/>
  <c r="DD37" i="68"/>
  <c r="DE37" i="68"/>
  <c r="DF37" i="68"/>
  <c r="DH37" i="68"/>
  <c r="DK37" i="68" s="1"/>
  <c r="DI37" i="68"/>
  <c r="DL37" i="68" s="1"/>
  <c r="DJ37" i="68"/>
  <c r="DM37" i="68" s="1"/>
  <c r="DI38" i="68"/>
  <c r="DL38" i="68" s="1"/>
  <c r="DJ38" i="68"/>
  <c r="DM38" i="68" s="1"/>
  <c r="FR37" i="68" l="1"/>
  <c r="FP37" i="68"/>
  <c r="FL37" i="68"/>
  <c r="FJ37" i="68"/>
  <c r="Q15" i="43"/>
  <c r="A8" i="47"/>
  <c r="A86" i="63"/>
  <c r="DG37" i="68"/>
  <c r="DN37" i="68"/>
  <c r="K93" i="44"/>
  <c r="K94" i="44"/>
  <c r="K95" i="44"/>
  <c r="K96" i="44"/>
  <c r="K97" i="44"/>
  <c r="K98" i="44"/>
  <c r="K99" i="44"/>
  <c r="K100" i="44"/>
  <c r="K101" i="44"/>
  <c r="K102" i="44"/>
  <c r="K103" i="44"/>
  <c r="K104" i="44"/>
  <c r="K105" i="44"/>
  <c r="K106" i="44"/>
  <c r="K107" i="44"/>
  <c r="K108" i="44"/>
  <c r="K109" i="44"/>
  <c r="K110" i="44"/>
  <c r="K111" i="44"/>
  <c r="K112" i="44"/>
  <c r="K113" i="44"/>
  <c r="K114" i="44"/>
  <c r="K115" i="44"/>
  <c r="K116" i="44"/>
  <c r="K73" i="44"/>
  <c r="K74" i="44"/>
  <c r="K75" i="44"/>
  <c r="K76" i="44"/>
  <c r="K77" i="44"/>
  <c r="K78" i="44"/>
  <c r="K79" i="44"/>
  <c r="K80" i="44"/>
  <c r="K81" i="44"/>
  <c r="K82" i="44"/>
  <c r="K83" i="44"/>
  <c r="K84" i="44"/>
  <c r="K85" i="44"/>
  <c r="K86" i="44"/>
  <c r="K87" i="44"/>
  <c r="K88" i="44"/>
  <c r="K89" i="44"/>
  <c r="K90" i="44"/>
  <c r="K91" i="44"/>
  <c r="K92" i="44"/>
  <c r="I109" i="44"/>
  <c r="I110" i="44"/>
  <c r="I111" i="44"/>
  <c r="I112" i="44"/>
  <c r="I113" i="44"/>
  <c r="I114" i="44"/>
  <c r="I115" i="44"/>
  <c r="I116" i="44"/>
  <c r="I104" i="44"/>
  <c r="I105" i="44"/>
  <c r="I106" i="44"/>
  <c r="I107" i="44"/>
  <c r="I108" i="44"/>
  <c r="I102" i="44"/>
  <c r="I103" i="44"/>
  <c r="I100" i="44"/>
  <c r="I101" i="44"/>
  <c r="I98" i="44"/>
  <c r="I99" i="44"/>
  <c r="I97" i="44"/>
  <c r="I94" i="44"/>
  <c r="I95" i="44"/>
  <c r="I96" i="44"/>
  <c r="I90" i="44"/>
  <c r="I91" i="44"/>
  <c r="I92" i="44"/>
  <c r="I93" i="44"/>
  <c r="I86" i="44"/>
  <c r="I87" i="44"/>
  <c r="I88" i="44"/>
  <c r="I89" i="44"/>
  <c r="I81" i="44"/>
  <c r="I82" i="44"/>
  <c r="I83" i="44"/>
  <c r="I84" i="44"/>
  <c r="I85" i="44"/>
  <c r="I79" i="44"/>
  <c r="I80" i="44"/>
  <c r="I77" i="44"/>
  <c r="I78" i="44"/>
  <c r="I75" i="44"/>
  <c r="I76" i="44"/>
  <c r="I73" i="44"/>
  <c r="I74" i="44"/>
  <c r="B116" i="44"/>
  <c r="B112" i="44"/>
  <c r="B113" i="44"/>
  <c r="B114" i="44"/>
  <c r="B115" i="44"/>
  <c r="B110" i="44"/>
  <c r="B111" i="44"/>
  <c r="B107" i="44"/>
  <c r="B108" i="44"/>
  <c r="B109" i="44"/>
  <c r="B104" i="44"/>
  <c r="B105" i="44"/>
  <c r="B106" i="44"/>
  <c r="B102" i="44"/>
  <c r="B103" i="44"/>
  <c r="B100" i="44"/>
  <c r="B101" i="44"/>
  <c r="B98" i="44"/>
  <c r="B99" i="44"/>
  <c r="B97" i="44"/>
  <c r="B94" i="44"/>
  <c r="B95" i="44"/>
  <c r="B96" i="44"/>
  <c r="B88" i="44"/>
  <c r="B89" i="44"/>
  <c r="B90" i="44"/>
  <c r="B91" i="44"/>
  <c r="B92" i="44"/>
  <c r="B93" i="44"/>
  <c r="B82" i="44"/>
  <c r="B83" i="44"/>
  <c r="B84" i="44"/>
  <c r="B85" i="44"/>
  <c r="B86" i="44"/>
  <c r="B87" i="44"/>
  <c r="B77" i="44"/>
  <c r="B78" i="44"/>
  <c r="B79" i="44"/>
  <c r="B80" i="44"/>
  <c r="B81" i="44"/>
  <c r="K47" i="43"/>
  <c r="L47" i="43"/>
  <c r="M47" i="43"/>
  <c r="N47" i="43"/>
  <c r="O47" i="43"/>
  <c r="P47" i="43"/>
  <c r="Q47" i="43"/>
  <c r="R47" i="43"/>
  <c r="S47" i="43"/>
  <c r="T47" i="43"/>
  <c r="U47" i="43"/>
  <c r="V47" i="43"/>
  <c r="K48" i="43"/>
  <c r="L48" i="43"/>
  <c r="M48" i="43"/>
  <c r="N48" i="43"/>
  <c r="O48" i="43"/>
  <c r="P48" i="43"/>
  <c r="Q48" i="43"/>
  <c r="R48" i="43"/>
  <c r="S48" i="43"/>
  <c r="T48" i="43"/>
  <c r="U48" i="43"/>
  <c r="V48" i="43"/>
  <c r="K49" i="43"/>
  <c r="L49" i="43"/>
  <c r="M49" i="43"/>
  <c r="N49" i="43"/>
  <c r="O49" i="43"/>
  <c r="P49" i="43"/>
  <c r="Q49" i="43"/>
  <c r="R49" i="43"/>
  <c r="S49" i="43"/>
  <c r="T49" i="43"/>
  <c r="U49" i="43"/>
  <c r="V49" i="43"/>
  <c r="K50" i="43"/>
  <c r="L50" i="43"/>
  <c r="M50" i="43"/>
  <c r="N50" i="43"/>
  <c r="O50" i="43"/>
  <c r="P50" i="43"/>
  <c r="Q50" i="43"/>
  <c r="R50" i="43"/>
  <c r="S50" i="43"/>
  <c r="T50" i="43"/>
  <c r="U50" i="43"/>
  <c r="V50" i="43"/>
  <c r="K51" i="43"/>
  <c r="L51" i="43"/>
  <c r="M51" i="43"/>
  <c r="N51" i="43"/>
  <c r="O51" i="43"/>
  <c r="P51" i="43"/>
  <c r="Q51" i="43"/>
  <c r="R51" i="43"/>
  <c r="S51" i="43"/>
  <c r="T51" i="43"/>
  <c r="U51" i="43"/>
  <c r="V51" i="43"/>
  <c r="K52" i="43"/>
  <c r="L52" i="43"/>
  <c r="M52" i="43"/>
  <c r="N52" i="43"/>
  <c r="O52" i="43"/>
  <c r="P52" i="43"/>
  <c r="Q52" i="43"/>
  <c r="R52" i="43"/>
  <c r="S52" i="43"/>
  <c r="T52" i="43"/>
  <c r="U52" i="43"/>
  <c r="V52" i="43"/>
  <c r="K53" i="43"/>
  <c r="L53" i="43"/>
  <c r="M53" i="43"/>
  <c r="N53" i="43"/>
  <c r="O53" i="43"/>
  <c r="P53" i="43"/>
  <c r="Q53" i="43"/>
  <c r="R53" i="43"/>
  <c r="S53" i="43"/>
  <c r="T53" i="43"/>
  <c r="U53" i="43"/>
  <c r="V53" i="43"/>
  <c r="K54" i="43"/>
  <c r="L54" i="43"/>
  <c r="M54" i="43"/>
  <c r="N54" i="43"/>
  <c r="O54" i="43"/>
  <c r="P54" i="43"/>
  <c r="Q54" i="43"/>
  <c r="R54" i="43"/>
  <c r="S54" i="43"/>
  <c r="T54" i="43"/>
  <c r="U54" i="43"/>
  <c r="V54" i="43"/>
  <c r="K55" i="43"/>
  <c r="L55" i="43"/>
  <c r="M55" i="43"/>
  <c r="N55" i="43"/>
  <c r="O55" i="43"/>
  <c r="P55" i="43"/>
  <c r="Q55" i="43"/>
  <c r="R55" i="43"/>
  <c r="S55" i="43"/>
  <c r="T55" i="43"/>
  <c r="U55" i="43"/>
  <c r="V55" i="43"/>
  <c r="K56" i="43"/>
  <c r="L56" i="43"/>
  <c r="M56" i="43"/>
  <c r="N56" i="43"/>
  <c r="O56" i="43"/>
  <c r="P56" i="43"/>
  <c r="Q56" i="43"/>
  <c r="R56" i="43"/>
  <c r="S56" i="43"/>
  <c r="T56" i="43"/>
  <c r="U56" i="43"/>
  <c r="V56" i="43"/>
  <c r="K57" i="43"/>
  <c r="L57" i="43"/>
  <c r="M57" i="43"/>
  <c r="N57" i="43"/>
  <c r="O57" i="43"/>
  <c r="P57" i="43"/>
  <c r="Q57" i="43"/>
  <c r="R57" i="43"/>
  <c r="S57" i="43"/>
  <c r="T57" i="43"/>
  <c r="U57" i="43"/>
  <c r="V57" i="43"/>
  <c r="K58" i="43"/>
  <c r="L58" i="43"/>
  <c r="M58" i="43"/>
  <c r="N58" i="43"/>
  <c r="O58" i="43"/>
  <c r="P58" i="43"/>
  <c r="Q58" i="43"/>
  <c r="R58" i="43"/>
  <c r="S58" i="43"/>
  <c r="T58" i="43"/>
  <c r="U58" i="43"/>
  <c r="V58" i="43"/>
  <c r="K59" i="43"/>
  <c r="L59" i="43"/>
  <c r="M59" i="43"/>
  <c r="N59" i="43"/>
  <c r="O59" i="43"/>
  <c r="P59" i="43"/>
  <c r="Q59" i="43"/>
  <c r="R59" i="43"/>
  <c r="S59" i="43"/>
  <c r="T59" i="43"/>
  <c r="U59" i="43"/>
  <c r="V59" i="43"/>
  <c r="K60" i="43"/>
  <c r="L60" i="43"/>
  <c r="M60" i="43"/>
  <c r="N60" i="43"/>
  <c r="O60" i="43"/>
  <c r="P60" i="43"/>
  <c r="Q60" i="43"/>
  <c r="R60" i="43"/>
  <c r="S60" i="43"/>
  <c r="T60" i="43"/>
  <c r="U60" i="43"/>
  <c r="V60" i="43"/>
  <c r="K61" i="43"/>
  <c r="L61" i="43"/>
  <c r="M61" i="43"/>
  <c r="N61" i="43"/>
  <c r="O61" i="43"/>
  <c r="P61" i="43"/>
  <c r="Q61" i="43"/>
  <c r="R61" i="43"/>
  <c r="S61" i="43"/>
  <c r="T61" i="43"/>
  <c r="U61" i="43"/>
  <c r="V61" i="43"/>
  <c r="K62" i="43"/>
  <c r="L62" i="43"/>
  <c r="M62" i="43"/>
  <c r="N62" i="43"/>
  <c r="O62" i="43"/>
  <c r="P62" i="43"/>
  <c r="Q62" i="43"/>
  <c r="R62" i="43"/>
  <c r="S62" i="43"/>
  <c r="T62" i="43"/>
  <c r="U62" i="43"/>
  <c r="V62" i="43"/>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X5" i="24"/>
  <c r="X6" i="24"/>
  <c r="X7" i="24"/>
  <c r="X8" i="24"/>
  <c r="X9" i="24"/>
  <c r="X10" i="24"/>
  <c r="X11" i="24"/>
  <c r="X12" i="24"/>
  <c r="X13" i="24"/>
  <c r="X17" i="24"/>
  <c r="X18" i="24"/>
  <c r="X19" i="24"/>
  <c r="X20" i="24"/>
  <c r="X21" i="24"/>
  <c r="X23" i="24"/>
  <c r="X24" i="24"/>
  <c r="X25" i="24"/>
  <c r="X26" i="24"/>
  <c r="X27" i="24"/>
  <c r="X28" i="24"/>
  <c r="X29" i="24"/>
  <c r="X30" i="24"/>
  <c r="X31" i="24"/>
  <c r="X32" i="24"/>
  <c r="X3" i="24"/>
  <c r="I17" i="50"/>
  <c r="J16" i="50"/>
  <c r="J53" i="50" s="1"/>
  <c r="J15" i="50"/>
  <c r="J52" i="50" s="1"/>
  <c r="J14" i="50"/>
  <c r="J51" i="50" s="1"/>
  <c r="J13" i="50"/>
  <c r="J44" i="50" s="1"/>
  <c r="J12" i="50"/>
  <c r="J43" i="50" s="1"/>
  <c r="J11" i="50"/>
  <c r="J10" i="50"/>
  <c r="J35" i="50" s="1"/>
  <c r="J9" i="50"/>
  <c r="J34" i="50" s="1"/>
  <c r="J8" i="50"/>
  <c r="J33" i="50" s="1"/>
  <c r="J7" i="50"/>
  <c r="J6" i="50"/>
  <c r="J25" i="50" s="1"/>
  <c r="J5" i="50"/>
  <c r="I62" i="71"/>
  <c r="I53" i="72" s="1"/>
  <c r="H62" i="67"/>
  <c r="H52" i="68" s="1"/>
  <c r="I62" i="41"/>
  <c r="I14" i="50"/>
  <c r="I51" i="50" s="1"/>
  <c r="J26" i="50"/>
  <c r="I49" i="50"/>
  <c r="K50" i="50"/>
  <c r="J50" i="50"/>
  <c r="I50" i="50"/>
  <c r="I40" i="50"/>
  <c r="K41" i="50"/>
  <c r="J41" i="50"/>
  <c r="I41" i="50"/>
  <c r="I31" i="50"/>
  <c r="K32" i="50"/>
  <c r="J32" i="50"/>
  <c r="I32" i="50"/>
  <c r="K23" i="50"/>
  <c r="J23" i="50"/>
  <c r="I23" i="50"/>
  <c r="I5" i="50"/>
  <c r="I24" i="50" s="1"/>
  <c r="BR40" i="71"/>
  <c r="R41" i="41"/>
  <c r="X38" i="68"/>
  <c r="W38" i="68"/>
  <c r="J32" i="61" s="1"/>
  <c r="V38" i="68"/>
  <c r="R38" i="68"/>
  <c r="B12" i="43"/>
  <c r="C12" i="43" s="1"/>
  <c r="B13" i="43" s="1"/>
  <c r="C13" i="43" s="1"/>
  <c r="B14" i="43" s="1"/>
  <c r="C14" i="43" s="1"/>
  <c r="B15" i="43" s="1"/>
  <c r="C15" i="43" s="1"/>
  <c r="B16" i="43" s="1"/>
  <c r="C16" i="43" s="1"/>
  <c r="B17" i="43" s="1"/>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P16" i="43" l="1"/>
  <c r="B8" i="47"/>
  <c r="I48" i="68"/>
  <c r="K5" i="50"/>
  <c r="K24" i="50" s="1"/>
  <c r="J24" i="50"/>
  <c r="K14" i="50"/>
  <c r="J42" i="50"/>
  <c r="DJ39" i="73"/>
  <c r="DM39" i="73" s="1"/>
  <c r="DI39" i="73"/>
  <c r="DL39" i="73" s="1"/>
  <c r="DH39" i="73"/>
  <c r="DK39" i="73" s="1"/>
  <c r="DJ38" i="73"/>
  <c r="DM38" i="73" s="1"/>
  <c r="DI38" i="73"/>
  <c r="DL38" i="73" s="1"/>
  <c r="DH38" i="73"/>
  <c r="DK38" i="73" s="1"/>
  <c r="DN38" i="73" s="1"/>
  <c r="AC32" i="25" s="1"/>
  <c r="DJ37" i="73"/>
  <c r="DM37" i="73" s="1"/>
  <c r="DI37" i="73"/>
  <c r="DL37" i="73" s="1"/>
  <c r="DH37" i="73"/>
  <c r="DK37" i="73" s="1"/>
  <c r="DJ36" i="73"/>
  <c r="DM36" i="73" s="1"/>
  <c r="DI36" i="73"/>
  <c r="DL36" i="73" s="1"/>
  <c r="DH36" i="73"/>
  <c r="DK36" i="73" s="1"/>
  <c r="DJ35" i="73"/>
  <c r="DM35" i="73" s="1"/>
  <c r="DI35" i="73"/>
  <c r="DL35" i="73" s="1"/>
  <c r="DH35" i="73"/>
  <c r="DK35" i="73" s="1"/>
  <c r="DJ34" i="73"/>
  <c r="DM34" i="73" s="1"/>
  <c r="DI34" i="73"/>
  <c r="DL34" i="73" s="1"/>
  <c r="DH34" i="73"/>
  <c r="DK34" i="73" s="1"/>
  <c r="DJ33" i="73"/>
  <c r="DM33" i="73" s="1"/>
  <c r="DI33" i="73"/>
  <c r="DL33" i="73" s="1"/>
  <c r="DH33" i="73"/>
  <c r="DK33" i="73" s="1"/>
  <c r="DJ32" i="73"/>
  <c r="DM32" i="73" s="1"/>
  <c r="DI32" i="73"/>
  <c r="DL32" i="73" s="1"/>
  <c r="DH32" i="73"/>
  <c r="DK32" i="73" s="1"/>
  <c r="DJ31" i="73"/>
  <c r="DM31" i="73" s="1"/>
  <c r="DI31" i="73"/>
  <c r="DL31" i="73" s="1"/>
  <c r="DH31" i="73"/>
  <c r="DK31" i="73" s="1"/>
  <c r="DJ30" i="73"/>
  <c r="DM30" i="73" s="1"/>
  <c r="DI30" i="73"/>
  <c r="DL30" i="73" s="1"/>
  <c r="DH30" i="73"/>
  <c r="DK30" i="73" s="1"/>
  <c r="DN30" i="73" s="1"/>
  <c r="AC24" i="25" s="1"/>
  <c r="DJ29" i="73"/>
  <c r="DM29" i="73" s="1"/>
  <c r="DI29" i="73"/>
  <c r="DL29" i="73" s="1"/>
  <c r="DH29" i="73"/>
  <c r="DK29" i="73" s="1"/>
  <c r="DJ28" i="73"/>
  <c r="DM28" i="73" s="1"/>
  <c r="DI28" i="73"/>
  <c r="DL28" i="73" s="1"/>
  <c r="DH28" i="73"/>
  <c r="DK28" i="73" s="1"/>
  <c r="DJ27" i="73"/>
  <c r="DM27" i="73" s="1"/>
  <c r="DI27" i="73"/>
  <c r="DL27" i="73" s="1"/>
  <c r="DH27" i="73"/>
  <c r="DK27" i="73" s="1"/>
  <c r="DN27" i="73" s="1"/>
  <c r="AC21" i="25" s="1"/>
  <c r="DJ26" i="73"/>
  <c r="DM26" i="73" s="1"/>
  <c r="DI26" i="73"/>
  <c r="DL26" i="73" s="1"/>
  <c r="DH26" i="73"/>
  <c r="DK26" i="73" s="1"/>
  <c r="DN26" i="73" s="1"/>
  <c r="AC20" i="25" s="1"/>
  <c r="DJ25" i="73"/>
  <c r="DM25" i="73" s="1"/>
  <c r="DI25" i="73"/>
  <c r="DL25" i="73" s="1"/>
  <c r="DH25" i="73"/>
  <c r="DK25" i="73" s="1"/>
  <c r="DJ24" i="73"/>
  <c r="DM24" i="73" s="1"/>
  <c r="DI24" i="73"/>
  <c r="DL24" i="73" s="1"/>
  <c r="DH24" i="73"/>
  <c r="DK24" i="73" s="1"/>
  <c r="DJ23" i="73"/>
  <c r="DM23" i="73" s="1"/>
  <c r="DI23" i="73"/>
  <c r="DL23" i="73" s="1"/>
  <c r="DH23" i="73"/>
  <c r="DK23" i="73" s="1"/>
  <c r="DN23" i="73" s="1"/>
  <c r="AC17" i="25" s="1"/>
  <c r="DJ22" i="73"/>
  <c r="DM22" i="73" s="1"/>
  <c r="DI22" i="73"/>
  <c r="DL22" i="73" s="1"/>
  <c r="DH22" i="73"/>
  <c r="DK22" i="73" s="1"/>
  <c r="DJ21" i="73"/>
  <c r="DM21" i="73" s="1"/>
  <c r="DI21" i="73"/>
  <c r="DL21" i="73" s="1"/>
  <c r="DH21" i="73"/>
  <c r="DK21" i="73" s="1"/>
  <c r="DJ20" i="73"/>
  <c r="DM20" i="73" s="1"/>
  <c r="DI20" i="73"/>
  <c r="DL20" i="73" s="1"/>
  <c r="DH20" i="73"/>
  <c r="DK20" i="73" s="1"/>
  <c r="DJ19" i="73"/>
  <c r="DM19" i="73" s="1"/>
  <c r="DI19" i="73"/>
  <c r="DL19" i="73" s="1"/>
  <c r="DH19" i="73"/>
  <c r="DK19" i="73" s="1"/>
  <c r="DJ18" i="73"/>
  <c r="DM18" i="73" s="1"/>
  <c r="DI18" i="73"/>
  <c r="DL18" i="73" s="1"/>
  <c r="DH18" i="73"/>
  <c r="DK18" i="73" s="1"/>
  <c r="DJ17" i="73"/>
  <c r="DM17" i="73" s="1"/>
  <c r="DI17" i="73"/>
  <c r="DL17" i="73" s="1"/>
  <c r="DH17" i="73"/>
  <c r="DK17" i="73" s="1"/>
  <c r="DN17" i="73" s="1"/>
  <c r="AC11" i="25" s="1"/>
  <c r="DJ16" i="73"/>
  <c r="DM16" i="73" s="1"/>
  <c r="DI16" i="73"/>
  <c r="DL16" i="73" s="1"/>
  <c r="DH16" i="73"/>
  <c r="DK16" i="73" s="1"/>
  <c r="DJ15" i="73"/>
  <c r="DM15" i="73" s="1"/>
  <c r="DI15" i="73"/>
  <c r="DL15" i="73" s="1"/>
  <c r="DH15" i="73"/>
  <c r="DK15" i="73" s="1"/>
  <c r="DJ14" i="73"/>
  <c r="DM14" i="73" s="1"/>
  <c r="DI14" i="73"/>
  <c r="DL14" i="73" s="1"/>
  <c r="DH14" i="73"/>
  <c r="DK14" i="73" s="1"/>
  <c r="DL13" i="73"/>
  <c r="DJ13" i="73"/>
  <c r="DM13" i="73" s="1"/>
  <c r="DI13" i="73"/>
  <c r="DH13" i="73"/>
  <c r="DK13" i="73" s="1"/>
  <c r="DJ12" i="73"/>
  <c r="DM12" i="73" s="1"/>
  <c r="DI12" i="73"/>
  <c r="DL12" i="73" s="1"/>
  <c r="DH12" i="73"/>
  <c r="DK12" i="73" s="1"/>
  <c r="DJ11" i="73"/>
  <c r="DM11" i="73" s="1"/>
  <c r="DI11" i="73"/>
  <c r="DL11" i="73" s="1"/>
  <c r="DH11" i="73"/>
  <c r="DK11" i="73" s="1"/>
  <c r="DJ10" i="73"/>
  <c r="DM10" i="73" s="1"/>
  <c r="DI10" i="73"/>
  <c r="DL10" i="73" s="1"/>
  <c r="DH10" i="73"/>
  <c r="DK10" i="73" s="1"/>
  <c r="DJ9" i="73"/>
  <c r="DM9" i="73" s="1"/>
  <c r="DI9" i="73"/>
  <c r="DL9" i="73" s="1"/>
  <c r="DH9" i="73"/>
  <c r="DK9" i="73" s="1"/>
  <c r="DJ38" i="72"/>
  <c r="DM38" i="72" s="1"/>
  <c r="DI38" i="72"/>
  <c r="DL38" i="72" s="1"/>
  <c r="DH38" i="72"/>
  <c r="DK38" i="72" s="1"/>
  <c r="DN38" i="72" s="1"/>
  <c r="X32" i="25" s="1"/>
  <c r="DJ37" i="72"/>
  <c r="DM37" i="72" s="1"/>
  <c r="DI37" i="72"/>
  <c r="DL37" i="72" s="1"/>
  <c r="DH37" i="72"/>
  <c r="DK37" i="72" s="1"/>
  <c r="DJ36" i="72"/>
  <c r="DM36" i="72" s="1"/>
  <c r="DI36" i="72"/>
  <c r="DL36" i="72" s="1"/>
  <c r="DH36" i="72"/>
  <c r="DK36" i="72" s="1"/>
  <c r="DJ35" i="72"/>
  <c r="DM35" i="72" s="1"/>
  <c r="DI35" i="72"/>
  <c r="DL35" i="72" s="1"/>
  <c r="DH35" i="72"/>
  <c r="DK35" i="72" s="1"/>
  <c r="DL34" i="72"/>
  <c r="DJ34" i="72"/>
  <c r="DM34" i="72" s="1"/>
  <c r="DI34" i="72"/>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N23" i="72" s="1"/>
  <c r="X17" i="25"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J17" i="72"/>
  <c r="DM17" i="72" s="1"/>
  <c r="DI17" i="72"/>
  <c r="DL17" i="72" s="1"/>
  <c r="DH17" i="72"/>
  <c r="DK17" i="72" s="1"/>
  <c r="DJ16" i="72"/>
  <c r="DM16" i="72" s="1"/>
  <c r="DI16" i="72"/>
  <c r="DL16" i="72" s="1"/>
  <c r="DH16" i="72"/>
  <c r="DK16" i="72" s="1"/>
  <c r="DJ15" i="72"/>
  <c r="DM15" i="72" s="1"/>
  <c r="DI15" i="72"/>
  <c r="DL15" i="72" s="1"/>
  <c r="DH15" i="72"/>
  <c r="DK15" i="72" s="1"/>
  <c r="DN15" i="72" s="1"/>
  <c r="X9" i="25" s="1"/>
  <c r="DJ14" i="72"/>
  <c r="DM14" i="72" s="1"/>
  <c r="DI14" i="72"/>
  <c r="DL14" i="72" s="1"/>
  <c r="DH14" i="72"/>
  <c r="DK14" i="72" s="1"/>
  <c r="DJ13" i="72"/>
  <c r="DM13" i="72" s="1"/>
  <c r="DI13" i="72"/>
  <c r="DL13" i="72" s="1"/>
  <c r="DH13" i="72"/>
  <c r="DK13" i="72" s="1"/>
  <c r="DM12" i="72"/>
  <c r="DJ12" i="72"/>
  <c r="DI12" i="72"/>
  <c r="DL12" i="72" s="1"/>
  <c r="DH12" i="72"/>
  <c r="DK12" i="72" s="1"/>
  <c r="DJ11" i="72"/>
  <c r="DM11" i="72" s="1"/>
  <c r="DI11" i="72"/>
  <c r="DL11" i="72" s="1"/>
  <c r="DH11" i="72"/>
  <c r="DK11" i="72" s="1"/>
  <c r="DJ10" i="72"/>
  <c r="DM10" i="72" s="1"/>
  <c r="DI10" i="72"/>
  <c r="DL10" i="72" s="1"/>
  <c r="DH10" i="72"/>
  <c r="DK10" i="72" s="1"/>
  <c r="DJ9" i="72"/>
  <c r="DM9" i="72" s="1"/>
  <c r="DI9" i="72"/>
  <c r="DL9" i="72" s="1"/>
  <c r="DH9" i="72"/>
  <c r="DK9" i="72" s="1"/>
  <c r="DJ39" i="71"/>
  <c r="DM39" i="71" s="1"/>
  <c r="DI39" i="71"/>
  <c r="DL39" i="71" s="1"/>
  <c r="DH39" i="71"/>
  <c r="DK39" i="71" s="1"/>
  <c r="DN39" i="71" s="1"/>
  <c r="S33" i="25"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N35" i="71" s="1"/>
  <c r="S29" i="25" s="1"/>
  <c r="DJ34" i="71"/>
  <c r="DM34" i="71" s="1"/>
  <c r="DI34" i="71"/>
  <c r="DL34" i="71" s="1"/>
  <c r="DH34" i="71"/>
  <c r="DK34" i="71" s="1"/>
  <c r="DK33" i="71"/>
  <c r="DJ33" i="71"/>
  <c r="DM33" i="71" s="1"/>
  <c r="DI33" i="71"/>
  <c r="DL33" i="71" s="1"/>
  <c r="DH33" i="71"/>
  <c r="DJ32" i="71"/>
  <c r="DM32" i="71" s="1"/>
  <c r="DI32" i="71"/>
  <c r="DL32" i="71" s="1"/>
  <c r="DH32" i="71"/>
  <c r="DK32" i="71" s="1"/>
  <c r="DJ31" i="71"/>
  <c r="DM31" i="71" s="1"/>
  <c r="DI31" i="71"/>
  <c r="DL31" i="71" s="1"/>
  <c r="DH31" i="71"/>
  <c r="DK31" i="71" s="1"/>
  <c r="DJ30" i="71"/>
  <c r="DM30" i="71" s="1"/>
  <c r="DI30" i="71"/>
  <c r="DL30" i="71" s="1"/>
  <c r="DH30" i="71"/>
  <c r="DK30" i="71" s="1"/>
  <c r="DJ29" i="71"/>
  <c r="DM29" i="71" s="1"/>
  <c r="DI29" i="71"/>
  <c r="DL29" i="71" s="1"/>
  <c r="DH29" i="71"/>
  <c r="DK29" i="71" s="1"/>
  <c r="DJ28" i="71"/>
  <c r="DM28" i="71" s="1"/>
  <c r="DI28" i="71"/>
  <c r="DL28" i="71" s="1"/>
  <c r="DH28" i="71"/>
  <c r="DK28" i="71" s="1"/>
  <c r="DJ27" i="71"/>
  <c r="DM27" i="71" s="1"/>
  <c r="DI27" i="71"/>
  <c r="DL27" i="71" s="1"/>
  <c r="DH27" i="71"/>
  <c r="DK27" i="71" s="1"/>
  <c r="DJ26" i="71"/>
  <c r="DM26" i="71" s="1"/>
  <c r="DI26" i="71"/>
  <c r="DL26" i="71" s="1"/>
  <c r="DH26" i="71"/>
  <c r="DK26" i="71" s="1"/>
  <c r="DN26" i="71" s="1"/>
  <c r="S20" i="25" s="1"/>
  <c r="DJ25" i="71"/>
  <c r="DM25" i="71" s="1"/>
  <c r="DI25" i="71"/>
  <c r="DL25" i="71" s="1"/>
  <c r="DH25" i="71"/>
  <c r="DK25" i="71" s="1"/>
  <c r="DJ24" i="71"/>
  <c r="DM24" i="71" s="1"/>
  <c r="DI24" i="71"/>
  <c r="DL24" i="71" s="1"/>
  <c r="DH24" i="71"/>
  <c r="DK24" i="71" s="1"/>
  <c r="DJ23" i="71"/>
  <c r="DM23" i="71" s="1"/>
  <c r="DI23" i="71"/>
  <c r="DL23" i="71" s="1"/>
  <c r="DH23" i="71"/>
  <c r="DK23" i="71" s="1"/>
  <c r="DJ22" i="71"/>
  <c r="DM22" i="71" s="1"/>
  <c r="DI22" i="71"/>
  <c r="DL22" i="71" s="1"/>
  <c r="DH22" i="71"/>
  <c r="DK22" i="71" s="1"/>
  <c r="DJ21" i="71"/>
  <c r="DM21" i="71" s="1"/>
  <c r="DI21" i="71"/>
  <c r="DL21" i="71" s="1"/>
  <c r="DH21" i="71"/>
  <c r="DK21" i="71" s="1"/>
  <c r="DM20" i="71"/>
  <c r="DJ20" i="7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J15" i="71"/>
  <c r="DM15" i="71" s="1"/>
  <c r="DI15" i="71"/>
  <c r="DL15" i="71" s="1"/>
  <c r="DH15" i="71"/>
  <c r="DK15" i="71" s="1"/>
  <c r="DJ14" i="71"/>
  <c r="DM14" i="71" s="1"/>
  <c r="DI14" i="71"/>
  <c r="DL14" i="71" s="1"/>
  <c r="DH14" i="71"/>
  <c r="DK14" i="71" s="1"/>
  <c r="DJ13" i="71"/>
  <c r="DM13" i="71" s="1"/>
  <c r="DI13" i="71"/>
  <c r="DL13" i="71" s="1"/>
  <c r="DH13" i="71"/>
  <c r="DK13" i="71" s="1"/>
  <c r="DJ12" i="71"/>
  <c r="DM12" i="71" s="1"/>
  <c r="DI12" i="71"/>
  <c r="DL12" i="71" s="1"/>
  <c r="DH12" i="71"/>
  <c r="DK12" i="71" s="1"/>
  <c r="DJ11" i="71"/>
  <c r="DM11" i="71" s="1"/>
  <c r="DI11" i="71"/>
  <c r="DL11" i="71" s="1"/>
  <c r="DH11" i="71"/>
  <c r="DK11" i="71" s="1"/>
  <c r="DJ10" i="71"/>
  <c r="DM10" i="71" s="1"/>
  <c r="DI10" i="71"/>
  <c r="DL10" i="71" s="1"/>
  <c r="DH10" i="71"/>
  <c r="DK10" i="71" s="1"/>
  <c r="DJ9" i="71"/>
  <c r="DM9" i="71" s="1"/>
  <c r="DI9" i="71"/>
  <c r="DL9" i="71" s="1"/>
  <c r="DH9" i="71"/>
  <c r="DK9" i="71" s="1"/>
  <c r="DJ38" i="70"/>
  <c r="DM38" i="70" s="1"/>
  <c r="DI38" i="70"/>
  <c r="DL38" i="70" s="1"/>
  <c r="DH38" i="70"/>
  <c r="DK38" i="70" s="1"/>
  <c r="DN38" i="70" s="1"/>
  <c r="N32" i="25" s="1"/>
  <c r="DJ37" i="70"/>
  <c r="DM37" i="70" s="1"/>
  <c r="DI37" i="70"/>
  <c r="DL37" i="70" s="1"/>
  <c r="DH37" i="70"/>
  <c r="DK37" i="70" s="1"/>
  <c r="DJ36" i="70"/>
  <c r="DM36" i="70" s="1"/>
  <c r="DI36" i="70"/>
  <c r="DL36" i="70" s="1"/>
  <c r="DH36" i="70"/>
  <c r="DK36" i="70" s="1"/>
  <c r="DM35" i="70"/>
  <c r="DK35" i="70"/>
  <c r="DJ35" i="70"/>
  <c r="DI35" i="70"/>
  <c r="DL35" i="70" s="1"/>
  <c r="DH35" i="70"/>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J26" i="70"/>
  <c r="DM26" i="70" s="1"/>
  <c r="DI26" i="70"/>
  <c r="DL26" i="70" s="1"/>
  <c r="DH26" i="70"/>
  <c r="DK26" i="70" s="1"/>
  <c r="DJ25" i="70"/>
  <c r="DM25" i="70" s="1"/>
  <c r="DI25" i="70"/>
  <c r="DL25" i="70" s="1"/>
  <c r="DH25" i="70"/>
  <c r="DK25" i="70" s="1"/>
  <c r="DJ24" i="70"/>
  <c r="DM24" i="70" s="1"/>
  <c r="DI24" i="70"/>
  <c r="DL24" i="70" s="1"/>
  <c r="DH24" i="70"/>
  <c r="DK24" i="70" s="1"/>
  <c r="DJ23" i="70"/>
  <c r="DM23" i="70" s="1"/>
  <c r="DI23" i="70"/>
  <c r="DL23" i="70" s="1"/>
  <c r="DH23" i="70"/>
  <c r="DK23" i="70" s="1"/>
  <c r="DN23" i="70" s="1"/>
  <c r="N17" i="25" s="1"/>
  <c r="DJ22" i="70"/>
  <c r="DM22" i="70" s="1"/>
  <c r="DI22" i="70"/>
  <c r="DL22" i="70" s="1"/>
  <c r="DH22" i="70"/>
  <c r="DK22" i="70" s="1"/>
  <c r="DN22" i="70" s="1"/>
  <c r="N16" i="25"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J14" i="70"/>
  <c r="DM14" i="70" s="1"/>
  <c r="DI14" i="70"/>
  <c r="DL14" i="70" s="1"/>
  <c r="DH14" i="70"/>
  <c r="DK14" i="70" s="1"/>
  <c r="DJ13" i="70"/>
  <c r="DM13" i="70" s="1"/>
  <c r="DI13" i="70"/>
  <c r="DL13" i="70" s="1"/>
  <c r="DH13" i="70"/>
  <c r="DK13" i="70" s="1"/>
  <c r="DJ12" i="70"/>
  <c r="DM12" i="70" s="1"/>
  <c r="DI12" i="70"/>
  <c r="DL12" i="70" s="1"/>
  <c r="DH12" i="70"/>
  <c r="DK12" i="70" s="1"/>
  <c r="DJ11" i="70"/>
  <c r="DM11" i="70" s="1"/>
  <c r="DI11" i="70"/>
  <c r="DL11" i="70" s="1"/>
  <c r="DH11" i="70"/>
  <c r="DK11" i="70" s="1"/>
  <c r="DL10" i="70"/>
  <c r="DJ10" i="70"/>
  <c r="DM10" i="70" s="1"/>
  <c r="DI10" i="70"/>
  <c r="DH10" i="70"/>
  <c r="DK10" i="70" s="1"/>
  <c r="DJ9" i="70"/>
  <c r="DM9" i="70" s="1"/>
  <c r="DI9" i="70"/>
  <c r="DL9" i="70" s="1"/>
  <c r="DH9" i="70"/>
  <c r="DK9" i="70" s="1"/>
  <c r="DJ39" i="69"/>
  <c r="DM39" i="69" s="1"/>
  <c r="DI39" i="69"/>
  <c r="DL39" i="69" s="1"/>
  <c r="DH39" i="69"/>
  <c r="DK39" i="69" s="1"/>
  <c r="DJ38" i="69"/>
  <c r="DM38" i="69" s="1"/>
  <c r="DI38" i="69"/>
  <c r="DL38" i="69" s="1"/>
  <c r="DH38" i="69"/>
  <c r="DK38" i="69" s="1"/>
  <c r="DN38" i="69" s="1"/>
  <c r="I32" i="25" s="1"/>
  <c r="DJ37" i="69"/>
  <c r="DM37" i="69" s="1"/>
  <c r="DI37" i="69"/>
  <c r="DL37" i="69" s="1"/>
  <c r="DH37" i="69"/>
  <c r="DK37" i="69" s="1"/>
  <c r="DJ36" i="69"/>
  <c r="DM36" i="69" s="1"/>
  <c r="DI36" i="69"/>
  <c r="DL36" i="69" s="1"/>
  <c r="DH36" i="69"/>
  <c r="DK36" i="69" s="1"/>
  <c r="DL35" i="69"/>
  <c r="DK35" i="69"/>
  <c r="DJ35" i="69"/>
  <c r="DM35" i="69" s="1"/>
  <c r="DI35" i="69"/>
  <c r="DH35" i="69"/>
  <c r="DJ34" i="69"/>
  <c r="DM34" i="69" s="1"/>
  <c r="DI34" i="69"/>
  <c r="DL34" i="69" s="1"/>
  <c r="DH34" i="69"/>
  <c r="DK34" i="69" s="1"/>
  <c r="DK33" i="69"/>
  <c r="DJ33" i="69"/>
  <c r="DM33" i="69" s="1"/>
  <c r="DI33" i="69"/>
  <c r="DL33" i="69" s="1"/>
  <c r="DH33" i="69"/>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J28" i="69"/>
  <c r="DM28" i="69" s="1"/>
  <c r="DI28" i="69"/>
  <c r="DL28" i="69" s="1"/>
  <c r="DH28" i="69"/>
  <c r="DK28" i="69" s="1"/>
  <c r="DJ27" i="69"/>
  <c r="DM27" i="69" s="1"/>
  <c r="DI27" i="69"/>
  <c r="DL27" i="69" s="1"/>
  <c r="DH27" i="69"/>
  <c r="DK27" i="69" s="1"/>
  <c r="DJ26" i="69"/>
  <c r="DM26" i="69" s="1"/>
  <c r="DI26" i="69"/>
  <c r="DL26" i="69" s="1"/>
  <c r="DH26" i="69"/>
  <c r="DK26" i="69" s="1"/>
  <c r="DJ25" i="69"/>
  <c r="DM25" i="69" s="1"/>
  <c r="DI25" i="69"/>
  <c r="DL25" i="69" s="1"/>
  <c r="DH25" i="69"/>
  <c r="DK25" i="69" s="1"/>
  <c r="DJ24" i="69"/>
  <c r="DM24" i="69" s="1"/>
  <c r="DI24" i="69"/>
  <c r="DL24" i="69" s="1"/>
  <c r="DH24" i="69"/>
  <c r="DK24" i="69" s="1"/>
  <c r="DJ23" i="69"/>
  <c r="DM23" i="69" s="1"/>
  <c r="DI23" i="69"/>
  <c r="DL23" i="69" s="1"/>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L18" i="69"/>
  <c r="DJ18" i="69"/>
  <c r="DM18" i="69" s="1"/>
  <c r="DI18" i="69"/>
  <c r="DH18" i="69"/>
  <c r="DK18" i="69" s="1"/>
  <c r="DJ17" i="69"/>
  <c r="DM17" i="69" s="1"/>
  <c r="DI17" i="69"/>
  <c r="DL17" i="69" s="1"/>
  <c r="DH17" i="69"/>
  <c r="DK17" i="69" s="1"/>
  <c r="DJ16" i="69"/>
  <c r="DM16" i="69" s="1"/>
  <c r="DI16" i="69"/>
  <c r="DL16" i="69" s="1"/>
  <c r="DH16" i="69"/>
  <c r="DK16" i="69" s="1"/>
  <c r="DN16" i="69" s="1"/>
  <c r="I10" i="25" s="1"/>
  <c r="DJ15" i="69"/>
  <c r="DM15" i="69" s="1"/>
  <c r="DI15" i="69"/>
  <c r="DL15" i="69" s="1"/>
  <c r="DH15" i="69"/>
  <c r="DK15" i="69" s="1"/>
  <c r="DJ14" i="69"/>
  <c r="DM14" i="69" s="1"/>
  <c r="DI14" i="69"/>
  <c r="DL14" i="69" s="1"/>
  <c r="DH14" i="69"/>
  <c r="DK14" i="69" s="1"/>
  <c r="DJ13" i="69"/>
  <c r="DM13" i="69" s="1"/>
  <c r="DI13" i="69"/>
  <c r="DL13" i="69" s="1"/>
  <c r="DH13" i="69"/>
  <c r="DK13" i="69" s="1"/>
  <c r="DJ12" i="69"/>
  <c r="DM12" i="69" s="1"/>
  <c r="DI12" i="69"/>
  <c r="DL12" i="69" s="1"/>
  <c r="DH12" i="69"/>
  <c r="DK12" i="69" s="1"/>
  <c r="DJ11" i="69"/>
  <c r="DM11" i="69" s="1"/>
  <c r="DI11" i="69"/>
  <c r="DL11" i="69" s="1"/>
  <c r="DH11" i="69"/>
  <c r="DK11" i="69" s="1"/>
  <c r="DJ10" i="69"/>
  <c r="DM10" i="69" s="1"/>
  <c r="DI10" i="69"/>
  <c r="DL10" i="69" s="1"/>
  <c r="DH10" i="69"/>
  <c r="DK10" i="69" s="1"/>
  <c r="DJ9" i="69"/>
  <c r="DM9" i="69" s="1"/>
  <c r="DI9" i="69"/>
  <c r="DL9" i="69" s="1"/>
  <c r="DH9" i="69"/>
  <c r="DK9" i="69" s="1"/>
  <c r="DN9" i="69" s="1"/>
  <c r="I3" i="25" s="1"/>
  <c r="DM39" i="68"/>
  <c r="DL39" i="68"/>
  <c r="DH39" i="68"/>
  <c r="DK39" i="68" s="1"/>
  <c r="DH38" i="68"/>
  <c r="DK38" i="68" s="1"/>
  <c r="DN38"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J19" i="68"/>
  <c r="DM19" i="68" s="1"/>
  <c r="DI19" i="68"/>
  <c r="DL19" i="68" s="1"/>
  <c r="DH19" i="68"/>
  <c r="DK19" i="68" s="1"/>
  <c r="DJ18" i="68"/>
  <c r="DM18" i="68" s="1"/>
  <c r="DI18" i="68"/>
  <c r="DL18" i="68" s="1"/>
  <c r="DH18" i="68"/>
  <c r="DK18" i="68" s="1"/>
  <c r="DJ17" i="68"/>
  <c r="DM17" i="68" s="1"/>
  <c r="DI17" i="68"/>
  <c r="DL17" i="68" s="1"/>
  <c r="DH17" i="68"/>
  <c r="DK17" i="68" s="1"/>
  <c r="DJ16" i="68"/>
  <c r="DM16" i="68" s="1"/>
  <c r="DI16" i="68"/>
  <c r="DL16" i="68" s="1"/>
  <c r="DH16" i="68"/>
  <c r="DK16" i="68" s="1"/>
  <c r="DJ15" i="68"/>
  <c r="DM15" i="68" s="1"/>
  <c r="DI15" i="68"/>
  <c r="DL15" i="68" s="1"/>
  <c r="DH15" i="68"/>
  <c r="DK15" i="68" s="1"/>
  <c r="DJ14" i="68"/>
  <c r="DM14" i="68" s="1"/>
  <c r="DI14" i="68"/>
  <c r="DL14" i="68" s="1"/>
  <c r="DH14" i="68"/>
  <c r="DK14" i="68" s="1"/>
  <c r="DJ13" i="68"/>
  <c r="DM13" i="68" s="1"/>
  <c r="DI13" i="68"/>
  <c r="DL13" i="68" s="1"/>
  <c r="DH13" i="68"/>
  <c r="DK13" i="68" s="1"/>
  <c r="DJ12" i="68"/>
  <c r="DM12" i="68" s="1"/>
  <c r="DI12" i="68"/>
  <c r="DL12" i="68" s="1"/>
  <c r="DH12" i="68"/>
  <c r="DK12" i="68" s="1"/>
  <c r="DJ11" i="68"/>
  <c r="DM11" i="68" s="1"/>
  <c r="DI11" i="68"/>
  <c r="DL11" i="68" s="1"/>
  <c r="DH11" i="68"/>
  <c r="DK11" i="68" s="1"/>
  <c r="DJ10" i="68"/>
  <c r="DM10" i="68" s="1"/>
  <c r="DI10" i="68"/>
  <c r="DL10" i="68" s="1"/>
  <c r="DH10" i="68"/>
  <c r="DK10" i="68" s="1"/>
  <c r="DJ9" i="68"/>
  <c r="DM9" i="68" s="1"/>
  <c r="DI9" i="68"/>
  <c r="DL9" i="68" s="1"/>
  <c r="DH9" i="68"/>
  <c r="DK9" i="68" s="1"/>
  <c r="DJ39" i="67"/>
  <c r="DM39" i="67" s="1"/>
  <c r="DI39" i="67"/>
  <c r="DL39" i="67" s="1"/>
  <c r="DH39" i="67"/>
  <c r="DK39" i="67" s="1"/>
  <c r="DJ38" i="67"/>
  <c r="DM38" i="67" s="1"/>
  <c r="DI38" i="67"/>
  <c r="DL38" i="67" s="1"/>
  <c r="DH38" i="67"/>
  <c r="DK38" i="67" s="1"/>
  <c r="DJ37" i="67"/>
  <c r="DM37" i="67" s="1"/>
  <c r="DI37" i="67"/>
  <c r="DL37" i="67" s="1"/>
  <c r="DH37" i="67"/>
  <c r="DK37" i="67" s="1"/>
  <c r="DM36" i="67"/>
  <c r="DJ36" i="67"/>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J30" i="67"/>
  <c r="DM30" i="67" s="1"/>
  <c r="DI30" i="67"/>
  <c r="DL30" i="67" s="1"/>
  <c r="DH30" i="67"/>
  <c r="DK30" i="67" s="1"/>
  <c r="DJ29" i="67"/>
  <c r="DM29" i="67" s="1"/>
  <c r="DI29" i="67"/>
  <c r="DL29" i="67" s="1"/>
  <c r="DH29" i="67"/>
  <c r="DK29" i="67" s="1"/>
  <c r="DJ28" i="67"/>
  <c r="DM28" i="67" s="1"/>
  <c r="DI28" i="67"/>
  <c r="DL28" i="67" s="1"/>
  <c r="DH28" i="67"/>
  <c r="DK28" i="67" s="1"/>
  <c r="DK27" i="67"/>
  <c r="DJ27" i="67"/>
  <c r="DM27" i="67" s="1"/>
  <c r="DI27" i="67"/>
  <c r="DL27" i="67" s="1"/>
  <c r="DH27" i="67"/>
  <c r="DJ26" i="67"/>
  <c r="DM26" i="67" s="1"/>
  <c r="DI26" i="67"/>
  <c r="DL26" i="67" s="1"/>
  <c r="DH26" i="67"/>
  <c r="DK26" i="67" s="1"/>
  <c r="DK25" i="67"/>
  <c r="DJ25" i="67"/>
  <c r="DM25" i="67" s="1"/>
  <c r="DI25" i="67"/>
  <c r="DL25" i="67" s="1"/>
  <c r="DH25" i="67"/>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M20" i="67"/>
  <c r="DJ20" i="67"/>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J14" i="67"/>
  <c r="DM14" i="67" s="1"/>
  <c r="DI14" i="67"/>
  <c r="DL14" i="67" s="1"/>
  <c r="DH14" i="67"/>
  <c r="DK14" i="67" s="1"/>
  <c r="DJ13" i="67"/>
  <c r="DM13" i="67" s="1"/>
  <c r="DI13" i="67"/>
  <c r="DL13" i="67" s="1"/>
  <c r="DH13" i="67"/>
  <c r="DK13" i="67" s="1"/>
  <c r="DJ12" i="67"/>
  <c r="DM12" i="67" s="1"/>
  <c r="DI12" i="67"/>
  <c r="DL12" i="67" s="1"/>
  <c r="DH12" i="67"/>
  <c r="DK12" i="67" s="1"/>
  <c r="DJ11" i="67"/>
  <c r="DM11" i="67" s="1"/>
  <c r="DI11" i="67"/>
  <c r="DL11" i="67" s="1"/>
  <c r="DH11" i="67"/>
  <c r="DK11" i="67" s="1"/>
  <c r="DN11" i="67" s="1"/>
  <c r="AC5" i="24" s="1"/>
  <c r="DJ10" i="67"/>
  <c r="DM10" i="67" s="1"/>
  <c r="DI10" i="67"/>
  <c r="DL10" i="67" s="1"/>
  <c r="DH10" i="67"/>
  <c r="DK10" i="67" s="1"/>
  <c r="DK9" i="67"/>
  <c r="DJ9" i="67"/>
  <c r="DM9" i="67" s="1"/>
  <c r="DI9" i="67"/>
  <c r="DL9" i="67" s="1"/>
  <c r="DH9" i="67"/>
  <c r="DH39" i="66"/>
  <c r="DK39" i="66" s="1"/>
  <c r="DI39" i="66"/>
  <c r="DL39" i="66" s="1"/>
  <c r="DJ39" i="66"/>
  <c r="DM39" i="66" s="1"/>
  <c r="DJ38" i="66"/>
  <c r="DM38" i="66" s="1"/>
  <c r="DI38" i="66"/>
  <c r="DL38" i="66" s="1"/>
  <c r="DH38" i="66"/>
  <c r="DK38" i="66" s="1"/>
  <c r="DN38" i="66" s="1"/>
  <c r="DJ37" i="66"/>
  <c r="DM37" i="66" s="1"/>
  <c r="DI37" i="66"/>
  <c r="DL37" i="66" s="1"/>
  <c r="DH37" i="66"/>
  <c r="DK37" i="66" s="1"/>
  <c r="DN37" i="66" s="1"/>
  <c r="DJ36" i="66"/>
  <c r="DM36" i="66" s="1"/>
  <c r="DI36" i="66"/>
  <c r="DL36" i="66" s="1"/>
  <c r="DH36" i="66"/>
  <c r="DK36" i="66" s="1"/>
  <c r="DJ35" i="66"/>
  <c r="DM35" i="66" s="1"/>
  <c r="DI35" i="66"/>
  <c r="DL35" i="66" s="1"/>
  <c r="DH35" i="66"/>
  <c r="DK35" i="66" s="1"/>
  <c r="DJ34" i="66"/>
  <c r="DM34" i="66" s="1"/>
  <c r="DI34" i="66"/>
  <c r="DL34" i="66" s="1"/>
  <c r="DH34" i="66"/>
  <c r="DK34" i="66" s="1"/>
  <c r="DL33" i="66"/>
  <c r="DJ33" i="66"/>
  <c r="DM33" i="66" s="1"/>
  <c r="DI33" i="66"/>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M26" i="66"/>
  <c r="DL26" i="66"/>
  <c r="DK26" i="66"/>
  <c r="DJ26" i="66"/>
  <c r="DI26" i="66"/>
  <c r="DH26" i="66"/>
  <c r="DJ25" i="66"/>
  <c r="DM25" i="66" s="1"/>
  <c r="DI25" i="66"/>
  <c r="DL25" i="66" s="1"/>
  <c r="DH25" i="66"/>
  <c r="DK25" i="66" s="1"/>
  <c r="DJ24" i="66"/>
  <c r="DM24" i="66" s="1"/>
  <c r="DI24" i="66"/>
  <c r="DL24" i="66" s="1"/>
  <c r="DH24" i="66"/>
  <c r="DK24" i="66" s="1"/>
  <c r="DJ23" i="66"/>
  <c r="DM23" i="66" s="1"/>
  <c r="DI23" i="66"/>
  <c r="DL23" i="66" s="1"/>
  <c r="DH23" i="66"/>
  <c r="DK23" i="66" s="1"/>
  <c r="DJ22" i="66"/>
  <c r="DM22" i="66" s="1"/>
  <c r="DI22" i="66"/>
  <c r="DL22" i="66" s="1"/>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N18" i="66" s="1"/>
  <c r="DL17" i="66"/>
  <c r="DJ17" i="66"/>
  <c r="DM17" i="66" s="1"/>
  <c r="DI17" i="66"/>
  <c r="DH17" i="66"/>
  <c r="DK17" i="66" s="1"/>
  <c r="DJ16" i="66"/>
  <c r="DM16" i="66" s="1"/>
  <c r="DI16" i="66"/>
  <c r="DL16" i="66" s="1"/>
  <c r="DH16" i="66"/>
  <c r="DK16" i="66" s="1"/>
  <c r="DJ15" i="66"/>
  <c r="DM15" i="66" s="1"/>
  <c r="DI15" i="66"/>
  <c r="DL15" i="66" s="1"/>
  <c r="DH15" i="66"/>
  <c r="DK15" i="66" s="1"/>
  <c r="DJ14" i="66"/>
  <c r="DM14" i="66" s="1"/>
  <c r="DI14" i="66"/>
  <c r="DL14" i="66" s="1"/>
  <c r="DH14" i="66"/>
  <c r="DK14" i="66" s="1"/>
  <c r="DL13" i="66"/>
  <c r="DJ13" i="66"/>
  <c r="DM13" i="66" s="1"/>
  <c r="DI13" i="66"/>
  <c r="DH13" i="66"/>
  <c r="DK13" i="66" s="1"/>
  <c r="DM12" i="66"/>
  <c r="DJ12" i="66"/>
  <c r="DI12" i="66"/>
  <c r="DL12" i="66" s="1"/>
  <c r="DH12" i="66"/>
  <c r="DK12" i="66" s="1"/>
  <c r="DJ11" i="66"/>
  <c r="DM11" i="66" s="1"/>
  <c r="DI11" i="66"/>
  <c r="DL11" i="66" s="1"/>
  <c r="DN11" i="66" s="1"/>
  <c r="DH11" i="66"/>
  <c r="DK11" i="66" s="1"/>
  <c r="DJ10" i="66"/>
  <c r="DM10" i="66" s="1"/>
  <c r="DI10" i="66"/>
  <c r="DL10" i="66" s="1"/>
  <c r="DH10" i="66"/>
  <c r="DK10" i="66" s="1"/>
  <c r="DJ9" i="66"/>
  <c r="DM9" i="66" s="1"/>
  <c r="DI9" i="66"/>
  <c r="DL9" i="66" s="1"/>
  <c r="DH9" i="66"/>
  <c r="DK9" i="66" s="1"/>
  <c r="DM39" i="65"/>
  <c r="DL39" i="65"/>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L34" i="65"/>
  <c r="DJ34" i="65"/>
  <c r="DM34" i="65" s="1"/>
  <c r="DI34" i="65"/>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M29" i="65"/>
  <c r="DJ29" i="65"/>
  <c r="DI29" i="65"/>
  <c r="DL29" i="65" s="1"/>
  <c r="DH29" i="65"/>
  <c r="DK29" i="65" s="1"/>
  <c r="DJ28" i="65"/>
  <c r="DM28" i="65" s="1"/>
  <c r="DI28" i="65"/>
  <c r="DL28" i="65" s="1"/>
  <c r="DH28" i="65"/>
  <c r="DK28" i="65" s="1"/>
  <c r="DJ27" i="65"/>
  <c r="DM27" i="65" s="1"/>
  <c r="DI27" i="65"/>
  <c r="DL27" i="65" s="1"/>
  <c r="DH27" i="65"/>
  <c r="DK27" i="65" s="1"/>
  <c r="DL26" i="65"/>
  <c r="DJ26" i="65"/>
  <c r="DM26" i="65" s="1"/>
  <c r="DI26" i="65"/>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J13" i="65"/>
  <c r="DM13" i="65" s="1"/>
  <c r="DI13" i="65"/>
  <c r="DL13" i="65" s="1"/>
  <c r="DH13" i="65"/>
  <c r="DK13" i="65" s="1"/>
  <c r="DL12" i="65"/>
  <c r="DJ12" i="65"/>
  <c r="DM12" i="65" s="1"/>
  <c r="DI12" i="65"/>
  <c r="DH12" i="65"/>
  <c r="DK12" i="65" s="1"/>
  <c r="DJ11" i="65"/>
  <c r="DM11" i="65" s="1"/>
  <c r="DI11" i="65"/>
  <c r="DL11" i="65" s="1"/>
  <c r="DH11" i="65"/>
  <c r="DK11" i="65" s="1"/>
  <c r="DJ10" i="65"/>
  <c r="DM10" i="65" s="1"/>
  <c r="DI10" i="65"/>
  <c r="DL10" i="65" s="1"/>
  <c r="DH10" i="65"/>
  <c r="DK10" i="65" s="1"/>
  <c r="DJ9" i="65"/>
  <c r="DM9" i="65" s="1"/>
  <c r="DI9" i="65"/>
  <c r="DL9" i="65" s="1"/>
  <c r="DH9" i="65"/>
  <c r="DK9" i="65" s="1"/>
  <c r="DH9" i="64"/>
  <c r="DK9" i="64" s="1"/>
  <c r="DJ36" i="64"/>
  <c r="DM36" i="64" s="1"/>
  <c r="DI36" i="64"/>
  <c r="DL36" i="64" s="1"/>
  <c r="DH36" i="64"/>
  <c r="DK36" i="64" s="1"/>
  <c r="DJ35" i="64"/>
  <c r="DM35" i="64" s="1"/>
  <c r="DI35" i="64"/>
  <c r="DL35" i="64" s="1"/>
  <c r="DH35" i="64"/>
  <c r="DK35" i="64" s="1"/>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N31" i="64" s="1"/>
  <c r="N25" i="24" s="1"/>
  <c r="DK30" i="64"/>
  <c r="DJ30" i="64"/>
  <c r="DM30" i="64" s="1"/>
  <c r="DI30" i="64"/>
  <c r="DL30" i="64" s="1"/>
  <c r="DH30" i="64"/>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J23" i="64"/>
  <c r="DM23" i="64" s="1"/>
  <c r="DI23" i="64"/>
  <c r="DL23" i="64" s="1"/>
  <c r="DH23" i="64"/>
  <c r="DK23" i="64" s="1"/>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N15" i="64" s="1"/>
  <c r="N9" i="24" s="1"/>
  <c r="DJ14" i="64"/>
  <c r="DM14" i="64" s="1"/>
  <c r="DI14" i="64"/>
  <c r="DL14" i="64" s="1"/>
  <c r="DH14" i="64"/>
  <c r="DK14" i="64" s="1"/>
  <c r="DJ13" i="64"/>
  <c r="DM13" i="64" s="1"/>
  <c r="DI13" i="64"/>
  <c r="DL13" i="64" s="1"/>
  <c r="DH13" i="64"/>
  <c r="DK13" i="64" s="1"/>
  <c r="DJ12" i="64"/>
  <c r="DM12" i="64" s="1"/>
  <c r="DI12" i="64"/>
  <c r="DL12" i="64" s="1"/>
  <c r="DH12" i="64"/>
  <c r="DK12" i="64" s="1"/>
  <c r="DJ11" i="64"/>
  <c r="DM11" i="64" s="1"/>
  <c r="DI11" i="64"/>
  <c r="DL11" i="64" s="1"/>
  <c r="DH11" i="64"/>
  <c r="DK11" i="64" s="1"/>
  <c r="DJ10" i="64"/>
  <c r="DM10" i="64" s="1"/>
  <c r="DI10" i="64"/>
  <c r="DL10" i="64" s="1"/>
  <c r="DH10" i="64"/>
  <c r="DK10" i="64" s="1"/>
  <c r="DJ9" i="64"/>
  <c r="DM9" i="64" s="1"/>
  <c r="DI9" i="64"/>
  <c r="DL9" i="64" s="1"/>
  <c r="DN16" i="68" l="1"/>
  <c r="D10" i="25" s="1"/>
  <c r="DN15" i="70"/>
  <c r="N9" i="25" s="1"/>
  <c r="DN10" i="66"/>
  <c r="X4" i="24" s="1"/>
  <c r="N31" i="24"/>
  <c r="A9" i="47"/>
  <c r="Q16" i="43"/>
  <c r="DN23" i="71"/>
  <c r="S17" i="25" s="1"/>
  <c r="DN16" i="71"/>
  <c r="S10" i="25" s="1"/>
  <c r="DN30" i="68"/>
  <c r="D24" i="25" s="1"/>
  <c r="DN10" i="73"/>
  <c r="AC4" i="25" s="1"/>
  <c r="DN35" i="72"/>
  <c r="X29" i="25" s="1"/>
  <c r="DN19" i="64"/>
  <c r="N13" i="24" s="1"/>
  <c r="DN14" i="73"/>
  <c r="AC8" i="25" s="1"/>
  <c r="DN35" i="73"/>
  <c r="AC29" i="25" s="1"/>
  <c r="DN12" i="73"/>
  <c r="AC6" i="25" s="1"/>
  <c r="DN20" i="73"/>
  <c r="AC14" i="25" s="1"/>
  <c r="DN21" i="73"/>
  <c r="AC15" i="25" s="1"/>
  <c r="DN19" i="73"/>
  <c r="AC13" i="25" s="1"/>
  <c r="DN29" i="73"/>
  <c r="AC23" i="25" s="1"/>
  <c r="DN39" i="73"/>
  <c r="AC33" i="25" s="1"/>
  <c r="DN13" i="73"/>
  <c r="AC7" i="25" s="1"/>
  <c r="DN37" i="73"/>
  <c r="AC31" i="25" s="1"/>
  <c r="DN28" i="73"/>
  <c r="AC22" i="25" s="1"/>
  <c r="DN36" i="73"/>
  <c r="AC30" i="25" s="1"/>
  <c r="DN13" i="72"/>
  <c r="X7" i="25" s="1"/>
  <c r="DN26" i="72"/>
  <c r="X20" i="25" s="1"/>
  <c r="DN27" i="72"/>
  <c r="X21" i="25" s="1"/>
  <c r="DN11" i="72"/>
  <c r="X5" i="25" s="1"/>
  <c r="DN16" i="72"/>
  <c r="X10" i="25" s="1"/>
  <c r="DN31" i="72"/>
  <c r="X25" i="25" s="1"/>
  <c r="DN12" i="72"/>
  <c r="X6" i="25" s="1"/>
  <c r="DN29" i="72"/>
  <c r="X23" i="25" s="1"/>
  <c r="DN19" i="72"/>
  <c r="X13" i="25" s="1"/>
  <c r="DN28" i="72"/>
  <c r="X22" i="25" s="1"/>
  <c r="DN30" i="72"/>
  <c r="X24" i="25" s="1"/>
  <c r="DN37" i="72"/>
  <c r="X31" i="25" s="1"/>
  <c r="DN22" i="71"/>
  <c r="S16" i="25" s="1"/>
  <c r="DN14" i="71"/>
  <c r="S8" i="25" s="1"/>
  <c r="DN21" i="71"/>
  <c r="S15" i="25" s="1"/>
  <c r="DN31" i="71"/>
  <c r="S25" i="25" s="1"/>
  <c r="DN11" i="71"/>
  <c r="S5" i="25" s="1"/>
  <c r="DN12" i="71"/>
  <c r="S6" i="25" s="1"/>
  <c r="DN29" i="71"/>
  <c r="S23" i="25" s="1"/>
  <c r="DN37" i="71"/>
  <c r="S31" i="25" s="1"/>
  <c r="DN20" i="71"/>
  <c r="S14" i="25" s="1"/>
  <c r="DN28" i="71"/>
  <c r="S22" i="25" s="1"/>
  <c r="DN13" i="71"/>
  <c r="S7" i="25" s="1"/>
  <c r="DN15" i="71"/>
  <c r="S9" i="25" s="1"/>
  <c r="DN30" i="71"/>
  <c r="S24" i="25" s="1"/>
  <c r="DN36" i="71"/>
  <c r="S30" i="25" s="1"/>
  <c r="DN19" i="71"/>
  <c r="S13" i="25" s="1"/>
  <c r="DN27" i="71"/>
  <c r="S21" i="25" s="1"/>
  <c r="DN38" i="71"/>
  <c r="S32" i="25" s="1"/>
  <c r="DN27" i="70"/>
  <c r="N21" i="25" s="1"/>
  <c r="DN11" i="70"/>
  <c r="N5" i="25" s="1"/>
  <c r="DN19" i="70"/>
  <c r="N13" i="25" s="1"/>
  <c r="DN26" i="70"/>
  <c r="N20" i="25" s="1"/>
  <c r="DN28" i="70"/>
  <c r="N22" i="25" s="1"/>
  <c r="DN30" i="70"/>
  <c r="N24" i="25" s="1"/>
  <c r="DN36" i="70"/>
  <c r="N30" i="25" s="1"/>
  <c r="DN13" i="70"/>
  <c r="N7" i="25" s="1"/>
  <c r="DN21" i="70"/>
  <c r="N15" i="25" s="1"/>
  <c r="DN31" i="70"/>
  <c r="N25" i="25" s="1"/>
  <c r="DN16" i="70"/>
  <c r="N10" i="25" s="1"/>
  <c r="DN29" i="70"/>
  <c r="N23" i="25" s="1"/>
  <c r="DN12" i="70"/>
  <c r="N6" i="25" s="1"/>
  <c r="DN35" i="70"/>
  <c r="N29" i="25" s="1"/>
  <c r="DN37" i="70"/>
  <c r="N31" i="25" s="1"/>
  <c r="DN20" i="70"/>
  <c r="N14" i="25" s="1"/>
  <c r="DN34" i="69"/>
  <c r="I28" i="25" s="1"/>
  <c r="DN21" i="69"/>
  <c r="I15" i="25" s="1"/>
  <c r="DN11" i="69"/>
  <c r="I5" i="25" s="1"/>
  <c r="DN31" i="69"/>
  <c r="I25" i="25" s="1"/>
  <c r="DN35" i="69"/>
  <c r="I29" i="25" s="1"/>
  <c r="DN28" i="69"/>
  <c r="I22" i="25" s="1"/>
  <c r="DN37" i="69"/>
  <c r="I31" i="25" s="1"/>
  <c r="DN15" i="69"/>
  <c r="I9" i="25" s="1"/>
  <c r="DN13" i="69"/>
  <c r="I7" i="25" s="1"/>
  <c r="DN23" i="69"/>
  <c r="I17" i="25" s="1"/>
  <c r="DN36" i="69"/>
  <c r="I30" i="25" s="1"/>
  <c r="DN27" i="69"/>
  <c r="I21" i="25" s="1"/>
  <c r="DN29" i="69"/>
  <c r="I23" i="25" s="1"/>
  <c r="DN12" i="69"/>
  <c r="I6" i="25" s="1"/>
  <c r="DN24" i="69"/>
  <c r="I18" i="25" s="1"/>
  <c r="DN19" i="69"/>
  <c r="I13" i="25" s="1"/>
  <c r="DN20" i="69"/>
  <c r="I14" i="25" s="1"/>
  <c r="DN32" i="69"/>
  <c r="I26" i="25" s="1"/>
  <c r="DN39" i="69"/>
  <c r="I33" i="25" s="1"/>
  <c r="DN11" i="68"/>
  <c r="D5" i="25" s="1"/>
  <c r="DN26" i="68"/>
  <c r="D20" i="25" s="1"/>
  <c r="D31" i="25"/>
  <c r="DN27" i="68"/>
  <c r="D21" i="25" s="1"/>
  <c r="DN29" i="68"/>
  <c r="D23" i="25" s="1"/>
  <c r="DN12" i="68"/>
  <c r="D6" i="25" s="1"/>
  <c r="DN35" i="68"/>
  <c r="D29" i="25" s="1"/>
  <c r="DN20" i="68"/>
  <c r="D14" i="25" s="1"/>
  <c r="DN22" i="68"/>
  <c r="D16" i="25" s="1"/>
  <c r="DN28" i="68"/>
  <c r="D22" i="25" s="1"/>
  <c r="DN36" i="68"/>
  <c r="D30" i="25" s="1"/>
  <c r="DN15" i="68"/>
  <c r="D9" i="25" s="1"/>
  <c r="DN13" i="68"/>
  <c r="D7" i="25" s="1"/>
  <c r="DN23" i="68"/>
  <c r="D17" i="25" s="1"/>
  <c r="DN19" i="68"/>
  <c r="D13" i="25" s="1"/>
  <c r="DN21" i="68"/>
  <c r="D15" i="25" s="1"/>
  <c r="DN31" i="68"/>
  <c r="D25" i="25" s="1"/>
  <c r="DN19" i="67"/>
  <c r="AC13" i="24" s="1"/>
  <c r="DN20" i="67"/>
  <c r="AC14" i="24" s="1"/>
  <c r="DN27" i="67"/>
  <c r="AC21" i="24" s="1"/>
  <c r="DN35" i="67"/>
  <c r="AC29" i="24" s="1"/>
  <c r="DN13" i="67"/>
  <c r="AC7" i="24" s="1"/>
  <c r="DN15" i="67"/>
  <c r="AC9" i="24" s="1"/>
  <c r="DN22" i="67"/>
  <c r="AC16" i="24" s="1"/>
  <c r="DN24" i="67"/>
  <c r="AC18" i="24" s="1"/>
  <c r="DN29" i="67"/>
  <c r="AC23" i="24" s="1"/>
  <c r="DN37" i="67"/>
  <c r="AC31" i="24" s="1"/>
  <c r="DN39" i="67"/>
  <c r="AC33" i="24" s="1"/>
  <c r="DN12" i="67"/>
  <c r="AC6" i="24" s="1"/>
  <c r="DN28" i="67"/>
  <c r="AC22" i="24" s="1"/>
  <c r="DN36" i="67"/>
  <c r="AC30" i="24" s="1"/>
  <c r="DN14" i="67"/>
  <c r="AC8" i="24" s="1"/>
  <c r="DN16" i="67"/>
  <c r="AC10" i="24" s="1"/>
  <c r="DN21" i="67"/>
  <c r="AC15" i="24" s="1"/>
  <c r="DN23" i="67"/>
  <c r="AC17" i="24" s="1"/>
  <c r="DN38" i="67"/>
  <c r="AC32" i="24" s="1"/>
  <c r="DN27" i="66"/>
  <c r="DN12" i="66"/>
  <c r="DN13" i="66"/>
  <c r="DN29" i="66"/>
  <c r="DN20" i="66"/>
  <c r="X14" i="24" s="1"/>
  <c r="DN35" i="66"/>
  <c r="DN22" i="66"/>
  <c r="X16" i="24" s="1"/>
  <c r="DN26" i="66"/>
  <c r="DN30" i="66"/>
  <c r="DN14" i="66"/>
  <c r="DN23" i="66"/>
  <c r="DN34" i="66"/>
  <c r="DN36" i="66"/>
  <c r="DN19" i="66"/>
  <c r="DN18" i="65"/>
  <c r="S12" i="24" s="1"/>
  <c r="DN23" i="65"/>
  <c r="S17" i="24" s="1"/>
  <c r="DN30" i="65"/>
  <c r="S24" i="24" s="1"/>
  <c r="DN35" i="65"/>
  <c r="S29" i="24" s="1"/>
  <c r="DN11" i="65"/>
  <c r="S5" i="24" s="1"/>
  <c r="DN31" i="65"/>
  <c r="S25" i="24" s="1"/>
  <c r="DN19" i="65"/>
  <c r="S13" i="24" s="1"/>
  <c r="DN22" i="65"/>
  <c r="S16" i="24" s="1"/>
  <c r="DN39" i="65"/>
  <c r="DN27" i="65"/>
  <c r="S21" i="24" s="1"/>
  <c r="DN28" i="65"/>
  <c r="S22" i="24" s="1"/>
  <c r="DN21" i="65"/>
  <c r="S15" i="24" s="1"/>
  <c r="DN36" i="65"/>
  <c r="S30" i="24" s="1"/>
  <c r="DN13" i="65"/>
  <c r="S7" i="24" s="1"/>
  <c r="DN12" i="65"/>
  <c r="S6" i="24" s="1"/>
  <c r="DN14" i="65"/>
  <c r="S8" i="24" s="1"/>
  <c r="DN20" i="65"/>
  <c r="S14" i="24" s="1"/>
  <c r="DN32" i="65"/>
  <c r="S26" i="24" s="1"/>
  <c r="DN22" i="64"/>
  <c r="N16" i="24" s="1"/>
  <c r="DN9" i="64"/>
  <c r="N3" i="24" s="1"/>
  <c r="DN13" i="64"/>
  <c r="N7" i="24" s="1"/>
  <c r="DN33" i="64"/>
  <c r="N27" i="24" s="1"/>
  <c r="DN23" i="64"/>
  <c r="N17" i="24" s="1"/>
  <c r="DN32" i="64"/>
  <c r="N26" i="24" s="1"/>
  <c r="DN16" i="64"/>
  <c r="N10" i="24" s="1"/>
  <c r="DN18" i="64"/>
  <c r="N12" i="24" s="1"/>
  <c r="N33" i="24"/>
  <c r="DN11" i="73"/>
  <c r="AC5" i="25" s="1"/>
  <c r="DN22" i="72"/>
  <c r="X16" i="25" s="1"/>
  <c r="DN21" i="72"/>
  <c r="X15" i="25" s="1"/>
  <c r="DN20" i="72"/>
  <c r="X14" i="25" s="1"/>
  <c r="DN36" i="72"/>
  <c r="X30" i="25" s="1"/>
  <c r="DN14" i="69"/>
  <c r="I8" i="25" s="1"/>
  <c r="DN32" i="67"/>
  <c r="AC26" i="24" s="1"/>
  <c r="DN31" i="67"/>
  <c r="AC25" i="24" s="1"/>
  <c r="DN30" i="67"/>
  <c r="AC24" i="24" s="1"/>
  <c r="DN21" i="66"/>
  <c r="X15" i="24" s="1"/>
  <c r="DN28" i="66"/>
  <c r="X22" i="24" s="1"/>
  <c r="DN24" i="64"/>
  <c r="N18" i="24" s="1"/>
  <c r="DN34" i="73"/>
  <c r="AC28" i="25" s="1"/>
  <c r="DN16" i="73"/>
  <c r="AC10" i="25" s="1"/>
  <c r="DN9" i="73"/>
  <c r="AC3" i="25" s="1"/>
  <c r="DN18" i="73"/>
  <c r="AC12" i="25" s="1"/>
  <c r="DN25" i="73"/>
  <c r="AC19" i="25" s="1"/>
  <c r="DN31" i="73"/>
  <c r="AC25" i="25" s="1"/>
  <c r="DN33" i="73"/>
  <c r="AC27" i="25" s="1"/>
  <c r="DN24" i="73"/>
  <c r="AC18" i="25" s="1"/>
  <c r="DN15" i="73"/>
  <c r="AC9" i="25" s="1"/>
  <c r="DN22" i="73"/>
  <c r="AC16" i="25" s="1"/>
  <c r="DN32" i="73"/>
  <c r="AC26" i="25" s="1"/>
  <c r="DN34" i="72"/>
  <c r="X28" i="25" s="1"/>
  <c r="DN17" i="72"/>
  <c r="X11" i="25" s="1"/>
  <c r="DN33" i="72"/>
  <c r="X27" i="25" s="1"/>
  <c r="DN9" i="72"/>
  <c r="X3" i="25" s="1"/>
  <c r="DN25" i="72"/>
  <c r="X19" i="25" s="1"/>
  <c r="DN10" i="72"/>
  <c r="X4" i="25" s="1"/>
  <c r="DN24" i="72"/>
  <c r="X18" i="25" s="1"/>
  <c r="DN14" i="72"/>
  <c r="X8" i="25" s="1"/>
  <c r="DN18" i="72"/>
  <c r="X12" i="25" s="1"/>
  <c r="DN32" i="72"/>
  <c r="X26" i="25" s="1"/>
  <c r="DN25" i="71"/>
  <c r="S19" i="25" s="1"/>
  <c r="DN33" i="71"/>
  <c r="S27" i="25" s="1"/>
  <c r="DN17" i="71"/>
  <c r="S11" i="25" s="1"/>
  <c r="DN24" i="71"/>
  <c r="S18" i="25" s="1"/>
  <c r="DN34" i="71"/>
  <c r="S28" i="25" s="1"/>
  <c r="DN10" i="71"/>
  <c r="S4" i="25" s="1"/>
  <c r="DN9" i="71"/>
  <c r="S3" i="25" s="1"/>
  <c r="DN18" i="71"/>
  <c r="S12" i="25" s="1"/>
  <c r="DN32" i="71"/>
  <c r="S26" i="25" s="1"/>
  <c r="DN34" i="70"/>
  <c r="N28" i="25" s="1"/>
  <c r="DN9" i="70"/>
  <c r="N3" i="25" s="1"/>
  <c r="DN17" i="70"/>
  <c r="N11" i="25" s="1"/>
  <c r="DN25" i="70"/>
  <c r="N19" i="25" s="1"/>
  <c r="DN33" i="70"/>
  <c r="N27" i="25" s="1"/>
  <c r="DN10" i="70"/>
  <c r="N4" i="25" s="1"/>
  <c r="DN24" i="70"/>
  <c r="N18" i="25" s="1"/>
  <c r="DN14" i="70"/>
  <c r="N8" i="25" s="1"/>
  <c r="DN18" i="70"/>
  <c r="N12" i="25" s="1"/>
  <c r="DN32" i="70"/>
  <c r="N26" i="25" s="1"/>
  <c r="DN25" i="69"/>
  <c r="I19" i="25" s="1"/>
  <c r="DN33" i="69"/>
  <c r="I27" i="25" s="1"/>
  <c r="DN17" i="69"/>
  <c r="I11" i="25" s="1"/>
  <c r="DN18" i="69"/>
  <c r="I12" i="25" s="1"/>
  <c r="DN10" i="69"/>
  <c r="I4" i="25" s="1"/>
  <c r="DN22" i="69"/>
  <c r="I16" i="25" s="1"/>
  <c r="DN26" i="69"/>
  <c r="I20" i="25" s="1"/>
  <c r="DN30" i="69"/>
  <c r="I24" i="25" s="1"/>
  <c r="DN39" i="68"/>
  <c r="DN34" i="68"/>
  <c r="D28" i="25" s="1"/>
  <c r="DN9" i="68"/>
  <c r="D3" i="25" s="1"/>
  <c r="DN33" i="68"/>
  <c r="D27" i="25" s="1"/>
  <c r="DN10" i="68"/>
  <c r="D4" i="25" s="1"/>
  <c r="DN24" i="68"/>
  <c r="D18" i="25" s="1"/>
  <c r="DN17" i="68"/>
  <c r="D11" i="25" s="1"/>
  <c r="DN25" i="68"/>
  <c r="D19" i="25" s="1"/>
  <c r="DN14" i="68"/>
  <c r="D8" i="25" s="1"/>
  <c r="DN18" i="68"/>
  <c r="D12" i="25" s="1"/>
  <c r="DN32" i="68"/>
  <c r="D26" i="25" s="1"/>
  <c r="DN26" i="67"/>
  <c r="AC20" i="24" s="1"/>
  <c r="DN10" i="67"/>
  <c r="AC4" i="24" s="1"/>
  <c r="DN9" i="67"/>
  <c r="AC3" i="24" s="1"/>
  <c r="DN18" i="67"/>
  <c r="AC12" i="24" s="1"/>
  <c r="DN25" i="67"/>
  <c r="AC19" i="24" s="1"/>
  <c r="DN34" i="67"/>
  <c r="AC28" i="24" s="1"/>
  <c r="DN17" i="67"/>
  <c r="AC11" i="24" s="1"/>
  <c r="DN33" i="67"/>
  <c r="AC27" i="24" s="1"/>
  <c r="DN39" i="66"/>
  <c r="X33" i="24" s="1"/>
  <c r="DN9" i="66"/>
  <c r="DN33" i="66"/>
  <c r="DN16" i="66"/>
  <c r="DN25" i="66"/>
  <c r="DN32" i="66"/>
  <c r="DN17" i="66"/>
  <c r="DN24" i="66"/>
  <c r="DN15" i="66"/>
  <c r="DN31" i="66"/>
  <c r="DN38" i="65"/>
  <c r="S32" i="24" s="1"/>
  <c r="DN9" i="65"/>
  <c r="S3" i="24" s="1"/>
  <c r="DN15" i="65"/>
  <c r="S9" i="24" s="1"/>
  <c r="DN34" i="65"/>
  <c r="S28" i="24" s="1"/>
  <c r="DN26" i="65"/>
  <c r="S20" i="24" s="1"/>
  <c r="DN29" i="65"/>
  <c r="S23" i="24" s="1"/>
  <c r="DN33" i="65"/>
  <c r="S27" i="24" s="1"/>
  <c r="DN17" i="65"/>
  <c r="S11" i="24" s="1"/>
  <c r="DN25" i="65"/>
  <c r="S19" i="24" s="1"/>
  <c r="DN16" i="65"/>
  <c r="S10" i="24" s="1"/>
  <c r="DN10" i="65"/>
  <c r="S4" i="24" s="1"/>
  <c r="DN24" i="65"/>
  <c r="S18" i="24" s="1"/>
  <c r="DN37" i="65"/>
  <c r="S31" i="24" s="1"/>
  <c r="DN20" i="64"/>
  <c r="N14" i="24" s="1"/>
  <c r="DN10" i="64"/>
  <c r="N4" i="24" s="1"/>
  <c r="DN14" i="64"/>
  <c r="N8" i="24" s="1"/>
  <c r="DN28" i="64"/>
  <c r="N22" i="24" s="1"/>
  <c r="N32" i="24"/>
  <c r="DN36" i="64"/>
  <c r="N30" i="24" s="1"/>
  <c r="DN26" i="64"/>
  <c r="N20" i="24" s="1"/>
  <c r="DN30" i="64"/>
  <c r="N24" i="24" s="1"/>
  <c r="DN11" i="64"/>
  <c r="N5" i="24" s="1"/>
  <c r="DN34" i="64"/>
  <c r="N28" i="24" s="1"/>
  <c r="DN17" i="64"/>
  <c r="N11" i="24" s="1"/>
  <c r="DN21" i="64"/>
  <c r="N15" i="24" s="1"/>
  <c r="DN27" i="64"/>
  <c r="N21" i="24" s="1"/>
  <c r="DN12" i="64"/>
  <c r="N6" i="24" s="1"/>
  <c r="DN25" i="64"/>
  <c r="N19" i="24" s="1"/>
  <c r="DN29" i="64"/>
  <c r="N23" i="24" s="1"/>
  <c r="DN35" i="64"/>
  <c r="N29" i="24" s="1"/>
  <c r="DM39" i="63"/>
  <c r="DL39" i="63"/>
  <c r="DH39" i="63"/>
  <c r="DK39" i="63" s="1"/>
  <c r="DJ38" i="63"/>
  <c r="DM38" i="63" s="1"/>
  <c r="DI38" i="63"/>
  <c r="DL38" i="63" s="1"/>
  <c r="DH38" i="63"/>
  <c r="DK38" i="63" s="1"/>
  <c r="DN38" i="63" s="1"/>
  <c r="I32" i="24"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J32" i="63"/>
  <c r="DM32" i="63" s="1"/>
  <c r="DI32" i="63"/>
  <c r="DL32" i="63" s="1"/>
  <c r="DH32" i="63"/>
  <c r="DK32" i="63" s="1"/>
  <c r="DJ31" i="63"/>
  <c r="DM31" i="63" s="1"/>
  <c r="DI31" i="63"/>
  <c r="DL31" i="63" s="1"/>
  <c r="DH31" i="63"/>
  <c r="DK31" i="63" s="1"/>
  <c r="DN31" i="63" s="1"/>
  <c r="I25" i="24" s="1"/>
  <c r="DJ30" i="63"/>
  <c r="DM30" i="63" s="1"/>
  <c r="DI30" i="63"/>
  <c r="DL30" i="63" s="1"/>
  <c r="DH30" i="63"/>
  <c r="DK30" i="63" s="1"/>
  <c r="DJ29" i="63"/>
  <c r="DM29" i="63" s="1"/>
  <c r="DI29" i="63"/>
  <c r="DL29" i="63" s="1"/>
  <c r="DH29" i="63"/>
  <c r="DK29" i="63" s="1"/>
  <c r="DJ28" i="63"/>
  <c r="DM28" i="63" s="1"/>
  <c r="DI28" i="63"/>
  <c r="DL28" i="63" s="1"/>
  <c r="DH28" i="63"/>
  <c r="DK28" i="63" s="1"/>
  <c r="DN28" i="63" s="1"/>
  <c r="I22" i="24"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N23" i="63" s="1"/>
  <c r="I17" i="24" s="1"/>
  <c r="DJ22" i="63"/>
  <c r="DM22" i="63" s="1"/>
  <c r="DI22" i="63"/>
  <c r="DL22" i="63" s="1"/>
  <c r="DH22" i="63"/>
  <c r="DK22" i="63" s="1"/>
  <c r="DJ21" i="63"/>
  <c r="DM21" i="63" s="1"/>
  <c r="DI21" i="63"/>
  <c r="DL21" i="63" s="1"/>
  <c r="DH21" i="63"/>
  <c r="DK21" i="63" s="1"/>
  <c r="DJ20" i="63"/>
  <c r="DM20" i="63" s="1"/>
  <c r="DI20" i="63"/>
  <c r="DL20" i="63" s="1"/>
  <c r="DH20" i="63"/>
  <c r="DK20" i="63" s="1"/>
  <c r="DJ19" i="63"/>
  <c r="DM19" i="63" s="1"/>
  <c r="DI19" i="63"/>
  <c r="DL19" i="63" s="1"/>
  <c r="DH19" i="63"/>
  <c r="DK19" i="63" s="1"/>
  <c r="DJ18" i="63"/>
  <c r="DM18" i="63" s="1"/>
  <c r="DI18" i="63"/>
  <c r="DL18" i="63" s="1"/>
  <c r="DH18" i="63"/>
  <c r="DK18" i="63" s="1"/>
  <c r="DJ17" i="63"/>
  <c r="DM17" i="63" s="1"/>
  <c r="DI17" i="63"/>
  <c r="DL17" i="63" s="1"/>
  <c r="DH17" i="63"/>
  <c r="DK17" i="63" s="1"/>
  <c r="DN17" i="63" s="1"/>
  <c r="I11" i="24" s="1"/>
  <c r="DJ16" i="63"/>
  <c r="DM16" i="63" s="1"/>
  <c r="DI16" i="63"/>
  <c r="DL16" i="63" s="1"/>
  <c r="DH16" i="63"/>
  <c r="DK16" i="63" s="1"/>
  <c r="DJ15" i="63"/>
  <c r="DM15" i="63" s="1"/>
  <c r="DI15" i="63"/>
  <c r="DL15" i="63" s="1"/>
  <c r="DH15" i="63"/>
  <c r="DK15" i="63" s="1"/>
  <c r="DJ14" i="63"/>
  <c r="DM14" i="63" s="1"/>
  <c r="DI14" i="63"/>
  <c r="DL14" i="63" s="1"/>
  <c r="DH14" i="63"/>
  <c r="DK14" i="63" s="1"/>
  <c r="DJ13" i="63"/>
  <c r="DM13" i="63" s="1"/>
  <c r="DI13" i="63"/>
  <c r="DL13" i="63" s="1"/>
  <c r="DH13" i="63"/>
  <c r="DK13" i="63" s="1"/>
  <c r="DJ12" i="63"/>
  <c r="DM12" i="63" s="1"/>
  <c r="DI12" i="63"/>
  <c r="DL12" i="63" s="1"/>
  <c r="DH12" i="63"/>
  <c r="DK12" i="63" s="1"/>
  <c r="DJ11" i="63"/>
  <c r="DM11" i="63" s="1"/>
  <c r="DI11" i="63"/>
  <c r="DL11" i="63" s="1"/>
  <c r="DH11" i="63"/>
  <c r="DK11" i="63" s="1"/>
  <c r="DJ10" i="63"/>
  <c r="DM10" i="63" s="1"/>
  <c r="DI10" i="63"/>
  <c r="DL10" i="63" s="1"/>
  <c r="DH10" i="63"/>
  <c r="DK10" i="63" s="1"/>
  <c r="DJ9" i="63"/>
  <c r="DM9" i="63" s="1"/>
  <c r="DI9" i="63"/>
  <c r="DL9" i="63" s="1"/>
  <c r="DH9" i="63"/>
  <c r="DK9" i="63" s="1"/>
  <c r="DK11" i="41"/>
  <c r="DK35" i="41"/>
  <c r="DJ13" i="41"/>
  <c r="DJ12" i="41"/>
  <c r="DM12" i="41" s="1"/>
  <c r="DJ14" i="41"/>
  <c r="DM14" i="41" s="1"/>
  <c r="DJ15" i="41"/>
  <c r="DJ16" i="41"/>
  <c r="DM16" i="41" s="1"/>
  <c r="DJ17" i="41"/>
  <c r="DM17" i="41" s="1"/>
  <c r="DJ18" i="41"/>
  <c r="DM18" i="41" s="1"/>
  <c r="DJ19" i="41"/>
  <c r="DJ20" i="41"/>
  <c r="DM20" i="41" s="1"/>
  <c r="DJ21" i="41"/>
  <c r="DM21" i="41" s="1"/>
  <c r="DJ22" i="41"/>
  <c r="DM22" i="41" s="1"/>
  <c r="DJ23" i="41"/>
  <c r="DM23" i="41" s="1"/>
  <c r="DJ24" i="41"/>
  <c r="DJ25" i="41"/>
  <c r="DM25" i="41" s="1"/>
  <c r="DJ26" i="41"/>
  <c r="DJ27" i="41"/>
  <c r="DM27" i="41" s="1"/>
  <c r="DJ28" i="41"/>
  <c r="DM28" i="41" s="1"/>
  <c r="DJ29" i="41"/>
  <c r="DJ30" i="41"/>
  <c r="DM30" i="41" s="1"/>
  <c r="DJ31" i="41"/>
  <c r="DM31" i="41" s="1"/>
  <c r="DJ32" i="41"/>
  <c r="DJ33" i="41"/>
  <c r="DM33" i="41" s="1"/>
  <c r="DJ34" i="41"/>
  <c r="DM34" i="41" s="1"/>
  <c r="DJ35" i="41"/>
  <c r="DM35" i="41" s="1"/>
  <c r="DJ36" i="41"/>
  <c r="DM36" i="41" s="1"/>
  <c r="DJ37" i="41"/>
  <c r="DJ38" i="41"/>
  <c r="DM38" i="41" s="1"/>
  <c r="DJ39" i="41"/>
  <c r="DJ40" i="41"/>
  <c r="DJ10" i="41"/>
  <c r="DM10" i="41" s="1"/>
  <c r="DI11" i="41"/>
  <c r="DL11" i="41" s="1"/>
  <c r="DI12" i="41"/>
  <c r="DL12" i="41" s="1"/>
  <c r="DI13" i="41"/>
  <c r="DI14" i="41"/>
  <c r="DL14" i="41" s="1"/>
  <c r="DI15" i="41"/>
  <c r="DI16" i="41"/>
  <c r="DL16" i="41" s="1"/>
  <c r="DI17" i="41"/>
  <c r="DL17" i="41" s="1"/>
  <c r="DI18" i="41"/>
  <c r="DL18" i="41" s="1"/>
  <c r="DI19" i="41"/>
  <c r="DL19" i="41" s="1"/>
  <c r="DI20" i="41"/>
  <c r="DL20" i="41" s="1"/>
  <c r="DI21" i="41"/>
  <c r="DL21" i="41" s="1"/>
  <c r="DI22" i="41"/>
  <c r="DI23" i="41"/>
  <c r="DI24" i="41"/>
  <c r="DL24" i="41" s="1"/>
  <c r="DI25" i="41"/>
  <c r="DL25" i="41" s="1"/>
  <c r="DI26" i="41"/>
  <c r="DL26" i="41" s="1"/>
  <c r="DI27" i="41"/>
  <c r="DL27" i="41" s="1"/>
  <c r="DI28" i="41"/>
  <c r="DL28" i="41" s="1"/>
  <c r="DI29" i="41"/>
  <c r="DL29" i="41" s="1"/>
  <c r="DI30" i="41"/>
  <c r="DI31" i="41"/>
  <c r="DL31" i="41" s="1"/>
  <c r="DI32" i="41"/>
  <c r="DI33" i="41"/>
  <c r="DI34" i="41"/>
  <c r="DL34" i="41" s="1"/>
  <c r="DI35" i="41"/>
  <c r="DL35" i="41" s="1"/>
  <c r="DI36" i="41"/>
  <c r="DI37" i="41"/>
  <c r="DI38" i="41"/>
  <c r="DL38" i="41" s="1"/>
  <c r="DI39" i="41"/>
  <c r="DI40" i="41"/>
  <c r="DI10" i="41"/>
  <c r="DL22" i="41"/>
  <c r="DL30" i="41"/>
  <c r="DL15" i="41"/>
  <c r="DM15" i="41"/>
  <c r="DM24" i="41"/>
  <c r="DM26" i="41"/>
  <c r="DM29" i="41"/>
  <c r="DL32" i="41"/>
  <c r="DM32" i="41"/>
  <c r="DL33" i="41"/>
  <c r="DL36" i="41"/>
  <c r="DL37" i="41"/>
  <c r="DM37" i="41"/>
  <c r="DM39" i="41"/>
  <c r="DL40" i="41"/>
  <c r="DM40" i="41"/>
  <c r="DL41" i="41"/>
  <c r="DN41" i="41" s="1"/>
  <c r="DM41" i="41"/>
  <c r="DL10" i="41"/>
  <c r="DJ11" i="41"/>
  <c r="DM11" i="41" s="1"/>
  <c r="DM13" i="41"/>
  <c r="DH11" i="41"/>
  <c r="DH12" i="41"/>
  <c r="DK12" i="41" s="1"/>
  <c r="DH13" i="41"/>
  <c r="DK13" i="41" s="1"/>
  <c r="DH14" i="41"/>
  <c r="DK14" i="41" s="1"/>
  <c r="DH15" i="41"/>
  <c r="DK15" i="41" s="1"/>
  <c r="DH16" i="41"/>
  <c r="DK16" i="41" s="1"/>
  <c r="DH17" i="41"/>
  <c r="DK17" i="41" s="1"/>
  <c r="DN17" i="41" s="1"/>
  <c r="D10" i="24" s="1"/>
  <c r="DH18" i="41"/>
  <c r="DK18" i="41" s="1"/>
  <c r="DH19" i="41"/>
  <c r="DK19" i="41" s="1"/>
  <c r="DH20" i="41"/>
  <c r="DK20" i="41" s="1"/>
  <c r="DN20" i="41" s="1"/>
  <c r="D13" i="24" s="1"/>
  <c r="DH21" i="41"/>
  <c r="DK21" i="41" s="1"/>
  <c r="DH22" i="41"/>
  <c r="DK22" i="41" s="1"/>
  <c r="DN22" i="41" s="1"/>
  <c r="D15" i="24" s="1"/>
  <c r="DH23" i="41"/>
  <c r="DK23" i="41" s="1"/>
  <c r="DH24" i="41"/>
  <c r="DK24" i="41" s="1"/>
  <c r="DN24" i="41" s="1"/>
  <c r="D17" i="24" s="1"/>
  <c r="DH25" i="41"/>
  <c r="DK25" i="41" s="1"/>
  <c r="DH26" i="41"/>
  <c r="DK26" i="41" s="1"/>
  <c r="DN26" i="41" s="1"/>
  <c r="D19" i="24" s="1"/>
  <c r="DH27" i="41"/>
  <c r="DK27" i="41" s="1"/>
  <c r="DH28" i="41"/>
  <c r="DK28" i="41" s="1"/>
  <c r="DH29" i="41"/>
  <c r="DK29" i="41" s="1"/>
  <c r="DN29" i="41" s="1"/>
  <c r="D22" i="24" s="1"/>
  <c r="DH30" i="41"/>
  <c r="DK30" i="41" s="1"/>
  <c r="DN30" i="41" s="1"/>
  <c r="D23" i="24" s="1"/>
  <c r="DH31" i="41"/>
  <c r="DK31" i="41" s="1"/>
  <c r="DH32" i="41"/>
  <c r="DK32" i="41" s="1"/>
  <c r="DN32" i="41" s="1"/>
  <c r="D25" i="24" s="1"/>
  <c r="DH33" i="41"/>
  <c r="DK33" i="41" s="1"/>
  <c r="DN33" i="41" s="1"/>
  <c r="D26" i="24" s="1"/>
  <c r="DH34" i="41"/>
  <c r="DK34" i="41" s="1"/>
  <c r="DH35" i="41"/>
  <c r="DH36" i="41"/>
  <c r="DK36" i="41" s="1"/>
  <c r="DN36" i="41" s="1"/>
  <c r="D29" i="24" s="1"/>
  <c r="DH37" i="41"/>
  <c r="DK37" i="41" s="1"/>
  <c r="DN37" i="41" s="1"/>
  <c r="D30" i="24" s="1"/>
  <c r="DH38" i="41"/>
  <c r="DK38" i="41" s="1"/>
  <c r="DH39" i="41"/>
  <c r="DK39" i="41" s="1"/>
  <c r="DH40" i="41"/>
  <c r="DK40" i="41" s="1"/>
  <c r="DN40" i="41" s="1"/>
  <c r="D33" i="24" s="1"/>
  <c r="DH10" i="41"/>
  <c r="DK10" i="41" s="1"/>
  <c r="DN10" i="41" s="1"/>
  <c r="D3" i="24" s="1"/>
  <c r="AC34" i="25"/>
  <c r="X34" i="25"/>
  <c r="S34" i="25"/>
  <c r="N34" i="25"/>
  <c r="I34" i="25"/>
  <c r="D34" i="25"/>
  <c r="AC34" i="24"/>
  <c r="X34" i="24"/>
  <c r="S34" i="24"/>
  <c r="D34" i="24"/>
  <c r="I34" i="24"/>
  <c r="J34" i="24"/>
  <c r="K34" i="24"/>
  <c r="N34" i="24"/>
  <c r="A35" i="24"/>
  <c r="O34" i="24"/>
  <c r="A1" i="24"/>
  <c r="A1" i="25" s="1"/>
  <c r="C31" i="25"/>
  <c r="B5" i="21"/>
  <c r="G16" i="50"/>
  <c r="G15" i="50"/>
  <c r="G14" i="50"/>
  <c r="G13" i="50"/>
  <c r="G12" i="50"/>
  <c r="G11" i="50"/>
  <c r="G10" i="50"/>
  <c r="G9" i="50"/>
  <c r="G8" i="50"/>
  <c r="G6" i="50"/>
  <c r="G5" i="50"/>
  <c r="G7" i="50"/>
  <c r="A6" i="41"/>
  <c r="A5" i="63"/>
  <c r="DN33" i="63" l="1"/>
  <c r="I27" i="24" s="1"/>
  <c r="DN20" i="63"/>
  <c r="I14" i="24" s="1"/>
  <c r="DN31" i="41"/>
  <c r="D24" i="24" s="1"/>
  <c r="DN25" i="41"/>
  <c r="D18" i="24" s="1"/>
  <c r="DN18" i="41"/>
  <c r="D11" i="24" s="1"/>
  <c r="DN16" i="41"/>
  <c r="D9" i="24" s="1"/>
  <c r="P17" i="43"/>
  <c r="B9" i="47"/>
  <c r="DN15" i="41"/>
  <c r="D8" i="24" s="1"/>
  <c r="DN12" i="41"/>
  <c r="D5" i="24" s="1"/>
  <c r="DN28" i="41"/>
  <c r="D21" i="24" s="1"/>
  <c r="DN38" i="41"/>
  <c r="D31" i="24" s="1"/>
  <c r="DN18" i="63"/>
  <c r="I12" i="24" s="1"/>
  <c r="DN22" i="63"/>
  <c r="I16" i="24" s="1"/>
  <c r="DN13" i="63"/>
  <c r="I7" i="24" s="1"/>
  <c r="DN24" i="63"/>
  <c r="I18" i="24" s="1"/>
  <c r="DN19" i="63"/>
  <c r="I13" i="24" s="1"/>
  <c r="DN32" i="63"/>
  <c r="I26" i="24" s="1"/>
  <c r="DN11" i="63"/>
  <c r="I5" i="24" s="1"/>
  <c r="DN25" i="63"/>
  <c r="I19" i="24" s="1"/>
  <c r="DN34" i="63"/>
  <c r="I28" i="24" s="1"/>
  <c r="DN36" i="63"/>
  <c r="I30" i="24" s="1"/>
  <c r="DN29" i="63"/>
  <c r="I23" i="24" s="1"/>
  <c r="DN37" i="63"/>
  <c r="I31" i="24" s="1"/>
  <c r="G17" i="50"/>
  <c r="DN10" i="63"/>
  <c r="I4" i="24" s="1"/>
  <c r="DN15" i="63"/>
  <c r="I9" i="24" s="1"/>
  <c r="DN35" i="63"/>
  <c r="I29" i="24" s="1"/>
  <c r="DN26" i="63"/>
  <c r="I20" i="24" s="1"/>
  <c r="DN21" i="63"/>
  <c r="I15" i="24" s="1"/>
  <c r="DN30" i="63"/>
  <c r="I24" i="24" s="1"/>
  <c r="DN35" i="41"/>
  <c r="D28" i="24" s="1"/>
  <c r="DN14" i="41"/>
  <c r="D7" i="24" s="1"/>
  <c r="DN11" i="41"/>
  <c r="D4" i="24" s="1"/>
  <c r="DN21" i="41"/>
  <c r="D14" i="24" s="1"/>
  <c r="DN27" i="41"/>
  <c r="D20" i="24" s="1"/>
  <c r="DN27" i="63"/>
  <c r="I21" i="24" s="1"/>
  <c r="DN16" i="63"/>
  <c r="I10" i="24" s="1"/>
  <c r="DN14" i="63"/>
  <c r="I8" i="24" s="1"/>
  <c r="DN12" i="63"/>
  <c r="I6" i="24" s="1"/>
  <c r="DN9" i="63"/>
  <c r="I3" i="24" s="1"/>
  <c r="DN34" i="41"/>
  <c r="D27" i="24" s="1"/>
  <c r="DN39" i="63"/>
  <c r="DM19" i="41"/>
  <c r="DN19" i="41" s="1"/>
  <c r="D12" i="24" s="1"/>
  <c r="DL39" i="41"/>
  <c r="DN39" i="41" s="1"/>
  <c r="D32" i="24" s="1"/>
  <c r="DL23" i="41"/>
  <c r="DN23" i="41" s="1"/>
  <c r="D16" i="24" s="1"/>
  <c r="DL13" i="41"/>
  <c r="DN13" i="41" s="1"/>
  <c r="D6" i="24" s="1"/>
  <c r="I53" i="63"/>
  <c r="I61" i="63" s="1"/>
  <c r="I54" i="64" s="1"/>
  <c r="I62" i="64" s="1"/>
  <c r="I53" i="65" s="1"/>
  <c r="H62" i="41"/>
  <c r="H53" i="63" s="1"/>
  <c r="H61" i="63" s="1"/>
  <c r="H54" i="64" s="1"/>
  <c r="AA9" i="68"/>
  <c r="D74" i="68"/>
  <c r="D63" i="68"/>
  <c r="D62" i="68"/>
  <c r="CY35" i="68"/>
  <c r="CZ35" i="68"/>
  <c r="DA35" i="68"/>
  <c r="DB35" i="68"/>
  <c r="DC35" i="68"/>
  <c r="DD35" i="68"/>
  <c r="DE35" i="68"/>
  <c r="DF35" i="68"/>
  <c r="CY36" i="68"/>
  <c r="CZ36" i="68"/>
  <c r="DA36" i="68"/>
  <c r="DB36" i="68"/>
  <c r="DC36" i="68"/>
  <c r="DD36" i="68"/>
  <c r="DE36" i="68"/>
  <c r="DF36" i="68"/>
  <c r="CB35" i="68"/>
  <c r="CC35" i="68"/>
  <c r="CB36" i="68"/>
  <c r="CC36" i="68"/>
  <c r="BC35" i="68"/>
  <c r="BD35" i="68"/>
  <c r="BE35" i="68"/>
  <c r="BF35" i="68"/>
  <c r="BC36" i="68"/>
  <c r="BD36" i="68"/>
  <c r="BE36" i="68"/>
  <c r="BF36" i="68"/>
  <c r="Z36" i="68"/>
  <c r="AA36" i="68"/>
  <c r="AB36" i="68"/>
  <c r="AC36" i="68"/>
  <c r="AD36" i="68"/>
  <c r="AE36" i="68"/>
  <c r="AF36" i="68"/>
  <c r="Y36" i="68"/>
  <c r="FP9" i="68" l="1"/>
  <c r="FR9" i="68"/>
  <c r="Q17" i="43"/>
  <c r="A10" i="47"/>
  <c r="FR36" i="68"/>
  <c r="FP36" i="68"/>
  <c r="FJ36" i="68"/>
  <c r="FL36" i="68"/>
  <c r="I6" i="50"/>
  <c r="I61" i="65"/>
  <c r="I54" i="66" s="1"/>
  <c r="DG36" i="68"/>
  <c r="DG35" i="68"/>
  <c r="A6" i="66"/>
  <c r="A6" i="65"/>
  <c r="A6" i="64"/>
  <c r="A6" i="63"/>
  <c r="P18" i="43" l="1"/>
  <c r="B10" i="47"/>
  <c r="H62" i="64"/>
  <c r="H53" i="65" s="1"/>
  <c r="I8" i="50"/>
  <c r="K6" i="50"/>
  <c r="K25" i="50" s="1"/>
  <c r="I25" i="50"/>
  <c r="I7" i="50"/>
  <c r="I80" i="1"/>
  <c r="I89" i="1" s="1"/>
  <c r="I98" i="1" s="1"/>
  <c r="B10" i="1"/>
  <c r="C3" i="74"/>
  <c r="Q18" i="43" l="1"/>
  <c r="A11" i="47"/>
  <c r="I62" i="66"/>
  <c r="I54" i="67" s="1"/>
  <c r="I62" i="67" s="1"/>
  <c r="I52" i="68" s="1"/>
  <c r="I60" i="68" s="1"/>
  <c r="I54" i="69" s="1"/>
  <c r="H61" i="65"/>
  <c r="H54" i="66" s="1"/>
  <c r="K8" i="50"/>
  <c r="K33" i="50" s="1"/>
  <c r="I33" i="50"/>
  <c r="K7" i="50"/>
  <c r="K26" i="50" s="1"/>
  <c r="I26" i="50"/>
  <c r="I9" i="50"/>
  <c r="X40" i="73"/>
  <c r="W40" i="73"/>
  <c r="J37" i="61" s="1"/>
  <c r="V40" i="73"/>
  <c r="X40" i="71"/>
  <c r="W40" i="71"/>
  <c r="J35" i="61" s="1"/>
  <c r="V40" i="71"/>
  <c r="X40" i="69"/>
  <c r="W40" i="69"/>
  <c r="J33" i="61" s="1"/>
  <c r="V40" i="69"/>
  <c r="X40" i="67"/>
  <c r="W40" i="67"/>
  <c r="J31" i="61" s="1"/>
  <c r="V40" i="67"/>
  <c r="X40" i="66"/>
  <c r="W40" i="66"/>
  <c r="J30" i="61" s="1"/>
  <c r="V40" i="66"/>
  <c r="A51" i="64"/>
  <c r="A49" i="64"/>
  <c r="A47" i="64"/>
  <c r="A47" i="63"/>
  <c r="I50" i="73" l="1"/>
  <c r="I50" i="69"/>
  <c r="P19" i="43"/>
  <c r="B11" i="47"/>
  <c r="I50" i="71"/>
  <c r="I50" i="67"/>
  <c r="I50" i="66"/>
  <c r="I10" i="50"/>
  <c r="I35" i="50" s="1"/>
  <c r="H62" i="66"/>
  <c r="I62" i="69"/>
  <c r="I53" i="70" s="1"/>
  <c r="I11" i="50"/>
  <c r="I34" i="50"/>
  <c r="K9" i="50"/>
  <c r="K34" i="50" s="1"/>
  <c r="Q19" i="43" l="1"/>
  <c r="A12" i="47"/>
  <c r="K10" i="50"/>
  <c r="K35" i="50" s="1"/>
  <c r="H60" i="68"/>
  <c r="H54" i="69" s="1"/>
  <c r="I42" i="50"/>
  <c r="K11" i="50"/>
  <c r="K42" i="50" s="1"/>
  <c r="I61" i="70"/>
  <c r="I12" i="50"/>
  <c r="P20" i="43" l="1"/>
  <c r="B12" i="47"/>
  <c r="H62" i="69"/>
  <c r="H53" i="70" s="1"/>
  <c r="I43" i="50"/>
  <c r="K12" i="50"/>
  <c r="K43" i="50" s="1"/>
  <c r="I61" i="72"/>
  <c r="I54" i="73" s="1"/>
  <c r="I13" i="50"/>
  <c r="Q20" i="43" l="1"/>
  <c r="A13" i="47"/>
  <c r="P24" i="43"/>
  <c r="Q24" i="43" s="1"/>
  <c r="P25" i="43" s="1"/>
  <c r="Q25" i="43" s="1"/>
  <c r="P26" i="43" s="1"/>
  <c r="Q26" i="43" s="1"/>
  <c r="P27" i="43" s="1"/>
  <c r="Q27" i="43" s="1"/>
  <c r="P28" i="43" s="1"/>
  <c r="Q28" i="43" s="1"/>
  <c r="P29" i="43" s="1"/>
  <c r="Q29" i="43" s="1"/>
  <c r="I62" i="73"/>
  <c r="I15" i="50"/>
  <c r="H61" i="70"/>
  <c r="H54" i="71" s="1"/>
  <c r="K13" i="50"/>
  <c r="K44" i="50" s="1"/>
  <c r="I44" i="50"/>
  <c r="K51" i="50"/>
  <c r="P21" i="43" l="1"/>
  <c r="B13" i="47"/>
  <c r="H62" i="71"/>
  <c r="H53" i="72" s="1"/>
  <c r="I52" i="50"/>
  <c r="K15" i="50"/>
  <c r="K52" i="50" s="1"/>
  <c r="I16" i="50"/>
  <c r="A36"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X39" i="72"/>
  <c r="W39" i="72"/>
  <c r="J36" i="61" s="1"/>
  <c r="V39" i="72"/>
  <c r="X39" i="70"/>
  <c r="W39" i="70"/>
  <c r="J34" i="61" s="1"/>
  <c r="V39" i="70"/>
  <c r="X39" i="65"/>
  <c r="W39" i="65"/>
  <c r="J29" i="61" s="1"/>
  <c r="V39" i="65"/>
  <c r="V40" i="64"/>
  <c r="X40" i="64"/>
  <c r="W40" i="64"/>
  <c r="J28" i="61" s="1"/>
  <c r="X39" i="63"/>
  <c r="W39" i="63"/>
  <c r="J27" i="61" s="1"/>
  <c r="V39" i="63"/>
  <c r="W41" i="41"/>
  <c r="J26" i="61" s="1"/>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13" i="72"/>
  <c r="AF12" i="72"/>
  <c r="AF11" i="72"/>
  <c r="AF10" i="72"/>
  <c r="AF9" i="72"/>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13" i="70"/>
  <c r="AF12" i="70"/>
  <c r="AF11" i="70"/>
  <c r="AF10" i="70"/>
  <c r="AF9" i="70"/>
  <c r="AF35" i="68"/>
  <c r="AF34" i="68"/>
  <c r="AF33" i="68"/>
  <c r="AF32" i="68"/>
  <c r="AF31" i="68"/>
  <c r="AF30" i="68"/>
  <c r="AF29" i="68"/>
  <c r="AF28" i="68"/>
  <c r="AF27" i="68"/>
  <c r="AF26" i="68"/>
  <c r="AF25" i="68"/>
  <c r="AF24" i="68"/>
  <c r="AF23" i="68"/>
  <c r="AF22" i="68"/>
  <c r="AF21" i="68"/>
  <c r="AF20" i="68"/>
  <c r="AF19" i="68"/>
  <c r="AF18" i="68"/>
  <c r="AF17" i="68"/>
  <c r="AF16" i="68"/>
  <c r="AF15" i="68"/>
  <c r="AF14" i="68"/>
  <c r="AF13" i="68"/>
  <c r="AF12" i="68"/>
  <c r="AF11" i="68"/>
  <c r="AF10" i="68"/>
  <c r="AF9" i="68"/>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13" i="73"/>
  <c r="AF12" i="73"/>
  <c r="AF11" i="73"/>
  <c r="AF10" i="73"/>
  <c r="AF9" i="73"/>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13" i="71"/>
  <c r="AF12" i="71"/>
  <c r="AF11" i="71"/>
  <c r="AF10" i="71"/>
  <c r="AF9" i="71"/>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13" i="69"/>
  <c r="AF12" i="69"/>
  <c r="AF11" i="69"/>
  <c r="AF10" i="69"/>
  <c r="AF9" i="69"/>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13" i="67"/>
  <c r="AF12" i="67"/>
  <c r="AF11" i="67"/>
  <c r="AF10" i="67"/>
  <c r="AF9" i="67"/>
  <c r="AF39" i="66"/>
  <c r="AF38" i="66"/>
  <c r="AF37" i="66"/>
  <c r="AF36" i="66"/>
  <c r="AF35" i="66"/>
  <c r="AF34" i="66"/>
  <c r="AF33" i="66"/>
  <c r="AF32" i="66"/>
  <c r="AF31" i="66"/>
  <c r="AF30" i="66"/>
  <c r="AF29" i="66"/>
  <c r="AF28" i="66"/>
  <c r="AF27" i="66"/>
  <c r="AF26" i="66"/>
  <c r="AF25" i="66"/>
  <c r="AF24" i="66"/>
  <c r="AF23" i="66"/>
  <c r="AF22" i="66"/>
  <c r="AF21" i="66"/>
  <c r="AF20" i="66"/>
  <c r="AF19" i="66"/>
  <c r="AF18" i="66"/>
  <c r="AF17" i="66"/>
  <c r="AF16" i="66"/>
  <c r="AF15" i="66"/>
  <c r="AF14" i="66"/>
  <c r="AF12" i="66"/>
  <c r="AF11" i="66"/>
  <c r="AF10" i="66"/>
  <c r="AF9" i="66"/>
  <c r="AF10" i="65"/>
  <c r="AF11" i="65"/>
  <c r="AF12" i="65"/>
  <c r="AF13" i="65"/>
  <c r="AF14" i="65"/>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9" i="65"/>
  <c r="AF10" i="64"/>
  <c r="AF11" i="64"/>
  <c r="AF12" i="64"/>
  <c r="AF13" i="64"/>
  <c r="AF14" i="64"/>
  <c r="AF15" i="64"/>
  <c r="AF16" i="64"/>
  <c r="AF17" i="64"/>
  <c r="AF18" i="64"/>
  <c r="AF19" i="64"/>
  <c r="AF20" i="64"/>
  <c r="AF21" i="64"/>
  <c r="AF22" i="64"/>
  <c r="AF23" i="64"/>
  <c r="AF24" i="64"/>
  <c r="AF25" i="64"/>
  <c r="AF26" i="64"/>
  <c r="AF27" i="64"/>
  <c r="AF28" i="64"/>
  <c r="AF29" i="64"/>
  <c r="AF30" i="64"/>
  <c r="AF31" i="64"/>
  <c r="AF32" i="64"/>
  <c r="AF33" i="64"/>
  <c r="AF34" i="64"/>
  <c r="AF35" i="64"/>
  <c r="AF36" i="64"/>
  <c r="AF9" i="64"/>
  <c r="AF10" i="63"/>
  <c r="AF11" i="63"/>
  <c r="AF12" i="63"/>
  <c r="AF13" i="63"/>
  <c r="AF14" i="63"/>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9" i="63"/>
  <c r="AF11" i="41"/>
  <c r="AF12" i="41"/>
  <c r="AF13" i="41"/>
  <c r="AF14" i="41"/>
  <c r="AF15" i="41"/>
  <c r="AF16" i="41"/>
  <c r="AF17" i="41"/>
  <c r="AF18" i="41"/>
  <c r="AF19" i="41"/>
  <c r="AF20" i="41"/>
  <c r="AF21" i="41"/>
  <c r="AF22" i="41"/>
  <c r="AF23" i="41"/>
  <c r="AF24" i="41"/>
  <c r="AF25" i="41"/>
  <c r="AF26" i="41"/>
  <c r="AF27" i="41"/>
  <c r="AF28" i="41"/>
  <c r="AF29" i="41"/>
  <c r="AF30" i="41"/>
  <c r="AF31" i="41"/>
  <c r="AF32" i="41"/>
  <c r="AF33" i="41"/>
  <c r="AF34" i="41"/>
  <c r="AF35" i="41"/>
  <c r="AF36" i="41"/>
  <c r="AF37" i="41"/>
  <c r="AF38" i="41"/>
  <c r="AF39" i="41"/>
  <c r="AF40" i="41"/>
  <c r="AF10" i="41"/>
  <c r="D76" i="41"/>
  <c r="D74" i="63"/>
  <c r="D75" i="64"/>
  <c r="D74" i="65"/>
  <c r="D75" i="66"/>
  <c r="D75" i="67"/>
  <c r="D73" i="68"/>
  <c r="D75" i="69"/>
  <c r="D74" i="70"/>
  <c r="D75" i="71"/>
  <c r="D75" i="73"/>
  <c r="D74" i="72"/>
  <c r="Q21" i="43" l="1"/>
  <c r="A14" i="47"/>
  <c r="I50" i="64"/>
  <c r="I49" i="63"/>
  <c r="I49" i="65"/>
  <c r="I49" i="70"/>
  <c r="I49" i="72"/>
  <c r="H61" i="72"/>
  <c r="H54" i="73" s="1"/>
  <c r="I53" i="50"/>
  <c r="K16" i="50"/>
  <c r="K53" i="50" s="1"/>
  <c r="AF38" i="68"/>
  <c r="AF40" i="69"/>
  <c r="AV37" i="23"/>
  <c r="I19" i="1" s="1"/>
  <c r="AF40" i="73"/>
  <c r="AF39" i="72"/>
  <c r="AF40" i="71"/>
  <c r="AF39" i="70"/>
  <c r="AF40" i="67"/>
  <c r="AF39" i="65"/>
  <c r="AF40" i="64"/>
  <c r="B14" i="47" l="1"/>
  <c r="H62" i="73"/>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Q22" i="43" l="1"/>
  <c r="A15" i="47"/>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Y24" i="73"/>
  <c r="Z23" i="73"/>
  <c r="Y23" i="73"/>
  <c r="Z22" i="73"/>
  <c r="Y22" i="73"/>
  <c r="Z21" i="73"/>
  <c r="Y21" i="73"/>
  <c r="Z20" i="73"/>
  <c r="Y20" i="73"/>
  <c r="Z19" i="73"/>
  <c r="Y19" i="73"/>
  <c r="Z18" i="73"/>
  <c r="Y18" i="73"/>
  <c r="Z17" i="73"/>
  <c r="Z16" i="73"/>
  <c r="Z15" i="73"/>
  <c r="Y15" i="73"/>
  <c r="Z14" i="73"/>
  <c r="Y14" i="73"/>
  <c r="Z13" i="73"/>
  <c r="Z12" i="73"/>
  <c r="Y12" i="73"/>
  <c r="Z10" i="73"/>
  <c r="Y10" i="73"/>
  <c r="Y9" i="73"/>
  <c r="Z38" i="72"/>
  <c r="Y38" i="72"/>
  <c r="Z37" i="72"/>
  <c r="Y37" i="72"/>
  <c r="Z36" i="72"/>
  <c r="Y36" i="72"/>
  <c r="Z35" i="72"/>
  <c r="Y35" i="72"/>
  <c r="Z34" i="72"/>
  <c r="Y34" i="72"/>
  <c r="Z33" i="72"/>
  <c r="Y33" i="72"/>
  <c r="Z32" i="72"/>
  <c r="Y32" i="72"/>
  <c r="Z31" i="72"/>
  <c r="Y31" i="72"/>
  <c r="Z30" i="72"/>
  <c r="Y30" i="72"/>
  <c r="Z29" i="72"/>
  <c r="Z28" i="72"/>
  <c r="Z27" i="72"/>
  <c r="Y27" i="72"/>
  <c r="Z26" i="72"/>
  <c r="Y26" i="72"/>
  <c r="Z25" i="72"/>
  <c r="Y25" i="72"/>
  <c r="Z24" i="72"/>
  <c r="Y24" i="72"/>
  <c r="Z23" i="72"/>
  <c r="Y23" i="72"/>
  <c r="Z22" i="72"/>
  <c r="Z21" i="72"/>
  <c r="Z20" i="72"/>
  <c r="Y20" i="72"/>
  <c r="Z19" i="72"/>
  <c r="Z18" i="72"/>
  <c r="Z17" i="72"/>
  <c r="Y17" i="72"/>
  <c r="Z16" i="72"/>
  <c r="Y16" i="72"/>
  <c r="Z15" i="72"/>
  <c r="Y15" i="72"/>
  <c r="Z14" i="72"/>
  <c r="Y14" i="72"/>
  <c r="Z13" i="72"/>
  <c r="Y13" i="72"/>
  <c r="Z12" i="72"/>
  <c r="Y12" i="72"/>
  <c r="Z11" i="72"/>
  <c r="Y11" i="72"/>
  <c r="Z10" i="72"/>
  <c r="Y10" i="72"/>
  <c r="Z9" i="72"/>
  <c r="Y9" i="72"/>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Z24" i="71"/>
  <c r="Y24" i="71"/>
  <c r="Z23" i="71"/>
  <c r="Y23" i="71"/>
  <c r="Z22" i="71"/>
  <c r="Z21" i="71"/>
  <c r="Z20" i="71"/>
  <c r="Y20" i="71"/>
  <c r="Z19" i="71"/>
  <c r="Y19" i="71"/>
  <c r="Z18" i="71"/>
  <c r="Y18" i="71"/>
  <c r="Z17" i="71"/>
  <c r="Y17" i="71"/>
  <c r="Z16" i="71"/>
  <c r="Z15" i="71"/>
  <c r="Y15" i="71"/>
  <c r="Z14" i="71"/>
  <c r="Y14" i="71"/>
  <c r="Z13" i="71"/>
  <c r="Y13" i="71"/>
  <c r="Z12" i="71"/>
  <c r="Y12" i="71"/>
  <c r="Z11" i="71"/>
  <c r="Z10" i="71"/>
  <c r="Y10" i="71"/>
  <c r="Y9" i="71"/>
  <c r="Z38" i="70"/>
  <c r="Y38" i="70"/>
  <c r="Z37" i="70"/>
  <c r="Y37" i="70"/>
  <c r="Z36" i="70"/>
  <c r="Y36" i="70"/>
  <c r="Z35" i="70"/>
  <c r="Y35" i="70"/>
  <c r="Z34" i="70"/>
  <c r="Z33" i="70"/>
  <c r="Y33" i="70"/>
  <c r="Z32" i="70"/>
  <c r="Y32" i="70"/>
  <c r="Z31" i="70"/>
  <c r="Y31" i="70"/>
  <c r="Z30" i="70"/>
  <c r="Y30" i="70"/>
  <c r="Z29" i="70"/>
  <c r="Y29" i="70"/>
  <c r="Z28" i="70"/>
  <c r="Y28" i="70"/>
  <c r="Z27" i="70"/>
  <c r="Z26" i="70"/>
  <c r="Y26" i="70"/>
  <c r="Z25" i="70"/>
  <c r="Y25" i="70"/>
  <c r="Z24" i="70"/>
  <c r="Z23" i="70"/>
  <c r="Z22" i="70"/>
  <c r="Y22" i="70"/>
  <c r="Z21" i="70"/>
  <c r="Y21" i="70"/>
  <c r="Z20" i="70"/>
  <c r="Y20" i="70"/>
  <c r="Z19" i="70"/>
  <c r="Z18" i="70"/>
  <c r="Y18" i="70"/>
  <c r="Z17" i="70"/>
  <c r="Y17" i="70"/>
  <c r="Z16" i="70"/>
  <c r="Y16" i="70"/>
  <c r="Z15" i="70"/>
  <c r="Y15" i="70"/>
  <c r="Z14" i="70"/>
  <c r="Z13" i="70"/>
  <c r="Y13" i="70"/>
  <c r="Z12" i="70"/>
  <c r="Y12" i="70"/>
  <c r="Z11" i="70"/>
  <c r="Y11" i="70"/>
  <c r="Z10" i="70"/>
  <c r="Y10" i="70"/>
  <c r="Z9" i="70"/>
  <c r="Y9" i="70"/>
  <c r="Z35" i="68"/>
  <c r="Y35" i="68"/>
  <c r="Z34" i="68"/>
  <c r="Y34" i="68"/>
  <c r="Z33" i="68"/>
  <c r="Y33" i="68"/>
  <c r="Z32" i="68"/>
  <c r="Y32" i="68"/>
  <c r="Z31" i="68"/>
  <c r="Y31" i="68"/>
  <c r="Z30" i="68"/>
  <c r="Z29" i="68"/>
  <c r="Z28" i="68"/>
  <c r="Y28" i="68"/>
  <c r="Z27" i="68"/>
  <c r="Y27" i="68"/>
  <c r="Z26" i="68"/>
  <c r="Y26" i="68"/>
  <c r="Z25" i="68"/>
  <c r="Y25" i="68"/>
  <c r="Z24" i="68"/>
  <c r="Z23" i="68"/>
  <c r="Y23" i="68"/>
  <c r="Z22" i="68"/>
  <c r="Y22" i="68"/>
  <c r="Z21" i="68"/>
  <c r="Y21" i="68"/>
  <c r="Z20" i="68"/>
  <c r="Y20" i="68"/>
  <c r="Z19" i="68"/>
  <c r="Y19" i="68"/>
  <c r="Z18" i="68"/>
  <c r="Y18" i="68"/>
  <c r="Z17" i="68"/>
  <c r="Y17" i="68"/>
  <c r="Z16" i="68"/>
  <c r="Z15" i="68"/>
  <c r="Y15" i="68"/>
  <c r="Z14" i="68"/>
  <c r="Z13" i="68"/>
  <c r="Z12" i="68"/>
  <c r="Z11" i="68"/>
  <c r="Y11" i="68"/>
  <c r="Z10" i="68"/>
  <c r="Y10" i="68"/>
  <c r="Z9" i="68"/>
  <c r="Y9" i="68"/>
  <c r="Z39" i="69"/>
  <c r="Y39" i="69"/>
  <c r="Z38" i="69"/>
  <c r="Y38" i="69"/>
  <c r="Z37" i="69"/>
  <c r="Y37" i="69"/>
  <c r="Z36" i="69"/>
  <c r="Y36" i="69"/>
  <c r="Z35" i="69"/>
  <c r="Y35" i="69"/>
  <c r="Z34" i="69"/>
  <c r="Y34" i="69"/>
  <c r="Z33" i="69"/>
  <c r="Y33" i="69"/>
  <c r="Z32" i="69"/>
  <c r="Y32" i="69"/>
  <c r="Z31" i="69"/>
  <c r="Y31" i="69"/>
  <c r="Z30" i="69"/>
  <c r="Y30" i="69"/>
  <c r="Z29" i="69"/>
  <c r="Y29" i="69"/>
  <c r="Z28" i="69"/>
  <c r="Y28" i="69"/>
  <c r="Z27" i="69"/>
  <c r="Y27" i="69"/>
  <c r="Z26" i="69"/>
  <c r="Y26" i="69"/>
  <c r="Z25" i="69"/>
  <c r="Y25" i="69"/>
  <c r="Z24" i="69"/>
  <c r="Y24" i="69"/>
  <c r="Z23" i="69"/>
  <c r="Y23" i="69"/>
  <c r="Z22" i="69"/>
  <c r="Z21" i="69"/>
  <c r="Y21" i="69"/>
  <c r="Z20" i="69"/>
  <c r="Y20" i="69"/>
  <c r="Z19" i="69"/>
  <c r="Y19" i="69"/>
  <c r="Z18" i="69"/>
  <c r="Y18" i="69"/>
  <c r="Z17" i="69"/>
  <c r="Y17" i="69"/>
  <c r="Z16" i="69"/>
  <c r="Z15" i="69"/>
  <c r="Y15" i="69"/>
  <c r="Z14" i="69"/>
  <c r="Y14" i="69"/>
  <c r="Z13" i="69"/>
  <c r="Z12" i="69"/>
  <c r="Z11" i="69"/>
  <c r="Y11" i="69"/>
  <c r="Z10" i="69"/>
  <c r="Y10" i="69"/>
  <c r="Z9" i="69"/>
  <c r="Y9" i="69"/>
  <c r="Y9" i="67"/>
  <c r="Z9" i="67"/>
  <c r="Y10" i="67"/>
  <c r="Z10" i="67"/>
  <c r="Z11" i="67"/>
  <c r="Y12" i="67"/>
  <c r="Z12" i="67"/>
  <c r="Y13" i="67"/>
  <c r="Z13" i="67"/>
  <c r="Y14" i="67"/>
  <c r="Z14" i="67"/>
  <c r="Y15" i="67"/>
  <c r="Z15" i="67"/>
  <c r="Y16" i="67"/>
  <c r="Z16" i="67"/>
  <c r="Y17" i="67"/>
  <c r="Z17" i="67"/>
  <c r="Z18" i="67"/>
  <c r="Z19" i="67"/>
  <c r="Y20" i="67"/>
  <c r="Z20" i="67"/>
  <c r="Y21" i="67"/>
  <c r="Z21" i="67"/>
  <c r="Z22" i="67"/>
  <c r="Z23" i="67"/>
  <c r="Y24" i="67"/>
  <c r="Z24" i="67"/>
  <c r="Y25" i="67"/>
  <c r="Z25" i="67"/>
  <c r="Z26" i="67"/>
  <c r="Z27" i="67"/>
  <c r="Y28" i="67"/>
  <c r="Z28" i="67"/>
  <c r="Y29" i="67"/>
  <c r="Z29" i="67"/>
  <c r="Y30" i="67"/>
  <c r="Z30" i="67"/>
  <c r="Y31" i="67"/>
  <c r="Z31" i="67"/>
  <c r="Y32" i="67"/>
  <c r="Z32" i="67"/>
  <c r="Y33" i="67"/>
  <c r="Z33" i="67"/>
  <c r="Y34" i="67"/>
  <c r="Z34" i="67"/>
  <c r="Y35" i="67"/>
  <c r="Z35" i="67"/>
  <c r="Y36" i="67"/>
  <c r="Z36" i="67"/>
  <c r="Y37" i="67"/>
  <c r="Z37" i="67"/>
  <c r="Y38" i="67"/>
  <c r="Z38" i="67"/>
  <c r="Y39" i="67"/>
  <c r="Z39" i="67"/>
  <c r="Z39" i="66"/>
  <c r="Y39" i="66"/>
  <c r="Z38" i="66"/>
  <c r="Y38" i="66"/>
  <c r="Z37" i="66"/>
  <c r="Y37" i="66"/>
  <c r="Z36" i="66"/>
  <c r="Y36" i="66"/>
  <c r="Z35" i="66"/>
  <c r="Y35" i="66"/>
  <c r="Z34" i="66"/>
  <c r="Y34" i="66"/>
  <c r="Z33" i="66"/>
  <c r="Y33" i="66"/>
  <c r="Z32" i="66"/>
  <c r="Y32" i="66"/>
  <c r="Z31" i="66"/>
  <c r="Y31" i="66"/>
  <c r="Z30" i="66"/>
  <c r="Y30" i="66"/>
  <c r="Z29" i="66"/>
  <c r="Z28" i="66"/>
  <c r="Y28" i="66"/>
  <c r="Z27" i="66"/>
  <c r="Y27" i="66"/>
  <c r="Z26" i="66"/>
  <c r="Y26" i="66"/>
  <c r="Z25" i="66"/>
  <c r="Y25" i="66"/>
  <c r="Z24" i="66"/>
  <c r="Y24" i="66"/>
  <c r="Z23" i="66"/>
  <c r="Y23" i="66"/>
  <c r="Z22" i="66"/>
  <c r="Z21" i="66"/>
  <c r="Z20" i="66"/>
  <c r="Y20" i="66"/>
  <c r="Z19" i="66"/>
  <c r="Z18" i="66"/>
  <c r="Z17" i="66"/>
  <c r="Y17" i="66"/>
  <c r="Z16" i="66"/>
  <c r="Y16" i="66"/>
  <c r="Z15" i="66"/>
  <c r="Y15" i="66"/>
  <c r="Z14" i="66"/>
  <c r="Y14" i="66"/>
  <c r="Z13" i="66"/>
  <c r="Y13" i="66"/>
  <c r="Z12" i="66"/>
  <c r="Y12" i="66"/>
  <c r="Z11" i="66"/>
  <c r="Z10" i="66"/>
  <c r="Y10" i="66"/>
  <c r="Z9" i="66"/>
  <c r="Z38" i="65"/>
  <c r="Y38" i="65"/>
  <c r="Z37" i="65"/>
  <c r="Y37" i="65"/>
  <c r="Z36" i="65"/>
  <c r="Y36" i="65"/>
  <c r="Z35" i="65"/>
  <c r="Y35" i="65"/>
  <c r="Z34" i="65"/>
  <c r="Y34" i="65"/>
  <c r="Z33" i="65"/>
  <c r="Y33" i="65"/>
  <c r="Z32" i="65"/>
  <c r="Y32" i="65"/>
  <c r="Z31" i="65"/>
  <c r="Y31" i="65"/>
  <c r="Z30" i="65"/>
  <c r="Y30" i="65"/>
  <c r="Z29" i="65"/>
  <c r="Y29" i="65"/>
  <c r="Z28" i="65"/>
  <c r="Y28" i="65"/>
  <c r="Z27" i="65"/>
  <c r="Y27" i="65"/>
  <c r="Z26" i="65"/>
  <c r="Y26" i="65"/>
  <c r="Z25" i="65"/>
  <c r="Y25" i="65"/>
  <c r="Z24" i="65"/>
  <c r="Z23" i="65"/>
  <c r="Y23" i="65"/>
  <c r="Z22" i="65"/>
  <c r="Y22" i="65"/>
  <c r="Z21" i="65"/>
  <c r="Z20" i="65"/>
  <c r="Z19" i="65"/>
  <c r="Y19" i="65"/>
  <c r="Z18" i="65"/>
  <c r="Y18" i="65"/>
  <c r="Z17" i="65"/>
  <c r="Z16" i="65"/>
  <c r="Z15" i="65"/>
  <c r="Y15" i="65"/>
  <c r="Z14" i="65"/>
  <c r="Y14" i="65"/>
  <c r="Z13" i="65"/>
  <c r="Y13" i="65"/>
  <c r="Z12" i="65"/>
  <c r="Y12" i="65"/>
  <c r="Z11" i="65"/>
  <c r="Y11" i="65"/>
  <c r="Z10" i="65"/>
  <c r="Y10" i="65"/>
  <c r="Z9" i="65"/>
  <c r="Y9" i="65"/>
  <c r="Z36" i="64"/>
  <c r="Y36" i="64"/>
  <c r="Z35" i="64"/>
  <c r="Y35" i="64"/>
  <c r="Z34" i="64"/>
  <c r="Y34" i="64"/>
  <c r="Z33" i="64"/>
  <c r="Y33" i="64"/>
  <c r="Z32" i="64"/>
  <c r="Y32" i="64"/>
  <c r="Z31" i="64"/>
  <c r="Y31" i="64"/>
  <c r="Z30" i="64"/>
  <c r="Y30" i="64"/>
  <c r="Z29" i="64"/>
  <c r="Y29" i="64"/>
  <c r="Z28" i="64"/>
  <c r="Y28" i="64"/>
  <c r="Z27" i="64"/>
  <c r="Y27" i="64"/>
  <c r="Z26" i="64"/>
  <c r="Y26" i="64"/>
  <c r="Z25" i="64"/>
  <c r="Y25" i="64"/>
  <c r="Z24" i="64"/>
  <c r="Y24" i="64"/>
  <c r="Z23" i="64"/>
  <c r="Y23" i="64"/>
  <c r="Z22" i="64"/>
  <c r="Y22" i="64"/>
  <c r="Z21" i="64"/>
  <c r="Y21" i="64"/>
  <c r="Z20" i="64"/>
  <c r="Z19" i="64"/>
  <c r="Z18" i="64"/>
  <c r="Y18" i="64"/>
  <c r="Z17" i="64"/>
  <c r="Z16" i="64"/>
  <c r="Z15" i="64"/>
  <c r="Y15" i="64"/>
  <c r="Z14" i="64"/>
  <c r="Y14" i="64"/>
  <c r="Z13" i="64"/>
  <c r="Y13" i="64"/>
  <c r="Z12" i="64"/>
  <c r="Y12" i="64"/>
  <c r="Z11" i="64"/>
  <c r="Z10" i="64"/>
  <c r="Y10" i="64"/>
  <c r="Z9" i="64"/>
  <c r="Y9" i="64"/>
  <c r="FL34" i="65" l="1"/>
  <c r="FJ34" i="65"/>
  <c r="FL13" i="66"/>
  <c r="FJ13" i="66"/>
  <c r="FL17" i="66"/>
  <c r="FJ17" i="66"/>
  <c r="FL27" i="66"/>
  <c r="FJ27" i="66"/>
  <c r="FL32" i="67"/>
  <c r="FJ32" i="67"/>
  <c r="FL28" i="67"/>
  <c r="FJ28" i="67"/>
  <c r="FL21" i="70"/>
  <c r="FJ21" i="70"/>
  <c r="FL26" i="70"/>
  <c r="FJ26" i="70"/>
  <c r="FL35" i="70"/>
  <c r="FJ35" i="70"/>
  <c r="FL36" i="66"/>
  <c r="FJ36" i="66"/>
  <c r="FL23" i="69"/>
  <c r="FJ23" i="69"/>
  <c r="FL27" i="69"/>
  <c r="FJ27" i="69"/>
  <c r="FL32" i="66"/>
  <c r="FJ32" i="66"/>
  <c r="FJ27" i="65"/>
  <c r="FL27" i="65"/>
  <c r="FL31" i="65"/>
  <c r="FJ31" i="65"/>
  <c r="FJ35" i="65"/>
  <c r="FL35" i="65"/>
  <c r="FL14" i="66"/>
  <c r="FJ14" i="66"/>
  <c r="FL24" i="66"/>
  <c r="FJ24" i="66"/>
  <c r="FL31" i="67"/>
  <c r="FJ31" i="67"/>
  <c r="FJ13" i="70"/>
  <c r="FL13" i="70"/>
  <c r="FL22" i="70"/>
  <c r="FJ22" i="70"/>
  <c r="FL14" i="64"/>
  <c r="FJ14" i="64"/>
  <c r="FJ24" i="64"/>
  <c r="FL24" i="64"/>
  <c r="FL28" i="64"/>
  <c r="FJ28" i="64"/>
  <c r="FL32" i="64"/>
  <c r="FJ32" i="64"/>
  <c r="FL36" i="64"/>
  <c r="FJ36" i="64"/>
  <c r="FL13" i="65"/>
  <c r="FJ13" i="65"/>
  <c r="FL18" i="65"/>
  <c r="FJ18" i="65"/>
  <c r="FL10" i="66"/>
  <c r="FJ10" i="66"/>
  <c r="FJ33" i="66"/>
  <c r="FL33" i="66"/>
  <c r="FL12" i="67"/>
  <c r="FJ12" i="67"/>
  <c r="FL36" i="69"/>
  <c r="FJ36" i="69"/>
  <c r="FJ28" i="70"/>
  <c r="FL28" i="70"/>
  <c r="FL23" i="66"/>
  <c r="FJ23" i="66"/>
  <c r="FL13" i="64"/>
  <c r="FJ13" i="64"/>
  <c r="FL18" i="64"/>
  <c r="FJ18" i="64"/>
  <c r="FL23" i="64"/>
  <c r="FJ23" i="64"/>
  <c r="FL31" i="64"/>
  <c r="FJ31" i="64"/>
  <c r="FL35" i="64"/>
  <c r="FJ35" i="64"/>
  <c r="FJ12" i="65"/>
  <c r="FL12" i="65"/>
  <c r="FL22" i="65"/>
  <c r="FJ22" i="65"/>
  <c r="FL10" i="64"/>
  <c r="FJ10" i="64"/>
  <c r="FL28" i="65"/>
  <c r="FJ28" i="65"/>
  <c r="FL32" i="65"/>
  <c r="FJ32" i="65"/>
  <c r="FL36" i="65"/>
  <c r="FJ36" i="65"/>
  <c r="FL15" i="66"/>
  <c r="FJ15" i="66"/>
  <c r="FL20" i="66"/>
  <c r="FJ20" i="66"/>
  <c r="FL25" i="66"/>
  <c r="FJ25" i="66"/>
  <c r="FL30" i="67"/>
  <c r="FJ30" i="67"/>
  <c r="FL19" i="65"/>
  <c r="FJ19" i="65"/>
  <c r="FJ30" i="66"/>
  <c r="FL30" i="66"/>
  <c r="FL34" i="66"/>
  <c r="FJ34" i="66"/>
  <c r="FL25" i="67"/>
  <c r="FJ25" i="67"/>
  <c r="FL29" i="70"/>
  <c r="FJ29" i="70"/>
  <c r="FL26" i="65"/>
  <c r="FJ26" i="65"/>
  <c r="FJ30" i="65"/>
  <c r="FL30" i="65"/>
  <c r="FL15" i="64"/>
  <c r="FJ15" i="64"/>
  <c r="FL21" i="64"/>
  <c r="FJ21" i="64"/>
  <c r="FL25" i="64"/>
  <c r="FJ25" i="64"/>
  <c r="FJ29" i="64"/>
  <c r="FL29" i="64"/>
  <c r="FL33" i="64"/>
  <c r="FJ33" i="64"/>
  <c r="FL10" i="65"/>
  <c r="FJ10" i="65"/>
  <c r="FL25" i="65"/>
  <c r="FJ25" i="65"/>
  <c r="FL29" i="65"/>
  <c r="FJ29" i="65"/>
  <c r="FL12" i="66"/>
  <c r="FJ12" i="66"/>
  <c r="FJ16" i="66"/>
  <c r="FL16" i="66"/>
  <c r="FL33" i="67"/>
  <c r="FJ33" i="67"/>
  <c r="FJ29" i="67"/>
  <c r="FL29" i="67"/>
  <c r="FL10" i="67"/>
  <c r="FJ10" i="67"/>
  <c r="FL21" i="69"/>
  <c r="FJ21" i="69"/>
  <c r="FJ20" i="70"/>
  <c r="FL20" i="70"/>
  <c r="FJ25" i="70"/>
  <c r="FL25" i="70"/>
  <c r="FL14" i="65"/>
  <c r="FJ14" i="65"/>
  <c r="FL33" i="65"/>
  <c r="FJ33" i="65"/>
  <c r="FJ26" i="66"/>
  <c r="FL26" i="66"/>
  <c r="FL12" i="64"/>
  <c r="FJ12" i="64"/>
  <c r="FL22" i="64"/>
  <c r="FJ22" i="64"/>
  <c r="FL30" i="64"/>
  <c r="FJ30" i="64"/>
  <c r="FJ34" i="64"/>
  <c r="FL34" i="64"/>
  <c r="FL11" i="65"/>
  <c r="FJ11" i="65"/>
  <c r="FL15" i="65"/>
  <c r="FJ15" i="65"/>
  <c r="FL31" i="66"/>
  <c r="FJ31" i="66"/>
  <c r="FL35" i="66"/>
  <c r="FJ35" i="66"/>
  <c r="FL26" i="69"/>
  <c r="FJ26" i="69"/>
  <c r="FL36" i="70"/>
  <c r="FJ36" i="70"/>
  <c r="FJ32" i="70"/>
  <c r="FL32" i="70"/>
  <c r="FL31" i="70"/>
  <c r="FJ31" i="70"/>
  <c r="FL30" i="70"/>
  <c r="FJ30" i="70"/>
  <c r="FL18" i="70"/>
  <c r="FJ18" i="70"/>
  <c r="FL17" i="70"/>
  <c r="FJ17" i="70"/>
  <c r="FJ16" i="70"/>
  <c r="FL16" i="70"/>
  <c r="FL15" i="70"/>
  <c r="FJ15" i="70"/>
  <c r="FL12" i="70"/>
  <c r="FJ12" i="70"/>
  <c r="FL11" i="70"/>
  <c r="FJ11" i="70"/>
  <c r="FL10" i="70"/>
  <c r="FJ10" i="70"/>
  <c r="FL35" i="69"/>
  <c r="FJ35" i="69"/>
  <c r="FJ34" i="69"/>
  <c r="FL34" i="69"/>
  <c r="FL33" i="69"/>
  <c r="FJ33" i="69"/>
  <c r="FL32" i="69"/>
  <c r="FJ32" i="69"/>
  <c r="FL31" i="69"/>
  <c r="FJ31" i="69"/>
  <c r="FL28" i="69"/>
  <c r="FJ28" i="69"/>
  <c r="FL25" i="69"/>
  <c r="FJ25" i="69"/>
  <c r="FL24" i="69"/>
  <c r="FJ24" i="69"/>
  <c r="FL20" i="69"/>
  <c r="FJ20" i="69"/>
  <c r="FL18" i="69"/>
  <c r="FJ18" i="69"/>
  <c r="FJ19" i="69"/>
  <c r="FL19" i="69"/>
  <c r="FL14" i="69"/>
  <c r="FJ14" i="69"/>
  <c r="FL11" i="69"/>
  <c r="FJ11" i="69"/>
  <c r="FL10" i="69"/>
  <c r="FJ10" i="69"/>
  <c r="FJ36" i="67"/>
  <c r="FL36" i="67"/>
  <c r="FL35" i="67"/>
  <c r="FJ35" i="67"/>
  <c r="FJ34" i="67"/>
  <c r="FL34" i="67"/>
  <c r="FL24" i="67"/>
  <c r="FJ24" i="67"/>
  <c r="FL21" i="67"/>
  <c r="FJ21" i="67"/>
  <c r="FL20" i="67"/>
  <c r="FJ20" i="67"/>
  <c r="FL17" i="67"/>
  <c r="FJ17" i="67"/>
  <c r="FL16" i="67"/>
  <c r="FJ16" i="67"/>
  <c r="FL15" i="67"/>
  <c r="FJ15" i="67"/>
  <c r="FL14" i="67"/>
  <c r="FJ14" i="67"/>
  <c r="FL13" i="67"/>
  <c r="FJ13" i="67"/>
  <c r="FL21" i="73"/>
  <c r="FJ21" i="73"/>
  <c r="FL25" i="73"/>
  <c r="FJ25" i="73"/>
  <c r="FL29" i="73"/>
  <c r="FJ29" i="73"/>
  <c r="FL33" i="73"/>
  <c r="FJ33" i="73"/>
  <c r="FL12" i="73"/>
  <c r="FJ12" i="73"/>
  <c r="FL18" i="73"/>
  <c r="FJ18" i="73"/>
  <c r="FJ22" i="73"/>
  <c r="FL22" i="73"/>
  <c r="FL26" i="73"/>
  <c r="FJ26" i="73"/>
  <c r="FJ30" i="73"/>
  <c r="FL30" i="73"/>
  <c r="FL34" i="73"/>
  <c r="FJ34" i="73"/>
  <c r="FJ14" i="73"/>
  <c r="FL14" i="73"/>
  <c r="FJ19" i="73"/>
  <c r="FL19" i="73"/>
  <c r="FL23" i="73"/>
  <c r="FJ23" i="73"/>
  <c r="FJ27" i="73"/>
  <c r="FL27" i="73"/>
  <c r="FL31" i="73"/>
  <c r="FJ31" i="73"/>
  <c r="FJ35" i="73"/>
  <c r="FL35" i="73"/>
  <c r="FL15" i="73"/>
  <c r="FJ15" i="73"/>
  <c r="FL20" i="73"/>
  <c r="FJ20" i="73"/>
  <c r="FL24" i="73"/>
  <c r="FJ24" i="73"/>
  <c r="FL28" i="73"/>
  <c r="FJ28" i="73"/>
  <c r="FL32" i="73"/>
  <c r="FJ32" i="73"/>
  <c r="FL36" i="73"/>
  <c r="FJ36" i="73"/>
  <c r="FL10" i="73"/>
  <c r="FJ10" i="73"/>
  <c r="FL13" i="72"/>
  <c r="FJ13" i="72"/>
  <c r="FJ17" i="72"/>
  <c r="FL17" i="72"/>
  <c r="FL23" i="72"/>
  <c r="FJ23" i="72"/>
  <c r="FL27" i="72"/>
  <c r="FJ27" i="72"/>
  <c r="FL32" i="72"/>
  <c r="FJ32" i="72"/>
  <c r="FJ36" i="72"/>
  <c r="FL36" i="72"/>
  <c r="FL10" i="72"/>
  <c r="FJ10" i="72"/>
  <c r="FJ14" i="72"/>
  <c r="FL14" i="72"/>
  <c r="FL24" i="72"/>
  <c r="FJ24" i="72"/>
  <c r="FL33" i="72"/>
  <c r="FJ33" i="72"/>
  <c r="FL11" i="72"/>
  <c r="FJ11" i="72"/>
  <c r="FL15" i="72"/>
  <c r="FJ15" i="72"/>
  <c r="FL20" i="72"/>
  <c r="FJ20" i="72"/>
  <c r="FJ25" i="72"/>
  <c r="FL25" i="72"/>
  <c r="FL34" i="72"/>
  <c r="FJ34" i="72"/>
  <c r="FL12" i="72"/>
  <c r="FJ12" i="72"/>
  <c r="FL16" i="72"/>
  <c r="FJ16" i="72"/>
  <c r="FL26" i="72"/>
  <c r="FJ26" i="72"/>
  <c r="FJ31" i="72"/>
  <c r="FL31" i="72"/>
  <c r="FL35" i="72"/>
  <c r="FJ35" i="72"/>
  <c r="FL14" i="71"/>
  <c r="FJ14" i="71"/>
  <c r="FL28" i="71"/>
  <c r="FJ28" i="71"/>
  <c r="FJ36" i="71"/>
  <c r="FL36" i="71"/>
  <c r="FL10" i="71"/>
  <c r="FJ10" i="71"/>
  <c r="FL19" i="71"/>
  <c r="FJ19" i="71"/>
  <c r="FJ24" i="71"/>
  <c r="FL24" i="71"/>
  <c r="FL15" i="71"/>
  <c r="FJ15" i="71"/>
  <c r="FJ29" i="71"/>
  <c r="FL29" i="71"/>
  <c r="FL20" i="71"/>
  <c r="FJ20" i="71"/>
  <c r="FL12" i="71"/>
  <c r="FJ12" i="71"/>
  <c r="FL26" i="71"/>
  <c r="FJ26" i="71"/>
  <c r="FL17" i="71"/>
  <c r="FJ17" i="71"/>
  <c r="FJ13" i="71"/>
  <c r="FL13" i="71"/>
  <c r="FL27" i="71"/>
  <c r="FJ27" i="71"/>
  <c r="FL35" i="71"/>
  <c r="FJ35" i="71"/>
  <c r="FL18" i="71"/>
  <c r="FJ18" i="71"/>
  <c r="FL23" i="71"/>
  <c r="FJ23" i="71"/>
  <c r="FL34" i="71"/>
  <c r="FJ34" i="71"/>
  <c r="FJ31" i="71"/>
  <c r="FL31" i="71"/>
  <c r="FL17" i="69"/>
  <c r="FJ17" i="69"/>
  <c r="FL23" i="65"/>
  <c r="FJ23" i="65"/>
  <c r="FL27" i="64"/>
  <c r="FJ27" i="64"/>
  <c r="FL26" i="64"/>
  <c r="FJ26" i="64"/>
  <c r="FL28" i="66"/>
  <c r="FJ28" i="66"/>
  <c r="FL30" i="72"/>
  <c r="FJ30" i="72"/>
  <c r="FL30" i="71"/>
  <c r="FJ30" i="71"/>
  <c r="FJ33" i="71"/>
  <c r="FL33" i="71"/>
  <c r="FJ32" i="71"/>
  <c r="FL32" i="71"/>
  <c r="FL33" i="70"/>
  <c r="FJ33" i="70"/>
  <c r="FJ15" i="69"/>
  <c r="FL15" i="69"/>
  <c r="FJ30" i="69"/>
  <c r="FL30" i="69"/>
  <c r="FL29" i="69"/>
  <c r="FJ29" i="69"/>
  <c r="B15" i="47"/>
  <c r="P23" i="43"/>
  <c r="FL17" i="68"/>
  <c r="FJ17" i="68"/>
  <c r="FL22" i="68"/>
  <c r="FJ22" i="68"/>
  <c r="FJ27" i="68"/>
  <c r="FL27" i="68"/>
  <c r="FL31" i="68"/>
  <c r="FJ31" i="68"/>
  <c r="FJ35" i="68"/>
  <c r="FL35" i="68"/>
  <c r="FL21" i="68"/>
  <c r="FJ21" i="68"/>
  <c r="FL26" i="68"/>
  <c r="FJ26" i="68"/>
  <c r="FJ19" i="68"/>
  <c r="FL19" i="68"/>
  <c r="FJ23" i="68"/>
  <c r="FL23" i="68"/>
  <c r="FL34" i="68"/>
  <c r="FJ34" i="68"/>
  <c r="FJ18" i="68"/>
  <c r="FL18" i="68"/>
  <c r="FL10" i="68"/>
  <c r="FJ10" i="68"/>
  <c r="FJ15" i="68"/>
  <c r="FL15" i="68"/>
  <c r="FJ28" i="68"/>
  <c r="FL28" i="68"/>
  <c r="FL32" i="68"/>
  <c r="FJ32" i="68"/>
  <c r="FL20" i="68"/>
  <c r="FJ20" i="68"/>
  <c r="FL11" i="68"/>
  <c r="FJ11" i="68"/>
  <c r="FL25" i="68"/>
  <c r="FJ25" i="68"/>
  <c r="FL33" i="68"/>
  <c r="FJ33" i="68"/>
  <c r="Z38" i="68"/>
  <c r="Z40" i="69"/>
  <c r="Z39" i="72"/>
  <c r="Z39" i="70"/>
  <c r="Z40" i="67"/>
  <c r="Z40" i="66"/>
  <c r="Z39" i="65"/>
  <c r="Z40" i="64"/>
  <c r="Q23" i="43" l="1"/>
  <c r="B16" i="47" s="1"/>
  <c r="A16" i="47"/>
  <c r="F14" i="50"/>
  <c r="F12" i="50"/>
  <c r="F10" i="50"/>
  <c r="F9" i="50"/>
  <c r="Z10" i="63"/>
  <c r="Z11" i="63"/>
  <c r="Z12" i="63"/>
  <c r="Z13" i="63"/>
  <c r="Z14" i="63"/>
  <c r="Z15" i="63"/>
  <c r="Z16" i="63"/>
  <c r="Z17" i="63"/>
  <c r="Z18" i="63"/>
  <c r="Z19" i="63"/>
  <c r="Z20" i="63"/>
  <c r="Z21" i="63"/>
  <c r="Z22" i="63"/>
  <c r="Z23" i="63"/>
  <c r="Z24" i="63"/>
  <c r="Z25" i="63"/>
  <c r="Z26" i="63"/>
  <c r="Z27" i="63"/>
  <c r="Z28" i="63"/>
  <c r="Z29" i="63"/>
  <c r="Z30" i="63"/>
  <c r="Z31" i="63"/>
  <c r="Z32" i="63"/>
  <c r="Z33" i="63"/>
  <c r="Z34" i="63"/>
  <c r="Z35" i="63"/>
  <c r="Z36" i="63"/>
  <c r="Z37" i="63"/>
  <c r="Z38" i="63"/>
  <c r="Z9" i="63"/>
  <c r="F41" i="50"/>
  <c r="F50" i="50" s="1"/>
  <c r="F32" i="50"/>
  <c r="G32" i="50"/>
  <c r="G41" i="50" s="1"/>
  <c r="G50" i="50" s="1"/>
  <c r="H32" i="50"/>
  <c r="H41" i="50" s="1"/>
  <c r="H50" i="50" s="1"/>
  <c r="G23" i="50"/>
  <c r="H23" i="50"/>
  <c r="F23" i="50"/>
  <c r="D23" i="50"/>
  <c r="D32" i="50" s="1"/>
  <c r="D41" i="50" s="1"/>
  <c r="D50" i="50" s="1"/>
  <c r="E23" i="50"/>
  <c r="E32" i="50" s="1"/>
  <c r="E41" i="50" s="1"/>
  <c r="E50" i="50" s="1"/>
  <c r="C23" i="50"/>
  <c r="C32" i="50" s="1"/>
  <c r="C41" i="50" s="1"/>
  <c r="C50" i="50" s="1"/>
  <c r="F7" i="50" l="1"/>
  <c r="Z39" i="63"/>
  <c r="D2" i="46" l="1"/>
  <c r="A47" i="68"/>
  <c r="A48" i="72"/>
  <c r="A48" i="70"/>
  <c r="A48" i="65"/>
  <c r="A49" i="73"/>
  <c r="A49" i="71"/>
  <c r="A49" i="69"/>
  <c r="A49" i="67"/>
  <c r="A49" i="66"/>
  <c r="A50" i="41"/>
  <c r="A48" i="63"/>
  <c r="I91" i="43"/>
  <c r="F15" i="50" l="1"/>
  <c r="F13" i="50"/>
  <c r="F8" i="50"/>
  <c r="D23" i="74"/>
  <c r="V47" i="41" l="1"/>
  <c r="V54" i="41" s="1"/>
  <c r="V44" i="63" s="1"/>
  <c r="B2" i="50"/>
  <c r="M43" i="41"/>
  <c r="V45" i="63" l="1"/>
  <c r="V52" i="63" s="1"/>
  <c r="V45" i="64" s="1"/>
  <c r="V46" i="64" s="1"/>
  <c r="K72" i="44"/>
  <c r="I72" i="44"/>
  <c r="B73" i="44"/>
  <c r="B74" i="44"/>
  <c r="B75" i="44"/>
  <c r="B76" i="44"/>
  <c r="B72" i="44"/>
  <c r="K46" i="43"/>
  <c r="J53" i="1"/>
  <c r="V46" i="43"/>
  <c r="U46" i="43"/>
  <c r="T46" i="43"/>
  <c r="S46" i="43"/>
  <c r="R46" i="43"/>
  <c r="Q46" i="43"/>
  <c r="P46" i="43"/>
  <c r="O46" i="43"/>
  <c r="N46" i="43"/>
  <c r="M46" i="43"/>
  <c r="L46" i="43"/>
  <c r="L91" i="43" s="1"/>
  <c r="I48" i="63" s="1"/>
  <c r="A5" i="73"/>
  <c r="M42" i="73" s="1"/>
  <c r="A5" i="72"/>
  <c r="M41" i="72" s="1"/>
  <c r="A5" i="71"/>
  <c r="M42" i="71" s="1"/>
  <c r="A5" i="70"/>
  <c r="M41" i="70" s="1"/>
  <c r="A5" i="69"/>
  <c r="M42" i="69" s="1"/>
  <c r="A5" i="68"/>
  <c r="M40" i="68" s="1"/>
  <c r="A5" i="67"/>
  <c r="M42" i="67" s="1"/>
  <c r="A5" i="66"/>
  <c r="M42" i="66" s="1"/>
  <c r="A5" i="65"/>
  <c r="M41" i="65" s="1"/>
  <c r="A5" i="64"/>
  <c r="M42" i="64" s="1"/>
  <c r="M41" i="63"/>
  <c r="B9" i="1"/>
  <c r="G10" i="62"/>
  <c r="G26" i="50"/>
  <c r="G24" i="50"/>
  <c r="J34" i="1" l="1"/>
  <c r="J12" i="44"/>
  <c r="V91" i="43"/>
  <c r="I49" i="73" s="1"/>
  <c r="N91" i="43"/>
  <c r="I48" i="65" s="1"/>
  <c r="O91" i="43"/>
  <c r="I49" i="66" s="1"/>
  <c r="P91" i="43"/>
  <c r="I49" i="67" s="1"/>
  <c r="Q91" i="43"/>
  <c r="I47" i="68" s="1"/>
  <c r="K117" i="44"/>
  <c r="R91" i="43"/>
  <c r="I49" i="69" s="1"/>
  <c r="K91" i="43"/>
  <c r="S91" i="43"/>
  <c r="I48" i="70" s="1"/>
  <c r="T91" i="43"/>
  <c r="I49" i="71" s="1"/>
  <c r="M91" i="43"/>
  <c r="I49" i="64" s="1"/>
  <c r="U91" i="43"/>
  <c r="I48" i="72" s="1"/>
  <c r="I50" i="41" l="1"/>
  <c r="A6" i="73"/>
  <c r="A6" i="72"/>
  <c r="A6" i="70"/>
  <c r="A6" i="69"/>
  <c r="A6" i="68"/>
  <c r="A6" i="71"/>
  <c r="D64" i="73"/>
  <c r="D76" i="73"/>
  <c r="D74" i="73"/>
  <c r="D73" i="73"/>
  <c r="H44" i="73" s="1"/>
  <c r="D72" i="73"/>
  <c r="H45" i="73" s="1"/>
  <c r="D71" i="73"/>
  <c r="D70" i="73"/>
  <c r="D69" i="73"/>
  <c r="D68" i="73"/>
  <c r="D67" i="73"/>
  <c r="D66" i="73"/>
  <c r="D65" i="73"/>
  <c r="D64" i="72"/>
  <c r="D63" i="72"/>
  <c r="D75" i="72"/>
  <c r="D73" i="72"/>
  <c r="D72" i="72"/>
  <c r="H43" i="72" s="1"/>
  <c r="D71" i="72"/>
  <c r="H44" i="72" s="1"/>
  <c r="D70" i="72"/>
  <c r="D69" i="72"/>
  <c r="D68" i="72"/>
  <c r="D67" i="72"/>
  <c r="D66" i="72"/>
  <c r="D65" i="72"/>
  <c r="D64" i="71"/>
  <c r="D76" i="71"/>
  <c r="D74" i="71"/>
  <c r="D73" i="71"/>
  <c r="H44" i="71" s="1"/>
  <c r="D72" i="71"/>
  <c r="H45" i="71" s="1"/>
  <c r="D71" i="71"/>
  <c r="D70" i="71"/>
  <c r="D69" i="71"/>
  <c r="D68" i="71"/>
  <c r="D67" i="71"/>
  <c r="D66" i="71"/>
  <c r="D65" i="71"/>
  <c r="D63" i="70"/>
  <c r="D75" i="70"/>
  <c r="D73" i="70"/>
  <c r="D72" i="70"/>
  <c r="H43" i="70" s="1"/>
  <c r="D71" i="70"/>
  <c r="H44" i="70" s="1"/>
  <c r="D70" i="70"/>
  <c r="D69" i="70"/>
  <c r="D68" i="70"/>
  <c r="D67" i="70"/>
  <c r="D66" i="70"/>
  <c r="D65" i="70"/>
  <c r="D64" i="70"/>
  <c r="D64" i="69"/>
  <c r="D76" i="69"/>
  <c r="D74" i="69"/>
  <c r="D73" i="69"/>
  <c r="H44" i="69" s="1"/>
  <c r="D72" i="69"/>
  <c r="H45" i="69" s="1"/>
  <c r="D71" i="69"/>
  <c r="D70" i="69"/>
  <c r="D69" i="69"/>
  <c r="D68" i="69"/>
  <c r="D67" i="69"/>
  <c r="D66" i="69"/>
  <c r="D65" i="69"/>
  <c r="D72" i="68"/>
  <c r="D71" i="68"/>
  <c r="H42" i="68" s="1"/>
  <c r="D70" i="68"/>
  <c r="H43" i="68" s="1"/>
  <c r="D69" i="68"/>
  <c r="D68" i="68"/>
  <c r="D67" i="68"/>
  <c r="D66" i="68"/>
  <c r="D65" i="68"/>
  <c r="D64" i="68"/>
  <c r="D64" i="67"/>
  <c r="D76" i="67"/>
  <c r="D74" i="67"/>
  <c r="D73" i="67"/>
  <c r="D72" i="67"/>
  <c r="D71" i="67"/>
  <c r="D70" i="67"/>
  <c r="D69" i="67"/>
  <c r="D68" i="67"/>
  <c r="D67" i="67"/>
  <c r="D66" i="67"/>
  <c r="D65" i="67"/>
  <c r="D65" i="66"/>
  <c r="D64" i="66"/>
  <c r="D76" i="66"/>
  <c r="D74" i="66"/>
  <c r="D73" i="66"/>
  <c r="H44" i="66" s="1"/>
  <c r="D72" i="66"/>
  <c r="H45" i="66" s="1"/>
  <c r="D71" i="66"/>
  <c r="D70" i="66"/>
  <c r="D69" i="66"/>
  <c r="D68" i="66"/>
  <c r="D67" i="66"/>
  <c r="D66" i="66"/>
  <c r="D63" i="65"/>
  <c r="D75" i="65"/>
  <c r="D73" i="65"/>
  <c r="D72" i="65"/>
  <c r="H43" i="65" s="1"/>
  <c r="D71" i="65"/>
  <c r="H44" i="65" s="1"/>
  <c r="D70" i="65"/>
  <c r="D69" i="65"/>
  <c r="D68" i="65"/>
  <c r="D67" i="65"/>
  <c r="D66" i="65"/>
  <c r="D65" i="65"/>
  <c r="D64" i="65"/>
  <c r="D64" i="64"/>
  <c r="D76" i="64"/>
  <c r="D74" i="64"/>
  <c r="D73" i="64"/>
  <c r="H44" i="64" s="1"/>
  <c r="D72" i="64"/>
  <c r="H45" i="64" s="1"/>
  <c r="D71" i="64"/>
  <c r="D70" i="64"/>
  <c r="D69" i="64"/>
  <c r="D68" i="64"/>
  <c r="D67" i="64"/>
  <c r="D66" i="64"/>
  <c r="D65" i="64"/>
  <c r="D63" i="63"/>
  <c r="D75" i="63"/>
  <c r="D73" i="63"/>
  <c r="D72" i="63"/>
  <c r="H43" i="63" s="1"/>
  <c r="D71" i="63"/>
  <c r="H44" i="63" s="1"/>
  <c r="D70" i="63"/>
  <c r="D69" i="63"/>
  <c r="D68" i="63"/>
  <c r="D67" i="63"/>
  <c r="D66" i="63"/>
  <c r="D65" i="63"/>
  <c r="D64" i="63"/>
  <c r="AO88" i="73"/>
  <c r="BL88" i="73" s="1"/>
  <c r="AO87" i="73"/>
  <c r="BL87" i="73" s="1"/>
  <c r="AO86" i="73"/>
  <c r="BL86" i="73" s="1"/>
  <c r="AO85" i="73"/>
  <c r="BL85" i="73" s="1"/>
  <c r="Y75" i="73"/>
  <c r="A51" i="73"/>
  <c r="A47" i="73"/>
  <c r="A46" i="73"/>
  <c r="A45" i="73"/>
  <c r="A44" i="73"/>
  <c r="A42" i="73"/>
  <c r="R40" i="73"/>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CX36" i="73" s="1"/>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CX34" i="73" s="1"/>
  <c r="BF34" i="73"/>
  <c r="BE34" i="73"/>
  <c r="BD34" i="73"/>
  <c r="BC34" i="73"/>
  <c r="AE34" i="73"/>
  <c r="AD34" i="73"/>
  <c r="AC34" i="73"/>
  <c r="AB34" i="73"/>
  <c r="AA34" i="73"/>
  <c r="DF33" i="73"/>
  <c r="DE33" i="73"/>
  <c r="DD33" i="73"/>
  <c r="DC33" i="73"/>
  <c r="DB33" i="73"/>
  <c r="DA33" i="73"/>
  <c r="CZ33" i="73"/>
  <c r="CY33" i="73"/>
  <c r="CC33" i="73"/>
  <c r="CB33" i="73"/>
  <c r="CX33" i="73" s="1"/>
  <c r="BF33" i="73"/>
  <c r="BE33" i="73"/>
  <c r="BD33" i="73"/>
  <c r="BC33" i="73"/>
  <c r="AE33" i="73"/>
  <c r="AD33" i="73"/>
  <c r="AC33" i="73"/>
  <c r="AB33" i="73"/>
  <c r="AA33" i="73"/>
  <c r="DF32" i="73"/>
  <c r="DE32" i="73"/>
  <c r="DD32" i="73"/>
  <c r="DC32" i="73"/>
  <c r="DB32" i="73"/>
  <c r="DA32" i="73"/>
  <c r="CZ32" i="73"/>
  <c r="CY32" i="73"/>
  <c r="CC32" i="73"/>
  <c r="CB32" i="73"/>
  <c r="CX32" i="73" s="1"/>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CX28" i="73" s="1"/>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CX20" i="73" s="1"/>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CX18" i="73" s="1"/>
  <c r="BF18" i="73"/>
  <c r="BE18" i="73"/>
  <c r="BD18" i="73"/>
  <c r="BC18" i="73"/>
  <c r="AE18" i="73"/>
  <c r="AD18" i="73"/>
  <c r="AC18" i="73"/>
  <c r="AB18" i="73"/>
  <c r="AA18" i="73"/>
  <c r="DF17" i="73"/>
  <c r="DE17" i="73"/>
  <c r="DD17" i="73"/>
  <c r="DC17" i="73"/>
  <c r="DB17" i="73"/>
  <c r="DA17" i="73"/>
  <c r="CZ17" i="73"/>
  <c r="CY17" i="73"/>
  <c r="CC17" i="73"/>
  <c r="CB17" i="73"/>
  <c r="CX17" i="73" s="1"/>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CX15" i="73" s="1"/>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DF13" i="73"/>
  <c r="DE13" i="73"/>
  <c r="DD13" i="73"/>
  <c r="DC13" i="73"/>
  <c r="DB13" i="73"/>
  <c r="DA13" i="73"/>
  <c r="CZ13" i="73"/>
  <c r="CY13" i="73"/>
  <c r="CC13" i="73"/>
  <c r="CB13" i="73"/>
  <c r="BF13" i="73"/>
  <c r="BE13" i="73"/>
  <c r="BD13" i="73"/>
  <c r="BC13" i="73"/>
  <c r="AE13" i="73"/>
  <c r="AD13" i="73"/>
  <c r="AC13" i="73"/>
  <c r="AB13" i="73"/>
  <c r="AA13" i="73"/>
  <c r="DF12" i="73"/>
  <c r="DE12" i="73"/>
  <c r="DD12" i="73"/>
  <c r="DC12" i="73"/>
  <c r="DB12" i="73"/>
  <c r="DA12" i="73"/>
  <c r="CZ12" i="73"/>
  <c r="CY12" i="73"/>
  <c r="CC12" i="73"/>
  <c r="CB12" i="73"/>
  <c r="CX12" i="73" s="1"/>
  <c r="BF12" i="73"/>
  <c r="BE12" i="73"/>
  <c r="BD12" i="73"/>
  <c r="BC12" i="73"/>
  <c r="AE12" i="73"/>
  <c r="AD12" i="73"/>
  <c r="AC12" i="73"/>
  <c r="AB12" i="73"/>
  <c r="AA12" i="73"/>
  <c r="DF11" i="73"/>
  <c r="DE11" i="73"/>
  <c r="DD11" i="73"/>
  <c r="DC11" i="73"/>
  <c r="DB11" i="73"/>
  <c r="DA11" i="73"/>
  <c r="CZ11" i="73"/>
  <c r="CY11" i="73"/>
  <c r="CC11" i="73"/>
  <c r="CB11" i="73"/>
  <c r="BF11" i="73"/>
  <c r="BE11" i="73"/>
  <c r="BD11" i="73"/>
  <c r="BC11" i="73"/>
  <c r="AE11" i="73"/>
  <c r="AD11" i="73"/>
  <c r="AC11" i="73"/>
  <c r="AB11" i="73"/>
  <c r="AA11" i="73"/>
  <c r="DF10" i="73"/>
  <c r="DE10" i="73"/>
  <c r="DD10" i="73"/>
  <c r="DC10" i="73"/>
  <c r="DB10" i="73"/>
  <c r="DA10" i="73"/>
  <c r="CZ10" i="73"/>
  <c r="CY10" i="73"/>
  <c r="CC10" i="73"/>
  <c r="CB10" i="73"/>
  <c r="CX10" i="73" s="1"/>
  <c r="BF10" i="73"/>
  <c r="BE10" i="73"/>
  <c r="BD10" i="73"/>
  <c r="BC10" i="73"/>
  <c r="AE10" i="73"/>
  <c r="AD10" i="73"/>
  <c r="AC10" i="73"/>
  <c r="AB10" i="73"/>
  <c r="AA10" i="73"/>
  <c r="DF9" i="73"/>
  <c r="DE9" i="73"/>
  <c r="DD9" i="73"/>
  <c r="DC9" i="73"/>
  <c r="DB9" i="73"/>
  <c r="DA9" i="73"/>
  <c r="CZ9" i="73"/>
  <c r="CY9" i="73"/>
  <c r="CC9" i="73"/>
  <c r="CB9" i="73"/>
  <c r="CX9" i="73" s="1"/>
  <c r="BF9" i="73"/>
  <c r="BE9" i="73"/>
  <c r="BD9" i="73"/>
  <c r="BC9" i="73"/>
  <c r="AE9" i="73"/>
  <c r="AD9" i="73"/>
  <c r="AC9" i="73"/>
  <c r="AB9" i="73"/>
  <c r="AA9" i="73"/>
  <c r="A9" i="73"/>
  <c r="AO87" i="72"/>
  <c r="BL87" i="72" s="1"/>
  <c r="AO86" i="72"/>
  <c r="BL86" i="72" s="1"/>
  <c r="AO85" i="72"/>
  <c r="BL85" i="72" s="1"/>
  <c r="AO84" i="72"/>
  <c r="BL84" i="72" s="1"/>
  <c r="A50" i="72"/>
  <c r="A46" i="72"/>
  <c r="A45" i="72"/>
  <c r="A44" i="72"/>
  <c r="A43" i="72"/>
  <c r="A41" i="72"/>
  <c r="R39" i="72"/>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CX34" i="72" s="1"/>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CX30" i="72" s="1"/>
  <c r="BF30" i="72"/>
  <c r="BE30" i="72"/>
  <c r="BD30" i="72"/>
  <c r="BC30" i="72"/>
  <c r="AE30" i="72"/>
  <c r="AD30" i="72"/>
  <c r="AC30" i="72"/>
  <c r="AB30" i="72"/>
  <c r="AA30" i="72"/>
  <c r="DF29" i="72"/>
  <c r="DE29" i="72"/>
  <c r="DD29" i="72"/>
  <c r="DC29" i="72"/>
  <c r="DB29" i="72"/>
  <c r="DA29" i="72"/>
  <c r="CZ29" i="72"/>
  <c r="CY29" i="72"/>
  <c r="CC29" i="72"/>
  <c r="CB29" i="72"/>
  <c r="CX29" i="72" s="1"/>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CX21" i="72" s="1"/>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DF13" i="72"/>
  <c r="DE13" i="72"/>
  <c r="DD13" i="72"/>
  <c r="DC13" i="72"/>
  <c r="DB13" i="72"/>
  <c r="DA13" i="72"/>
  <c r="CZ13" i="72"/>
  <c r="CY13" i="72"/>
  <c r="CC13" i="72"/>
  <c r="CB13" i="72"/>
  <c r="BF13" i="72"/>
  <c r="BE13" i="72"/>
  <c r="BD13" i="72"/>
  <c r="BC13" i="72"/>
  <c r="AE13" i="72"/>
  <c r="AD13" i="72"/>
  <c r="AC13" i="72"/>
  <c r="AB13" i="72"/>
  <c r="AA13" i="72"/>
  <c r="DF12" i="72"/>
  <c r="DE12" i="72"/>
  <c r="DD12" i="72"/>
  <c r="DC12" i="72"/>
  <c r="DB12" i="72"/>
  <c r="DA12" i="72"/>
  <c r="CZ12" i="72"/>
  <c r="CY12" i="72"/>
  <c r="CC12" i="72"/>
  <c r="CB12" i="72"/>
  <c r="BF12" i="72"/>
  <c r="BE12" i="72"/>
  <c r="BD12" i="72"/>
  <c r="BC12" i="72"/>
  <c r="AE12" i="72"/>
  <c r="AD12" i="72"/>
  <c r="AC12" i="72"/>
  <c r="AB12" i="72"/>
  <c r="AA12" i="72"/>
  <c r="DF11" i="72"/>
  <c r="DE11" i="72"/>
  <c r="DD11" i="72"/>
  <c r="DC11" i="72"/>
  <c r="DB11" i="72"/>
  <c r="DA11" i="72"/>
  <c r="CZ11" i="72"/>
  <c r="CY11" i="72"/>
  <c r="CC11" i="72"/>
  <c r="CB11" i="72"/>
  <c r="BF11" i="72"/>
  <c r="BE11" i="72"/>
  <c r="BD11" i="72"/>
  <c r="BC11" i="72"/>
  <c r="AE11" i="72"/>
  <c r="AD11" i="72"/>
  <c r="AC11" i="72"/>
  <c r="AB11" i="72"/>
  <c r="AA11" i="72"/>
  <c r="DF10" i="72"/>
  <c r="DE10" i="72"/>
  <c r="DD10" i="72"/>
  <c r="DC10" i="72"/>
  <c r="DB10" i="72"/>
  <c r="DA10" i="72"/>
  <c r="CZ10" i="72"/>
  <c r="CY10" i="72"/>
  <c r="CC10" i="72"/>
  <c r="CB10" i="72"/>
  <c r="CX10" i="72" s="1"/>
  <c r="BF10" i="72"/>
  <c r="BE10" i="72"/>
  <c r="BD10" i="72"/>
  <c r="BC10" i="72"/>
  <c r="AE10" i="72"/>
  <c r="AD10" i="72"/>
  <c r="AC10" i="72"/>
  <c r="AB10" i="72"/>
  <c r="AA10" i="72"/>
  <c r="DF9" i="72"/>
  <c r="DE9" i="72"/>
  <c r="DD9" i="72"/>
  <c r="DC9" i="72"/>
  <c r="DB9" i="72"/>
  <c r="DA9" i="72"/>
  <c r="CZ9" i="72"/>
  <c r="CY9" i="72"/>
  <c r="CC9" i="72"/>
  <c r="CB9" i="72"/>
  <c r="BF9" i="72"/>
  <c r="BE9" i="72"/>
  <c r="BD9" i="72"/>
  <c r="BC9" i="72"/>
  <c r="AE9" i="72"/>
  <c r="AD9" i="72"/>
  <c r="AC9" i="72"/>
  <c r="AB9" i="72"/>
  <c r="AA9" i="72"/>
  <c r="A9" i="72"/>
  <c r="AO88" i="71"/>
  <c r="BL88" i="71" s="1"/>
  <c r="AO87" i="71"/>
  <c r="BL87" i="71" s="1"/>
  <c r="AO86" i="71"/>
  <c r="BL86" i="71" s="1"/>
  <c r="AO85" i="71"/>
  <c r="BL85" i="71" s="1"/>
  <c r="A51" i="71"/>
  <c r="A47" i="71"/>
  <c r="A46" i="71"/>
  <c r="A45" i="71"/>
  <c r="A44" i="71"/>
  <c r="A42" i="71"/>
  <c r="R40" i="7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CX38" i="71" s="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CX30" i="71" s="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CX25" i="71" s="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CX22" i="71" s="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CX15" i="71" s="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DF13" i="71"/>
  <c r="DE13" i="71"/>
  <c r="DD13" i="71"/>
  <c r="DC13" i="71"/>
  <c r="DB13" i="71"/>
  <c r="DA13" i="71"/>
  <c r="CZ13" i="71"/>
  <c r="CY13" i="71"/>
  <c r="CC13" i="71"/>
  <c r="CB13" i="71"/>
  <c r="BF13" i="71"/>
  <c r="BE13" i="71"/>
  <c r="BD13" i="71"/>
  <c r="BC13" i="71"/>
  <c r="AE13" i="71"/>
  <c r="AD13" i="71"/>
  <c r="AC13" i="71"/>
  <c r="AB13" i="71"/>
  <c r="AA13" i="71"/>
  <c r="DF12" i="71"/>
  <c r="DE12" i="71"/>
  <c r="DD12" i="71"/>
  <c r="DC12" i="71"/>
  <c r="DB12" i="71"/>
  <c r="DA12" i="71"/>
  <c r="CZ12" i="71"/>
  <c r="CY12" i="71"/>
  <c r="CC12" i="71"/>
  <c r="CB12" i="71"/>
  <c r="BF12" i="71"/>
  <c r="BE12" i="71"/>
  <c r="BD12" i="71"/>
  <c r="BC12" i="71"/>
  <c r="AE12" i="71"/>
  <c r="AD12" i="71"/>
  <c r="AC12" i="71"/>
  <c r="AB12" i="71"/>
  <c r="AA12" i="71"/>
  <c r="DF11" i="71"/>
  <c r="DE11" i="71"/>
  <c r="DD11" i="71"/>
  <c r="DC11" i="71"/>
  <c r="DB11" i="71"/>
  <c r="DA11" i="71"/>
  <c r="CZ11" i="71"/>
  <c r="CY11" i="71"/>
  <c r="CC11" i="71"/>
  <c r="CB11" i="71"/>
  <c r="BF11" i="71"/>
  <c r="BE11" i="71"/>
  <c r="BD11" i="71"/>
  <c r="BC11" i="71"/>
  <c r="AE11" i="71"/>
  <c r="AD11" i="71"/>
  <c r="AC11" i="71"/>
  <c r="AB11" i="71"/>
  <c r="AA11" i="71"/>
  <c r="DF10" i="71"/>
  <c r="DE10" i="71"/>
  <c r="DD10" i="71"/>
  <c r="DC10" i="71"/>
  <c r="DB10" i="71"/>
  <c r="DA10" i="71"/>
  <c r="CZ10" i="71"/>
  <c r="CY10" i="71"/>
  <c r="CC10" i="71"/>
  <c r="CB10" i="71"/>
  <c r="BF10" i="71"/>
  <c r="BE10" i="71"/>
  <c r="BD10" i="71"/>
  <c r="BC10" i="71"/>
  <c r="AE10" i="71"/>
  <c r="AD10" i="71"/>
  <c r="AC10" i="71"/>
  <c r="AB10" i="71"/>
  <c r="AA10" i="71"/>
  <c r="DF9" i="71"/>
  <c r="DE9" i="71"/>
  <c r="DD9" i="71"/>
  <c r="DC9" i="71"/>
  <c r="DB9" i="71"/>
  <c r="DA9" i="71"/>
  <c r="CZ9" i="71"/>
  <c r="CY9" i="71"/>
  <c r="CC9" i="71"/>
  <c r="CB9" i="71"/>
  <c r="CX9" i="71" s="1"/>
  <c r="BF9" i="71"/>
  <c r="BE9" i="71"/>
  <c r="BD9" i="71"/>
  <c r="BC9" i="71"/>
  <c r="AE9" i="71"/>
  <c r="AD9" i="71"/>
  <c r="AC9" i="71"/>
  <c r="AB9" i="71"/>
  <c r="AA9" i="71"/>
  <c r="A9" i="71"/>
  <c r="AO87" i="70"/>
  <c r="BL87" i="70" s="1"/>
  <c r="AO86" i="70"/>
  <c r="BL86" i="70" s="1"/>
  <c r="AO85" i="70"/>
  <c r="BL85" i="70" s="1"/>
  <c r="AO84" i="70"/>
  <c r="BL84" i="70" s="1"/>
  <c r="A50" i="70"/>
  <c r="A46" i="70"/>
  <c r="A45" i="70"/>
  <c r="A44" i="70"/>
  <c r="A43" i="70"/>
  <c r="A41" i="70"/>
  <c r="R39" i="70"/>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CX36" i="70" s="1"/>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CX34" i="70" s="1"/>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CX26" i="70" s="1"/>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CX23" i="70" s="1"/>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CX18" i="70" s="1"/>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DF13" i="70"/>
  <c r="DE13" i="70"/>
  <c r="DD13" i="70"/>
  <c r="DC13" i="70"/>
  <c r="DB13" i="70"/>
  <c r="DA13" i="70"/>
  <c r="CZ13" i="70"/>
  <c r="CY13" i="70"/>
  <c r="CC13" i="70"/>
  <c r="CB13" i="70"/>
  <c r="BF13" i="70"/>
  <c r="BE13" i="70"/>
  <c r="BD13" i="70"/>
  <c r="BC13" i="70"/>
  <c r="AE13" i="70"/>
  <c r="AD13" i="70"/>
  <c r="AC13" i="70"/>
  <c r="AB13" i="70"/>
  <c r="AA13" i="70"/>
  <c r="DF12" i="70"/>
  <c r="DE12" i="70"/>
  <c r="DD12" i="70"/>
  <c r="DC12" i="70"/>
  <c r="DB12" i="70"/>
  <c r="DA12" i="70"/>
  <c r="CZ12" i="70"/>
  <c r="CY12" i="70"/>
  <c r="CC12" i="70"/>
  <c r="CB12" i="70"/>
  <c r="CX12" i="70" s="1"/>
  <c r="BF12" i="70"/>
  <c r="BE12" i="70"/>
  <c r="BD12" i="70"/>
  <c r="BC12" i="70"/>
  <c r="AE12" i="70"/>
  <c r="AD12" i="70"/>
  <c r="AC12" i="70"/>
  <c r="AB12" i="70"/>
  <c r="AA12" i="70"/>
  <c r="DF11" i="70"/>
  <c r="DE11" i="70"/>
  <c r="DD11" i="70"/>
  <c r="DC11" i="70"/>
  <c r="DB11" i="70"/>
  <c r="DA11" i="70"/>
  <c r="CZ11" i="70"/>
  <c r="CY11" i="70"/>
  <c r="CC11" i="70"/>
  <c r="CB11" i="70"/>
  <c r="BF11" i="70"/>
  <c r="BE11" i="70"/>
  <c r="BD11" i="70"/>
  <c r="BC11" i="70"/>
  <c r="AE11" i="70"/>
  <c r="AD11" i="70"/>
  <c r="AC11" i="70"/>
  <c r="AB11" i="70"/>
  <c r="AA11" i="70"/>
  <c r="DF10" i="70"/>
  <c r="DE10" i="70"/>
  <c r="DD10" i="70"/>
  <c r="DC10" i="70"/>
  <c r="DB10" i="70"/>
  <c r="DA10" i="70"/>
  <c r="CZ10" i="70"/>
  <c r="CY10" i="70"/>
  <c r="CC10" i="70"/>
  <c r="CB10" i="70"/>
  <c r="BF10" i="70"/>
  <c r="BE10" i="70"/>
  <c r="BD10" i="70"/>
  <c r="BC10" i="70"/>
  <c r="AE10" i="70"/>
  <c r="AD10" i="70"/>
  <c r="AC10" i="70"/>
  <c r="AB10" i="70"/>
  <c r="AA10" i="70"/>
  <c r="DF9" i="70"/>
  <c r="DE9" i="70"/>
  <c r="DD9" i="70"/>
  <c r="DC9" i="70"/>
  <c r="DB9" i="70"/>
  <c r="DA9" i="70"/>
  <c r="CZ9" i="70"/>
  <c r="CY9" i="70"/>
  <c r="CC9" i="70"/>
  <c r="CB9" i="70"/>
  <c r="BF9" i="70"/>
  <c r="BE9" i="70"/>
  <c r="BD9" i="70"/>
  <c r="BC9" i="70"/>
  <c r="AE9" i="70"/>
  <c r="AD9" i="70"/>
  <c r="AC9" i="70"/>
  <c r="AB9" i="70"/>
  <c r="AA9" i="70"/>
  <c r="A9" i="70"/>
  <c r="AO88" i="69"/>
  <c r="BL88" i="69" s="1"/>
  <c r="AO87" i="69"/>
  <c r="BL87" i="69" s="1"/>
  <c r="AO86" i="69"/>
  <c r="BL86" i="69" s="1"/>
  <c r="AO85" i="69"/>
  <c r="BL85" i="69" s="1"/>
  <c r="A51" i="69"/>
  <c r="A47" i="69"/>
  <c r="A46" i="69"/>
  <c r="A45" i="69"/>
  <c r="A44" i="69"/>
  <c r="A42" i="69"/>
  <c r="R40" i="69"/>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CX38" i="69" s="1"/>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CX35" i="69" s="1"/>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CX31" i="69" s="1"/>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CX24" i="69" s="1"/>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CX22" i="69" s="1"/>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CX20" i="69" s="1"/>
  <c r="BF20" i="69"/>
  <c r="BE20" i="69"/>
  <c r="BD20" i="69"/>
  <c r="BC20" i="69"/>
  <c r="AE20" i="69"/>
  <c r="AD20" i="69"/>
  <c r="AC20" i="69"/>
  <c r="AB20" i="69"/>
  <c r="AA20" i="69"/>
  <c r="DF19" i="69"/>
  <c r="DE19" i="69"/>
  <c r="DD19" i="69"/>
  <c r="DC19" i="69"/>
  <c r="DB19" i="69"/>
  <c r="DA19" i="69"/>
  <c r="CZ19" i="69"/>
  <c r="CY19" i="69"/>
  <c r="CC19" i="69"/>
  <c r="CB19" i="69"/>
  <c r="CX19" i="69" s="1"/>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DF13" i="69"/>
  <c r="DE13" i="69"/>
  <c r="DD13" i="69"/>
  <c r="DC13" i="69"/>
  <c r="DB13" i="69"/>
  <c r="DA13" i="69"/>
  <c r="CZ13" i="69"/>
  <c r="CY13" i="69"/>
  <c r="CC13" i="69"/>
  <c r="CB13" i="69"/>
  <c r="BF13" i="69"/>
  <c r="BE13" i="69"/>
  <c r="BD13" i="69"/>
  <c r="BC13" i="69"/>
  <c r="AE13" i="69"/>
  <c r="AD13" i="69"/>
  <c r="AC13" i="69"/>
  <c r="AB13" i="69"/>
  <c r="AA13" i="69"/>
  <c r="DF12" i="69"/>
  <c r="DE12" i="69"/>
  <c r="DD12" i="69"/>
  <c r="DC12" i="69"/>
  <c r="DB12" i="69"/>
  <c r="DA12" i="69"/>
  <c r="CZ12" i="69"/>
  <c r="CY12" i="69"/>
  <c r="CC12" i="69"/>
  <c r="CB12" i="69"/>
  <c r="BF12" i="69"/>
  <c r="BE12" i="69"/>
  <c r="BD12" i="69"/>
  <c r="BC12" i="69"/>
  <c r="AE12" i="69"/>
  <c r="AD12" i="69"/>
  <c r="AC12" i="69"/>
  <c r="AB12" i="69"/>
  <c r="AA12" i="69"/>
  <c r="DF11" i="69"/>
  <c r="DE11" i="69"/>
  <c r="DD11" i="69"/>
  <c r="DC11" i="69"/>
  <c r="DB11" i="69"/>
  <c r="DA11" i="69"/>
  <c r="CZ11" i="69"/>
  <c r="CY11" i="69"/>
  <c r="CC11" i="69"/>
  <c r="CB11" i="69"/>
  <c r="CX11" i="69" s="1"/>
  <c r="BF11" i="69"/>
  <c r="BE11" i="69"/>
  <c r="BD11" i="69"/>
  <c r="BC11" i="69"/>
  <c r="AE11" i="69"/>
  <c r="AD11" i="69"/>
  <c r="AC11" i="69"/>
  <c r="AB11" i="69"/>
  <c r="AA11" i="69"/>
  <c r="DF10" i="69"/>
  <c r="DE10" i="69"/>
  <c r="DD10" i="69"/>
  <c r="DC10" i="69"/>
  <c r="DB10" i="69"/>
  <c r="DA10" i="69"/>
  <c r="CZ10" i="69"/>
  <c r="CY10" i="69"/>
  <c r="CC10" i="69"/>
  <c r="CB10" i="69"/>
  <c r="CX10" i="69" s="1"/>
  <c r="BF10" i="69"/>
  <c r="BE10" i="69"/>
  <c r="BD10" i="69"/>
  <c r="BC10" i="69"/>
  <c r="AE10" i="69"/>
  <c r="AD10" i="69"/>
  <c r="AC10" i="69"/>
  <c r="AB10" i="69"/>
  <c r="AA10" i="69"/>
  <c r="DF9" i="69"/>
  <c r="DE9" i="69"/>
  <c r="DD9" i="69"/>
  <c r="DC9" i="69"/>
  <c r="DB9" i="69"/>
  <c r="DA9" i="69"/>
  <c r="CZ9" i="69"/>
  <c r="CY9" i="69"/>
  <c r="CC9" i="69"/>
  <c r="CB9" i="69"/>
  <c r="CX9" i="69" s="1"/>
  <c r="BF9" i="69"/>
  <c r="BE9" i="69"/>
  <c r="BD9" i="69"/>
  <c r="BC9" i="69"/>
  <c r="AE9" i="69"/>
  <c r="AD9" i="69"/>
  <c r="AC9" i="69"/>
  <c r="AB9" i="69"/>
  <c r="AA9" i="69"/>
  <c r="A9" i="69"/>
  <c r="AO86" i="68"/>
  <c r="BL86" i="68" s="1"/>
  <c r="AO85" i="68"/>
  <c r="BL85" i="68" s="1"/>
  <c r="AO84" i="68"/>
  <c r="BL84" i="68" s="1"/>
  <c r="AO83" i="68"/>
  <c r="BL83" i="68" s="1"/>
  <c r="A49" i="68"/>
  <c r="A45" i="68"/>
  <c r="A44" i="68"/>
  <c r="A43" i="68"/>
  <c r="A42" i="68"/>
  <c r="A40"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A14" i="68"/>
  <c r="DF13" i="68"/>
  <c r="DE13" i="68"/>
  <c r="DD13" i="68"/>
  <c r="DC13" i="68"/>
  <c r="DB13" i="68"/>
  <c r="DA13" i="68"/>
  <c r="CZ13" i="68"/>
  <c r="CY13" i="68"/>
  <c r="CC13" i="68"/>
  <c r="CB13" i="68"/>
  <c r="BF13" i="68"/>
  <c r="BE13" i="68"/>
  <c r="BD13" i="68"/>
  <c r="BC13" i="68"/>
  <c r="AE13" i="68"/>
  <c r="AD13" i="68"/>
  <c r="AC13" i="68"/>
  <c r="AB13" i="68"/>
  <c r="AA13" i="68"/>
  <c r="DF12" i="68"/>
  <c r="DE12" i="68"/>
  <c r="DD12" i="68"/>
  <c r="DC12" i="68"/>
  <c r="DB12" i="68"/>
  <c r="DA12" i="68"/>
  <c r="CZ12" i="68"/>
  <c r="CY12" i="68"/>
  <c r="CC12" i="68"/>
  <c r="CB12" i="68"/>
  <c r="BF12" i="68"/>
  <c r="BE12" i="68"/>
  <c r="BD12" i="68"/>
  <c r="BC12" i="68"/>
  <c r="AE12" i="68"/>
  <c r="AD12" i="68"/>
  <c r="AC12" i="68"/>
  <c r="AB12" i="68"/>
  <c r="AA12" i="68"/>
  <c r="DF11" i="68"/>
  <c r="DE11" i="68"/>
  <c r="DD11" i="68"/>
  <c r="DC11" i="68"/>
  <c r="DB11" i="68"/>
  <c r="DA11" i="68"/>
  <c r="CZ11" i="68"/>
  <c r="CY11" i="68"/>
  <c r="CC11" i="68"/>
  <c r="CB11" i="68"/>
  <c r="BF11" i="68"/>
  <c r="BE11" i="68"/>
  <c r="BD11" i="68"/>
  <c r="BC11" i="68"/>
  <c r="AE11" i="68"/>
  <c r="AD11" i="68"/>
  <c r="AC11" i="68"/>
  <c r="AB11" i="68"/>
  <c r="AA11" i="68"/>
  <c r="DF10" i="68"/>
  <c r="DE10" i="68"/>
  <c r="DD10" i="68"/>
  <c r="DC10" i="68"/>
  <c r="DB10" i="68"/>
  <c r="DA10" i="68"/>
  <c r="CZ10" i="68"/>
  <c r="CY10" i="68"/>
  <c r="CC10" i="68"/>
  <c r="CB10" i="68"/>
  <c r="BF10" i="68"/>
  <c r="BE10" i="68"/>
  <c r="BD10" i="68"/>
  <c r="BC10" i="68"/>
  <c r="AE10" i="68"/>
  <c r="AD10" i="68"/>
  <c r="AC10" i="68"/>
  <c r="AB10" i="68"/>
  <c r="AA10" i="68"/>
  <c r="DF9" i="68"/>
  <c r="DE9" i="68"/>
  <c r="DD9" i="68"/>
  <c r="DC9" i="68"/>
  <c r="DB9" i="68"/>
  <c r="DA9" i="68"/>
  <c r="CZ9" i="68"/>
  <c r="CY9" i="68"/>
  <c r="CC9" i="68"/>
  <c r="CB9" i="68"/>
  <c r="BF9" i="68"/>
  <c r="BE9" i="68"/>
  <c r="BD9" i="68"/>
  <c r="BC9" i="68"/>
  <c r="AE9" i="68"/>
  <c r="AD9" i="68"/>
  <c r="AC9" i="68"/>
  <c r="AB9" i="68"/>
  <c r="A9" i="68"/>
  <c r="AO88" i="67"/>
  <c r="BL88" i="67" s="1"/>
  <c r="AO87" i="67"/>
  <c r="BL87" i="67" s="1"/>
  <c r="AO86" i="67"/>
  <c r="BL86" i="67" s="1"/>
  <c r="AO85" i="67"/>
  <c r="BL85" i="67" s="1"/>
  <c r="A51" i="67"/>
  <c r="A47" i="67"/>
  <c r="A46" i="67"/>
  <c r="A45" i="67"/>
  <c r="A44" i="67"/>
  <c r="A42" i="67"/>
  <c r="R40" i="67"/>
  <c r="DF39" i="67"/>
  <c r="DE39" i="67"/>
  <c r="DD39" i="67"/>
  <c r="DC39" i="67"/>
  <c r="DB39" i="67"/>
  <c r="DA39" i="67"/>
  <c r="CZ39" i="67"/>
  <c r="CY39" i="67"/>
  <c r="CC39" i="67"/>
  <c r="CB39" i="67"/>
  <c r="CX39" i="67" s="1"/>
  <c r="BF39" i="67"/>
  <c r="BE39" i="67"/>
  <c r="BD39" i="67"/>
  <c r="BC39" i="67"/>
  <c r="AE39" i="67"/>
  <c r="AD39" i="67"/>
  <c r="AC39" i="67"/>
  <c r="AB39" i="67"/>
  <c r="AA39" i="67"/>
  <c r="DF38" i="67"/>
  <c r="DE38" i="67"/>
  <c r="DD38" i="67"/>
  <c r="DC38" i="67"/>
  <c r="DB38" i="67"/>
  <c r="DA38" i="67"/>
  <c r="CZ38" i="67"/>
  <c r="CY38" i="67"/>
  <c r="CC38" i="67"/>
  <c r="CB38" i="67"/>
  <c r="CX38" i="67" s="1"/>
  <c r="BF38" i="67"/>
  <c r="BE38" i="67"/>
  <c r="BD38" i="67"/>
  <c r="BC38" i="67"/>
  <c r="AE38" i="67"/>
  <c r="AD38" i="67"/>
  <c r="AC38" i="67"/>
  <c r="AB38" i="67"/>
  <c r="AA38" i="67"/>
  <c r="DF37" i="67"/>
  <c r="DE37" i="67"/>
  <c r="DD37" i="67"/>
  <c r="DC37" i="67"/>
  <c r="DB37" i="67"/>
  <c r="DA37" i="67"/>
  <c r="CZ37" i="67"/>
  <c r="CY37" i="67"/>
  <c r="CC37" i="67"/>
  <c r="CB37" i="67"/>
  <c r="CX37" i="67" s="1"/>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CX33" i="67" s="1"/>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CX31" i="67" s="1"/>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CX25" i="67" s="1"/>
  <c r="BF25" i="67"/>
  <c r="BE25" i="67"/>
  <c r="BD25" i="67"/>
  <c r="BC25" i="67"/>
  <c r="AE25" i="67"/>
  <c r="AD25" i="67"/>
  <c r="AC25" i="67"/>
  <c r="AB25" i="67"/>
  <c r="AA25" i="67"/>
  <c r="DF24" i="67"/>
  <c r="DE24" i="67"/>
  <c r="DD24" i="67"/>
  <c r="DC24" i="67"/>
  <c r="DB24" i="67"/>
  <c r="DA24" i="67"/>
  <c r="CZ24" i="67"/>
  <c r="CY24" i="67"/>
  <c r="CC24" i="67"/>
  <c r="CB24" i="67"/>
  <c r="CX24" i="67" s="1"/>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CX17" i="67" s="1"/>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DF13" i="67"/>
  <c r="DE13" i="67"/>
  <c r="DD13" i="67"/>
  <c r="DC13" i="67"/>
  <c r="DB13" i="67"/>
  <c r="DA13" i="67"/>
  <c r="CZ13" i="67"/>
  <c r="CY13" i="67"/>
  <c r="CC13" i="67"/>
  <c r="CB13" i="67"/>
  <c r="BF13" i="67"/>
  <c r="BE13" i="67"/>
  <c r="BD13" i="67"/>
  <c r="BC13" i="67"/>
  <c r="AE13" i="67"/>
  <c r="AD13" i="67"/>
  <c r="AC13" i="67"/>
  <c r="AB13" i="67"/>
  <c r="AA13" i="67"/>
  <c r="DF12" i="67"/>
  <c r="DE12" i="67"/>
  <c r="DD12" i="67"/>
  <c r="DC12" i="67"/>
  <c r="DB12" i="67"/>
  <c r="DA12" i="67"/>
  <c r="CZ12" i="67"/>
  <c r="CY12" i="67"/>
  <c r="CC12" i="67"/>
  <c r="CB12" i="67"/>
  <c r="CX12" i="67" s="1"/>
  <c r="BF12" i="67"/>
  <c r="BE12" i="67"/>
  <c r="BD12" i="67"/>
  <c r="BC12" i="67"/>
  <c r="AE12" i="67"/>
  <c r="AD12" i="67"/>
  <c r="AC12" i="67"/>
  <c r="AB12" i="67"/>
  <c r="AA12" i="67"/>
  <c r="DF11" i="67"/>
  <c r="DE11" i="67"/>
  <c r="DD11" i="67"/>
  <c r="DC11" i="67"/>
  <c r="DB11" i="67"/>
  <c r="DA11" i="67"/>
  <c r="CZ11" i="67"/>
  <c r="CY11" i="67"/>
  <c r="CC11" i="67"/>
  <c r="CB11" i="67"/>
  <c r="BF11" i="67"/>
  <c r="BE11" i="67"/>
  <c r="BD11" i="67"/>
  <c r="BC11" i="67"/>
  <c r="AE11" i="67"/>
  <c r="AD11" i="67"/>
  <c r="AC11" i="67"/>
  <c r="AB11" i="67"/>
  <c r="AA11" i="67"/>
  <c r="DF10" i="67"/>
  <c r="DE10" i="67"/>
  <c r="DD10" i="67"/>
  <c r="DC10" i="67"/>
  <c r="DB10" i="67"/>
  <c r="DA10" i="67"/>
  <c r="CZ10" i="67"/>
  <c r="CY10" i="67"/>
  <c r="CC10" i="67"/>
  <c r="CB10" i="67"/>
  <c r="BF10" i="67"/>
  <c r="BE10" i="67"/>
  <c r="BD10" i="67"/>
  <c r="BC10" i="67"/>
  <c r="AE10" i="67"/>
  <c r="AD10" i="67"/>
  <c r="AC10" i="67"/>
  <c r="AB10" i="67"/>
  <c r="AA10" i="67"/>
  <c r="DF9" i="67"/>
  <c r="DE9" i="67"/>
  <c r="DD9" i="67"/>
  <c r="DC9" i="67"/>
  <c r="DB9" i="67"/>
  <c r="DA9" i="67"/>
  <c r="CZ9" i="67"/>
  <c r="CY9" i="67"/>
  <c r="CC9" i="67"/>
  <c r="CB9" i="67"/>
  <c r="CX9" i="67" s="1"/>
  <c r="BF9" i="67"/>
  <c r="BE9" i="67"/>
  <c r="BD9" i="67"/>
  <c r="BC9" i="67"/>
  <c r="AE9" i="67"/>
  <c r="AD9" i="67"/>
  <c r="AC9" i="67"/>
  <c r="AB9" i="67"/>
  <c r="AA9" i="67"/>
  <c r="A9" i="67"/>
  <c r="AO88" i="66"/>
  <c r="BL88" i="66" s="1"/>
  <c r="AO87" i="66"/>
  <c r="BL87" i="66" s="1"/>
  <c r="AO86" i="66"/>
  <c r="BL86" i="66" s="1"/>
  <c r="AO85" i="66"/>
  <c r="BL85" i="66" s="1"/>
  <c r="A51" i="66"/>
  <c r="A47" i="66"/>
  <c r="A46" i="66"/>
  <c r="A45" i="66"/>
  <c r="A44" i="66"/>
  <c r="A42" i="66"/>
  <c r="R40" i="66"/>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CX38" i="66" s="1"/>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CX32" i="66" s="1"/>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CX27" i="66" s="1"/>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CX16" i="66" s="1"/>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DF13" i="66"/>
  <c r="DE13" i="66"/>
  <c r="DD13" i="66"/>
  <c r="DC13" i="66"/>
  <c r="DB13" i="66"/>
  <c r="DA13" i="66"/>
  <c r="CZ13" i="66"/>
  <c r="CY13" i="66"/>
  <c r="CC13" i="66"/>
  <c r="CB13" i="66"/>
  <c r="BF13" i="66"/>
  <c r="BE13" i="66"/>
  <c r="BD13" i="66"/>
  <c r="BC13" i="66"/>
  <c r="AE13" i="66"/>
  <c r="AD13" i="66"/>
  <c r="AC13" i="66"/>
  <c r="AB13" i="66"/>
  <c r="AA13" i="66"/>
  <c r="DF12" i="66"/>
  <c r="DE12" i="66"/>
  <c r="DD12" i="66"/>
  <c r="DC12" i="66"/>
  <c r="DB12" i="66"/>
  <c r="DA12" i="66"/>
  <c r="CZ12" i="66"/>
  <c r="CY12" i="66"/>
  <c r="CC12" i="66"/>
  <c r="CB12" i="66"/>
  <c r="BF12" i="66"/>
  <c r="BE12" i="66"/>
  <c r="BD12" i="66"/>
  <c r="BC12" i="66"/>
  <c r="AE12" i="66"/>
  <c r="AD12" i="66"/>
  <c r="AC12" i="66"/>
  <c r="AB12" i="66"/>
  <c r="AA12" i="66"/>
  <c r="DF11" i="66"/>
  <c r="DE11" i="66"/>
  <c r="DD11" i="66"/>
  <c r="DC11" i="66"/>
  <c r="DB11" i="66"/>
  <c r="DA11" i="66"/>
  <c r="CZ11" i="66"/>
  <c r="CY11" i="66"/>
  <c r="CC11" i="66"/>
  <c r="CB11" i="66"/>
  <c r="CX11" i="66" s="1"/>
  <c r="BF11" i="66"/>
  <c r="BE11" i="66"/>
  <c r="BD11" i="66"/>
  <c r="BC11" i="66"/>
  <c r="AE11" i="66"/>
  <c r="AD11" i="66"/>
  <c r="AC11" i="66"/>
  <c r="AB11" i="66"/>
  <c r="AA11" i="66"/>
  <c r="DF10" i="66"/>
  <c r="DE10" i="66"/>
  <c r="DD10" i="66"/>
  <c r="DC10" i="66"/>
  <c r="DB10" i="66"/>
  <c r="DA10" i="66"/>
  <c r="CZ10" i="66"/>
  <c r="CY10" i="66"/>
  <c r="CC10" i="66"/>
  <c r="CB10" i="66"/>
  <c r="BF10" i="66"/>
  <c r="BE10" i="66"/>
  <c r="BD10" i="66"/>
  <c r="BC10" i="66"/>
  <c r="AE10" i="66"/>
  <c r="AD10" i="66"/>
  <c r="AC10" i="66"/>
  <c r="AB10" i="66"/>
  <c r="AA10" i="66"/>
  <c r="DF9" i="66"/>
  <c r="DE9" i="66"/>
  <c r="DD9" i="66"/>
  <c r="DC9" i="66"/>
  <c r="DB9" i="66"/>
  <c r="DA9" i="66"/>
  <c r="CZ9" i="66"/>
  <c r="CY9" i="66"/>
  <c r="CC9" i="66"/>
  <c r="CB9" i="66"/>
  <c r="CX9" i="66" s="1"/>
  <c r="BF9" i="66"/>
  <c r="BE9" i="66"/>
  <c r="BD9" i="66"/>
  <c r="BC9" i="66"/>
  <c r="AE9" i="66"/>
  <c r="AD9" i="66"/>
  <c r="AC9" i="66"/>
  <c r="AB9" i="66"/>
  <c r="AA9" i="66"/>
  <c r="A9" i="66"/>
  <c r="AO87" i="65"/>
  <c r="BL87" i="65" s="1"/>
  <c r="AO86" i="65"/>
  <c r="BL86" i="65" s="1"/>
  <c r="AO85" i="65"/>
  <c r="BL85" i="65" s="1"/>
  <c r="AO84" i="65"/>
  <c r="BL84" i="65" s="1"/>
  <c r="A50" i="65"/>
  <c r="A46" i="65"/>
  <c r="A45" i="65"/>
  <c r="A44" i="65"/>
  <c r="A43" i="65"/>
  <c r="A41" i="65"/>
  <c r="R39" i="65"/>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CX36" i="65" s="1"/>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CX28" i="65" s="1"/>
  <c r="BF28" i="65"/>
  <c r="BE28" i="65"/>
  <c r="BD28" i="65"/>
  <c r="BC28" i="65"/>
  <c r="AE28" i="65"/>
  <c r="AD28" i="65"/>
  <c r="AC28" i="65"/>
  <c r="AB28" i="65"/>
  <c r="AA28" i="65"/>
  <c r="DF27" i="65"/>
  <c r="DE27" i="65"/>
  <c r="DD27" i="65"/>
  <c r="DC27" i="65"/>
  <c r="DB27" i="65"/>
  <c r="DA27" i="65"/>
  <c r="CZ27" i="65"/>
  <c r="CY27" i="65"/>
  <c r="CC27" i="65"/>
  <c r="CB27" i="65"/>
  <c r="CX27" i="65" s="1"/>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CX25" i="65" s="1"/>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CX19" i="65" s="1"/>
  <c r="BF19" i="65"/>
  <c r="BE19" i="65"/>
  <c r="BD19" i="65"/>
  <c r="BC19" i="65"/>
  <c r="AE19" i="65"/>
  <c r="AD19" i="65"/>
  <c r="AC19" i="65"/>
  <c r="AB19" i="65"/>
  <c r="AA19" i="65"/>
  <c r="DF18" i="65"/>
  <c r="DE18" i="65"/>
  <c r="DD18" i="65"/>
  <c r="DC18" i="65"/>
  <c r="DB18" i="65"/>
  <c r="DA18" i="65"/>
  <c r="CZ18" i="65"/>
  <c r="CY18" i="65"/>
  <c r="CC18" i="65"/>
  <c r="CB18" i="65"/>
  <c r="CX18" i="65" s="1"/>
  <c r="BF18" i="65"/>
  <c r="BE18" i="65"/>
  <c r="BD18" i="65"/>
  <c r="BC18" i="65"/>
  <c r="AE18" i="65"/>
  <c r="AD18" i="65"/>
  <c r="AC18" i="65"/>
  <c r="AB18" i="65"/>
  <c r="AA18" i="65"/>
  <c r="DF17" i="65"/>
  <c r="DE17" i="65"/>
  <c r="DD17" i="65"/>
  <c r="DC17" i="65"/>
  <c r="DB17" i="65"/>
  <c r="DA17" i="65"/>
  <c r="CZ17" i="65"/>
  <c r="CY17" i="65"/>
  <c r="CC17" i="65"/>
  <c r="CB17" i="65"/>
  <c r="CX17" i="65" s="1"/>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CX14" i="65" s="1"/>
  <c r="BF14" i="65"/>
  <c r="BE14" i="65"/>
  <c r="BD14" i="65"/>
  <c r="BC14" i="65"/>
  <c r="AE14" i="65"/>
  <c r="AD14" i="65"/>
  <c r="AC14" i="65"/>
  <c r="AB14" i="65"/>
  <c r="AA14" i="65"/>
  <c r="DF13" i="65"/>
  <c r="DE13" i="65"/>
  <c r="DD13" i="65"/>
  <c r="DC13" i="65"/>
  <c r="DB13" i="65"/>
  <c r="DA13" i="65"/>
  <c r="CZ13" i="65"/>
  <c r="CY13" i="65"/>
  <c r="CC13" i="65"/>
  <c r="CB13" i="65"/>
  <c r="CX13" i="65" s="1"/>
  <c r="BF13" i="65"/>
  <c r="BE13" i="65"/>
  <c r="BD13" i="65"/>
  <c r="BC13" i="65"/>
  <c r="AE13" i="65"/>
  <c r="AD13" i="65"/>
  <c r="AC13" i="65"/>
  <c r="AB13" i="65"/>
  <c r="AA13" i="65"/>
  <c r="DF12" i="65"/>
  <c r="DE12" i="65"/>
  <c r="DD12" i="65"/>
  <c r="DC12" i="65"/>
  <c r="DB12" i="65"/>
  <c r="DA12" i="65"/>
  <c r="CZ12" i="65"/>
  <c r="CY12" i="65"/>
  <c r="CC12" i="65"/>
  <c r="CB12" i="65"/>
  <c r="BF12" i="65"/>
  <c r="BE12" i="65"/>
  <c r="BD12" i="65"/>
  <c r="BC12" i="65"/>
  <c r="AE12" i="65"/>
  <c r="AD12" i="65"/>
  <c r="AC12" i="65"/>
  <c r="AB12" i="65"/>
  <c r="AA12" i="65"/>
  <c r="DF11" i="65"/>
  <c r="DE11" i="65"/>
  <c r="DD11" i="65"/>
  <c r="DC11" i="65"/>
  <c r="DB11" i="65"/>
  <c r="DA11" i="65"/>
  <c r="CZ11" i="65"/>
  <c r="CY11" i="65"/>
  <c r="CC11" i="65"/>
  <c r="CB11" i="65"/>
  <c r="CX11" i="65" s="1"/>
  <c r="BF11" i="65"/>
  <c r="BE11" i="65"/>
  <c r="BD11" i="65"/>
  <c r="BC11" i="65"/>
  <c r="AE11" i="65"/>
  <c r="AD11" i="65"/>
  <c r="AC11" i="65"/>
  <c r="AB11" i="65"/>
  <c r="AA11" i="65"/>
  <c r="DF10" i="65"/>
  <c r="DE10" i="65"/>
  <c r="DD10" i="65"/>
  <c r="DC10" i="65"/>
  <c r="DB10" i="65"/>
  <c r="DA10" i="65"/>
  <c r="CZ10" i="65"/>
  <c r="CY10" i="65"/>
  <c r="CC10" i="65"/>
  <c r="CB10" i="65"/>
  <c r="CX10" i="65" s="1"/>
  <c r="BF10" i="65"/>
  <c r="BE10" i="65"/>
  <c r="BD10" i="65"/>
  <c r="BC10" i="65"/>
  <c r="AE10" i="65"/>
  <c r="AD10" i="65"/>
  <c r="AC10" i="65"/>
  <c r="AB10" i="65"/>
  <c r="AA10" i="65"/>
  <c r="DF9" i="65"/>
  <c r="DE9" i="65"/>
  <c r="DD9" i="65"/>
  <c r="DC9" i="65"/>
  <c r="DB9" i="65"/>
  <c r="DA9" i="65"/>
  <c r="CZ9" i="65"/>
  <c r="CY9" i="65"/>
  <c r="CC9" i="65"/>
  <c r="CB9" i="65"/>
  <c r="BF9" i="65"/>
  <c r="BE9" i="65"/>
  <c r="BD9" i="65"/>
  <c r="BC9" i="65"/>
  <c r="AE9" i="65"/>
  <c r="AD9" i="65"/>
  <c r="AC9" i="65"/>
  <c r="AB9" i="65"/>
  <c r="AA9" i="65"/>
  <c r="A9" i="65"/>
  <c r="AO88" i="64"/>
  <c r="BL88" i="64" s="1"/>
  <c r="AO87" i="64"/>
  <c r="BL87" i="64" s="1"/>
  <c r="AO86" i="64"/>
  <c r="BL86" i="64" s="1"/>
  <c r="AO85" i="64"/>
  <c r="BL85" i="64" s="1"/>
  <c r="A46" i="64"/>
  <c r="A45" i="64"/>
  <c r="A44" i="64"/>
  <c r="A42" i="64"/>
  <c r="R40"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CX34" i="64" s="1"/>
  <c r="BF34" i="64"/>
  <c r="BE34" i="64"/>
  <c r="BD34" i="64"/>
  <c r="BC34" i="64"/>
  <c r="AE34" i="64"/>
  <c r="AD34" i="64"/>
  <c r="AC34" i="64"/>
  <c r="AB34" i="64"/>
  <c r="AA34" i="64"/>
  <c r="DF33" i="64"/>
  <c r="DE33" i="64"/>
  <c r="DD33" i="64"/>
  <c r="DC33" i="64"/>
  <c r="DB33" i="64"/>
  <c r="DA33" i="64"/>
  <c r="CZ33" i="64"/>
  <c r="CY33" i="64"/>
  <c r="CC33" i="64"/>
  <c r="CB33" i="64"/>
  <c r="CX33" i="64" s="1"/>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CX30" i="64" s="1"/>
  <c r="BF30" i="64"/>
  <c r="BE30" i="64"/>
  <c r="BD30" i="64"/>
  <c r="BC30" i="64"/>
  <c r="AE30" i="64"/>
  <c r="AD30" i="64"/>
  <c r="AC30" i="64"/>
  <c r="AB30" i="64"/>
  <c r="AA30" i="64"/>
  <c r="DF29" i="64"/>
  <c r="DE29" i="64"/>
  <c r="DD29" i="64"/>
  <c r="DC29" i="64"/>
  <c r="DB29" i="64"/>
  <c r="DA29" i="64"/>
  <c r="CZ29" i="64"/>
  <c r="CY29" i="64"/>
  <c r="CC29" i="64"/>
  <c r="CB29" i="64"/>
  <c r="CX29" i="64" s="1"/>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CX26" i="64" s="1"/>
  <c r="BF26" i="64"/>
  <c r="BE26" i="64"/>
  <c r="BD26" i="64"/>
  <c r="BC26" i="64"/>
  <c r="AE26" i="64"/>
  <c r="AD26" i="64"/>
  <c r="AC26" i="64"/>
  <c r="AB26" i="64"/>
  <c r="AA26" i="64"/>
  <c r="DF25" i="64"/>
  <c r="DE25" i="64"/>
  <c r="DD25" i="64"/>
  <c r="DC25" i="64"/>
  <c r="DB25" i="64"/>
  <c r="DA25" i="64"/>
  <c r="CZ25" i="64"/>
  <c r="CY25" i="64"/>
  <c r="CC25" i="64"/>
  <c r="CB25" i="64"/>
  <c r="CX25" i="64" s="1"/>
  <c r="BF25" i="64"/>
  <c r="BE25" i="64"/>
  <c r="BD25" i="64"/>
  <c r="BC25" i="64"/>
  <c r="AE25" i="64"/>
  <c r="AD25" i="64"/>
  <c r="AC25" i="64"/>
  <c r="AB25" i="64"/>
  <c r="AA25" i="64"/>
  <c r="DF24" i="64"/>
  <c r="DE24" i="64"/>
  <c r="DD24" i="64"/>
  <c r="DC24" i="64"/>
  <c r="DB24" i="64"/>
  <c r="DA24" i="64"/>
  <c r="CZ24" i="64"/>
  <c r="CY24" i="64"/>
  <c r="CC24" i="64"/>
  <c r="CB24" i="64"/>
  <c r="CX24" i="64" s="1"/>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CX21" i="64" s="1"/>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CX15" i="64" s="1"/>
  <c r="BF15" i="64"/>
  <c r="BE15" i="64"/>
  <c r="BD15" i="64"/>
  <c r="BC15" i="64"/>
  <c r="AE15" i="64"/>
  <c r="AD15" i="64"/>
  <c r="AC15" i="64"/>
  <c r="AB15" i="64"/>
  <c r="AA15" i="64"/>
  <c r="DF14" i="64"/>
  <c r="DE14" i="64"/>
  <c r="DD14" i="64"/>
  <c r="DC14" i="64"/>
  <c r="DB14" i="64"/>
  <c r="DA14" i="64"/>
  <c r="CZ14" i="64"/>
  <c r="CY14" i="64"/>
  <c r="CC14" i="64"/>
  <c r="CB14" i="64"/>
  <c r="CX14" i="64" s="1"/>
  <c r="BF14" i="64"/>
  <c r="BE14" i="64"/>
  <c r="BD14" i="64"/>
  <c r="BC14" i="64"/>
  <c r="AE14" i="64"/>
  <c r="AD14" i="64"/>
  <c r="AC14" i="64"/>
  <c r="AB14" i="64"/>
  <c r="AA14" i="64"/>
  <c r="DF13" i="64"/>
  <c r="DE13" i="64"/>
  <c r="DD13" i="64"/>
  <c r="DC13" i="64"/>
  <c r="DB13" i="64"/>
  <c r="DA13" i="64"/>
  <c r="CZ13" i="64"/>
  <c r="CY13" i="64"/>
  <c r="CC13" i="64"/>
  <c r="CB13" i="64"/>
  <c r="CX13" i="64" s="1"/>
  <c r="BF13" i="64"/>
  <c r="BE13" i="64"/>
  <c r="BD13" i="64"/>
  <c r="BC13" i="64"/>
  <c r="AE13" i="64"/>
  <c r="AD13" i="64"/>
  <c r="AC13" i="64"/>
  <c r="AB13" i="64"/>
  <c r="AA13" i="64"/>
  <c r="DF12" i="64"/>
  <c r="DE12" i="64"/>
  <c r="DD12" i="64"/>
  <c r="DC12" i="64"/>
  <c r="DB12" i="64"/>
  <c r="DA12" i="64"/>
  <c r="CZ12" i="64"/>
  <c r="CY12" i="64"/>
  <c r="CC12" i="64"/>
  <c r="CB12" i="64"/>
  <c r="BF12" i="64"/>
  <c r="BE12" i="64"/>
  <c r="BD12" i="64"/>
  <c r="BC12" i="64"/>
  <c r="AE12" i="64"/>
  <c r="AD12" i="64"/>
  <c r="AC12" i="64"/>
  <c r="AB12" i="64"/>
  <c r="AA12" i="64"/>
  <c r="DF11" i="64"/>
  <c r="DE11" i="64"/>
  <c r="DD11" i="64"/>
  <c r="DC11" i="64"/>
  <c r="DB11" i="64"/>
  <c r="DA11" i="64"/>
  <c r="CZ11" i="64"/>
  <c r="CY11" i="64"/>
  <c r="CC11" i="64"/>
  <c r="CB11" i="64"/>
  <c r="CX11" i="64" s="1"/>
  <c r="BF11" i="64"/>
  <c r="BE11" i="64"/>
  <c r="BD11" i="64"/>
  <c r="BC11" i="64"/>
  <c r="AE11" i="64"/>
  <c r="AD11" i="64"/>
  <c r="AC11" i="64"/>
  <c r="AB11" i="64"/>
  <c r="AA11" i="64"/>
  <c r="DF10" i="64"/>
  <c r="DE10" i="64"/>
  <c r="DD10" i="64"/>
  <c r="DC10" i="64"/>
  <c r="DB10" i="64"/>
  <c r="DA10" i="64"/>
  <c r="CZ10" i="64"/>
  <c r="CY10" i="64"/>
  <c r="CC10" i="64"/>
  <c r="CB10" i="64"/>
  <c r="CX10" i="64" s="1"/>
  <c r="BF10" i="64"/>
  <c r="BE10" i="64"/>
  <c r="BD10" i="64"/>
  <c r="BC10" i="64"/>
  <c r="AE10" i="64"/>
  <c r="AD10" i="64"/>
  <c r="AC10" i="64"/>
  <c r="AB10" i="64"/>
  <c r="AA10" i="64"/>
  <c r="DF9" i="64"/>
  <c r="DE9" i="64"/>
  <c r="DD9" i="64"/>
  <c r="DC9" i="64"/>
  <c r="DB9" i="64"/>
  <c r="DA9" i="64"/>
  <c r="CZ9" i="64"/>
  <c r="CY9" i="64"/>
  <c r="CC9" i="64"/>
  <c r="CB9" i="64"/>
  <c r="CX9" i="64" s="1"/>
  <c r="BF9" i="64"/>
  <c r="BE9" i="64"/>
  <c r="BD9" i="64"/>
  <c r="BC9" i="64"/>
  <c r="AE9" i="64"/>
  <c r="AD9" i="64"/>
  <c r="AC9" i="64"/>
  <c r="AB9" i="64"/>
  <c r="AA9" i="64"/>
  <c r="A9" i="64"/>
  <c r="R39" i="63"/>
  <c r="AO87" i="63"/>
  <c r="BL87" i="63" s="1"/>
  <c r="AO86" i="63"/>
  <c r="BL86" i="63" s="1"/>
  <c r="AO85" i="63"/>
  <c r="BL85" i="63" s="1"/>
  <c r="AO84" i="63"/>
  <c r="BL84" i="63" s="1"/>
  <c r="A50" i="63"/>
  <c r="A46" i="63"/>
  <c r="A45" i="63"/>
  <c r="A44" i="63"/>
  <c r="A43" i="63"/>
  <c r="A41"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CX37" i="63" s="1"/>
  <c r="BF37" i="63"/>
  <c r="BE37" i="63"/>
  <c r="BD37" i="63"/>
  <c r="BC37" i="63"/>
  <c r="AE37" i="63"/>
  <c r="AD37" i="63"/>
  <c r="AC37" i="63"/>
  <c r="AB37" i="63"/>
  <c r="AA37" i="63"/>
  <c r="Y37" i="63"/>
  <c r="DF36" i="63"/>
  <c r="DE36" i="63"/>
  <c r="DD36" i="63"/>
  <c r="DC36" i="63"/>
  <c r="DB36" i="63"/>
  <c r="DA36" i="63"/>
  <c r="CZ36" i="63"/>
  <c r="CY36" i="63"/>
  <c r="CC36" i="63"/>
  <c r="CB36" i="63"/>
  <c r="CX36" i="63" s="1"/>
  <c r="BF36" i="63"/>
  <c r="BE36" i="63"/>
  <c r="BD36" i="63"/>
  <c r="BC36" i="63"/>
  <c r="AE36" i="63"/>
  <c r="AD36" i="63"/>
  <c r="AC36" i="63"/>
  <c r="AB36" i="63"/>
  <c r="AA36" i="63"/>
  <c r="Y36" i="63"/>
  <c r="DF35" i="63"/>
  <c r="DE35" i="63"/>
  <c r="DD35" i="63"/>
  <c r="DC35" i="63"/>
  <c r="DB35" i="63"/>
  <c r="DA35" i="63"/>
  <c r="CZ35" i="63"/>
  <c r="CY35" i="63"/>
  <c r="CC35" i="63"/>
  <c r="CB35" i="63"/>
  <c r="CX35" i="63" s="1"/>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Y34" i="63"/>
  <c r="DF33" i="63"/>
  <c r="DE33" i="63"/>
  <c r="DD33" i="63"/>
  <c r="DC33" i="63"/>
  <c r="DB33" i="63"/>
  <c r="DA33" i="63"/>
  <c r="CZ33" i="63"/>
  <c r="CY33" i="63"/>
  <c r="CC33" i="63"/>
  <c r="CB33" i="63"/>
  <c r="BF33" i="63"/>
  <c r="BE33" i="63"/>
  <c r="BD33" i="63"/>
  <c r="BC33" i="63"/>
  <c r="AE33" i="63"/>
  <c r="AD33" i="63"/>
  <c r="AC33" i="63"/>
  <c r="AB33" i="63"/>
  <c r="AA33" i="63"/>
  <c r="Y33" i="63"/>
  <c r="DF32" i="63"/>
  <c r="DE32" i="63"/>
  <c r="DD32" i="63"/>
  <c r="DC32" i="63"/>
  <c r="DB32" i="63"/>
  <c r="DA32" i="63"/>
  <c r="CZ32" i="63"/>
  <c r="CY32" i="63"/>
  <c r="CC32" i="63"/>
  <c r="CB32" i="63"/>
  <c r="CX32" i="63" s="1"/>
  <c r="BF32" i="63"/>
  <c r="BE32" i="63"/>
  <c r="BD32" i="63"/>
  <c r="BC32" i="63"/>
  <c r="AE32" i="63"/>
  <c r="AD32" i="63"/>
  <c r="AC32" i="63"/>
  <c r="AB32" i="63"/>
  <c r="AA32" i="63"/>
  <c r="DF31" i="63"/>
  <c r="DE31" i="63"/>
  <c r="DD31" i="63"/>
  <c r="DC31" i="63"/>
  <c r="DB31" i="63"/>
  <c r="DA31" i="63"/>
  <c r="CZ31" i="63"/>
  <c r="CY31" i="63"/>
  <c r="CC31" i="63"/>
  <c r="CB31" i="63"/>
  <c r="CX31" i="63" s="1"/>
  <c r="BF31" i="63"/>
  <c r="BE31" i="63"/>
  <c r="BD31" i="63"/>
  <c r="BC31" i="63"/>
  <c r="AE31" i="63"/>
  <c r="AD31" i="63"/>
  <c r="AC31" i="63"/>
  <c r="AB31" i="63"/>
  <c r="AA31" i="63"/>
  <c r="Y31" i="63"/>
  <c r="DF30" i="63"/>
  <c r="DE30" i="63"/>
  <c r="DD30" i="63"/>
  <c r="DC30" i="63"/>
  <c r="DB30" i="63"/>
  <c r="DA30" i="63"/>
  <c r="CZ30" i="63"/>
  <c r="CY30" i="63"/>
  <c r="CC30" i="63"/>
  <c r="CB30" i="63"/>
  <c r="CX30" i="63" s="1"/>
  <c r="BF30" i="63"/>
  <c r="BE30" i="63"/>
  <c r="BD30" i="63"/>
  <c r="BC30" i="63"/>
  <c r="AE30" i="63"/>
  <c r="AD30" i="63"/>
  <c r="AC30" i="63"/>
  <c r="AB30" i="63"/>
  <c r="AA30" i="63"/>
  <c r="Y30" i="63"/>
  <c r="DF29" i="63"/>
  <c r="DE29" i="63"/>
  <c r="DD29" i="63"/>
  <c r="DC29" i="63"/>
  <c r="DB29" i="63"/>
  <c r="DA29" i="63"/>
  <c r="CZ29" i="63"/>
  <c r="CY29" i="63"/>
  <c r="CC29" i="63"/>
  <c r="CB29" i="63"/>
  <c r="CX29" i="63" s="1"/>
  <c r="BF29" i="63"/>
  <c r="BE29" i="63"/>
  <c r="BD29" i="63"/>
  <c r="BC29" i="63"/>
  <c r="AE29" i="63"/>
  <c r="AD29" i="63"/>
  <c r="AC29" i="63"/>
  <c r="AB29" i="63"/>
  <c r="AA29" i="63"/>
  <c r="DF28" i="63"/>
  <c r="DE28" i="63"/>
  <c r="DD28" i="63"/>
  <c r="DC28" i="63"/>
  <c r="DB28" i="63"/>
  <c r="DA28" i="63"/>
  <c r="CZ28" i="63"/>
  <c r="CY28" i="63"/>
  <c r="CC28" i="63"/>
  <c r="CB28" i="63"/>
  <c r="CX28" i="63" s="1"/>
  <c r="BF28" i="63"/>
  <c r="BE28" i="63"/>
  <c r="BD28" i="63"/>
  <c r="BC28" i="63"/>
  <c r="AE28" i="63"/>
  <c r="AD28" i="63"/>
  <c r="AC28" i="63"/>
  <c r="AB28" i="63"/>
  <c r="AA28" i="63"/>
  <c r="DF27" i="63"/>
  <c r="DE27" i="63"/>
  <c r="DD27" i="63"/>
  <c r="DC27" i="63"/>
  <c r="DB27" i="63"/>
  <c r="DA27" i="63"/>
  <c r="CZ27" i="63"/>
  <c r="CY27" i="63"/>
  <c r="CC27" i="63"/>
  <c r="CB27" i="63"/>
  <c r="BF27" i="63"/>
  <c r="BE27" i="63"/>
  <c r="BD27" i="63"/>
  <c r="BC27" i="63"/>
  <c r="AE27" i="63"/>
  <c r="AD27" i="63"/>
  <c r="AC27" i="63"/>
  <c r="AB27" i="63"/>
  <c r="AA27" i="63"/>
  <c r="Y27" i="63"/>
  <c r="DF26" i="63"/>
  <c r="DE26" i="63"/>
  <c r="DD26" i="63"/>
  <c r="DC26" i="63"/>
  <c r="DB26" i="63"/>
  <c r="DA26" i="63"/>
  <c r="CZ26" i="63"/>
  <c r="CY26" i="63"/>
  <c r="CC26" i="63"/>
  <c r="CB26" i="63"/>
  <c r="BF26" i="63"/>
  <c r="BE26" i="63"/>
  <c r="BD26" i="63"/>
  <c r="BC26" i="63"/>
  <c r="AE26" i="63"/>
  <c r="AD26" i="63"/>
  <c r="AC26" i="63"/>
  <c r="AB26" i="63"/>
  <c r="AA26" i="63"/>
  <c r="Y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DF21" i="63"/>
  <c r="DE21" i="63"/>
  <c r="DD21" i="63"/>
  <c r="DC21" i="63"/>
  <c r="DB21" i="63"/>
  <c r="DA21" i="63"/>
  <c r="CZ21" i="63"/>
  <c r="CY21" i="63"/>
  <c r="CC21" i="63"/>
  <c r="CB21" i="63"/>
  <c r="CX21" i="63" s="1"/>
  <c r="BF21" i="63"/>
  <c r="BE21" i="63"/>
  <c r="BD21" i="63"/>
  <c r="BC21" i="63"/>
  <c r="AE21" i="63"/>
  <c r="AD21" i="63"/>
  <c r="AC21" i="63"/>
  <c r="AB21" i="63"/>
  <c r="AA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DF18" i="63"/>
  <c r="DE18" i="63"/>
  <c r="DD18" i="63"/>
  <c r="DC18" i="63"/>
  <c r="DB18" i="63"/>
  <c r="DA18" i="63"/>
  <c r="CZ18" i="63"/>
  <c r="CY18" i="63"/>
  <c r="CC18" i="63"/>
  <c r="CB18" i="63"/>
  <c r="BF18" i="63"/>
  <c r="BE18" i="63"/>
  <c r="BD18" i="63"/>
  <c r="BC18" i="63"/>
  <c r="AE18" i="63"/>
  <c r="AD18" i="63"/>
  <c r="AC18" i="63"/>
  <c r="AB18" i="63"/>
  <c r="AA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CX16" i="63" s="1"/>
  <c r="BF16" i="63"/>
  <c r="BE16" i="63"/>
  <c r="BD16" i="63"/>
  <c r="BC16" i="63"/>
  <c r="AE16" i="63"/>
  <c r="AD16" i="63"/>
  <c r="AC16" i="63"/>
  <c r="AB16" i="63"/>
  <c r="AA16" i="63"/>
  <c r="Y16" i="63"/>
  <c r="DF15" i="63"/>
  <c r="DE15" i="63"/>
  <c r="DD15" i="63"/>
  <c r="DC15" i="63"/>
  <c r="DB15" i="63"/>
  <c r="DA15" i="63"/>
  <c r="CZ15" i="63"/>
  <c r="CY15" i="63"/>
  <c r="CC15" i="63"/>
  <c r="CB15" i="63"/>
  <c r="CX15" i="63" s="1"/>
  <c r="BF15" i="63"/>
  <c r="BE15" i="63"/>
  <c r="BD15" i="63"/>
  <c r="BC15" i="63"/>
  <c r="AE15" i="63"/>
  <c r="AD15" i="63"/>
  <c r="AC15" i="63"/>
  <c r="AB15" i="63"/>
  <c r="AA15" i="63"/>
  <c r="DF14" i="63"/>
  <c r="DE14" i="63"/>
  <c r="DD14" i="63"/>
  <c r="DC14" i="63"/>
  <c r="DB14" i="63"/>
  <c r="DA14" i="63"/>
  <c r="CZ14" i="63"/>
  <c r="CY14" i="63"/>
  <c r="CC14" i="63"/>
  <c r="CB14" i="63"/>
  <c r="CX14" i="63" s="1"/>
  <c r="BF14" i="63"/>
  <c r="BE14" i="63"/>
  <c r="BD14" i="63"/>
  <c r="BC14" i="63"/>
  <c r="AE14" i="63"/>
  <c r="AD14" i="63"/>
  <c r="AC14" i="63"/>
  <c r="AB14" i="63"/>
  <c r="AA14" i="63"/>
  <c r="Y14" i="63"/>
  <c r="DF13" i="63"/>
  <c r="DE13" i="63"/>
  <c r="DD13" i="63"/>
  <c r="DC13" i="63"/>
  <c r="DB13" i="63"/>
  <c r="DA13" i="63"/>
  <c r="CZ13" i="63"/>
  <c r="CY13" i="63"/>
  <c r="CC13" i="63"/>
  <c r="CB13" i="63"/>
  <c r="BF13" i="63"/>
  <c r="BE13" i="63"/>
  <c r="BD13" i="63"/>
  <c r="BC13" i="63"/>
  <c r="AE13" i="63"/>
  <c r="AD13" i="63"/>
  <c r="AC13" i="63"/>
  <c r="AB13" i="63"/>
  <c r="AA13" i="63"/>
  <c r="Y13" i="63"/>
  <c r="DF12" i="63"/>
  <c r="DE12" i="63"/>
  <c r="DD12" i="63"/>
  <c r="DC12" i="63"/>
  <c r="DB12" i="63"/>
  <c r="DA12" i="63"/>
  <c r="CZ12" i="63"/>
  <c r="CY12" i="63"/>
  <c r="CC12" i="63"/>
  <c r="CB12" i="63"/>
  <c r="BF12" i="63"/>
  <c r="BE12" i="63"/>
  <c r="BD12" i="63"/>
  <c r="BC12" i="63"/>
  <c r="AE12" i="63"/>
  <c r="AD12" i="63"/>
  <c r="AC12" i="63"/>
  <c r="AB12" i="63"/>
  <c r="AA12" i="63"/>
  <c r="Y12" i="63"/>
  <c r="DF11" i="63"/>
  <c r="DE11" i="63"/>
  <c r="DD11" i="63"/>
  <c r="DC11" i="63"/>
  <c r="DB11" i="63"/>
  <c r="DA11" i="63"/>
  <c r="CZ11" i="63"/>
  <c r="CY11" i="63"/>
  <c r="CC11" i="63"/>
  <c r="CB11" i="63"/>
  <c r="BF11" i="63"/>
  <c r="BE11" i="63"/>
  <c r="BD11" i="63"/>
  <c r="BC11" i="63"/>
  <c r="AE11" i="63"/>
  <c r="AD11" i="63"/>
  <c r="AC11" i="63"/>
  <c r="AB11" i="63"/>
  <c r="AA11" i="63"/>
  <c r="DF10" i="63"/>
  <c r="DE10" i="63"/>
  <c r="DD10" i="63"/>
  <c r="DC10" i="63"/>
  <c r="DB10" i="63"/>
  <c r="DA10" i="63"/>
  <c r="CZ10" i="63"/>
  <c r="CY10" i="63"/>
  <c r="CC10" i="63"/>
  <c r="CB10" i="63"/>
  <c r="CX10" i="63" s="1"/>
  <c r="BF10" i="63"/>
  <c r="BE10" i="63"/>
  <c r="BD10" i="63"/>
  <c r="BC10" i="63"/>
  <c r="AE10" i="63"/>
  <c r="AD10" i="63"/>
  <c r="AC10" i="63"/>
  <c r="AB10" i="63"/>
  <c r="AA10" i="63"/>
  <c r="Y10" i="63"/>
  <c r="DF9" i="63"/>
  <c r="DE9" i="63"/>
  <c r="DD9" i="63"/>
  <c r="DC9" i="63"/>
  <c r="DB9" i="63"/>
  <c r="DA9" i="63"/>
  <c r="CZ9" i="63"/>
  <c r="CY9" i="63"/>
  <c r="CC9" i="63"/>
  <c r="CB9" i="63"/>
  <c r="BF9" i="63"/>
  <c r="BE9" i="63"/>
  <c r="BD9" i="63"/>
  <c r="BC9" i="63"/>
  <c r="AE9" i="63"/>
  <c r="AD9" i="63"/>
  <c r="AC9" i="63"/>
  <c r="AB9" i="63"/>
  <c r="AA9" i="63"/>
  <c r="Y9" i="63"/>
  <c r="A9" i="63"/>
  <c r="CY11" i="41"/>
  <c r="CZ11" i="41"/>
  <c r="DA11" i="41"/>
  <c r="DB11" i="41"/>
  <c r="DC11" i="41"/>
  <c r="DD11" i="41"/>
  <c r="DE11" i="41"/>
  <c r="DF11" i="41"/>
  <c r="CY12" i="41"/>
  <c r="CZ12" i="41"/>
  <c r="DA12" i="41"/>
  <c r="DB12" i="41"/>
  <c r="DC12" i="41"/>
  <c r="DD12" i="41"/>
  <c r="DE12" i="41"/>
  <c r="DF12" i="41"/>
  <c r="CY13" i="41"/>
  <c r="CZ13" i="41"/>
  <c r="DA13" i="41"/>
  <c r="DB13" i="41"/>
  <c r="DC13" i="41"/>
  <c r="DD13" i="41"/>
  <c r="DE13" i="41"/>
  <c r="DF13" i="41"/>
  <c r="CY14" i="41"/>
  <c r="CZ14" i="41"/>
  <c r="DA14" i="41"/>
  <c r="DB14" i="41"/>
  <c r="DC14" i="41"/>
  <c r="DD14" i="41"/>
  <c r="DE14" i="41"/>
  <c r="DF14" i="41"/>
  <c r="CY15" i="41"/>
  <c r="CZ15" i="41"/>
  <c r="DA15" i="41"/>
  <c r="DB15" i="41"/>
  <c r="DC15" i="41"/>
  <c r="DD15" i="41"/>
  <c r="DE15" i="41"/>
  <c r="DF15" i="41"/>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DF10" i="41"/>
  <c r="DE10" i="41"/>
  <c r="DD10" i="41"/>
  <c r="DC10" i="41"/>
  <c r="DB10" i="41"/>
  <c r="DA10" i="41"/>
  <c r="CZ10" i="41"/>
  <c r="CY10" i="41"/>
  <c r="FR23" i="65" l="1"/>
  <c r="FP23" i="65"/>
  <c r="FR11" i="66"/>
  <c r="FP11" i="66"/>
  <c r="FR19" i="66"/>
  <c r="FP19" i="66"/>
  <c r="FP27" i="66"/>
  <c r="FR27" i="66"/>
  <c r="FR14" i="66"/>
  <c r="FP14" i="66"/>
  <c r="FP30" i="66"/>
  <c r="FR30" i="66"/>
  <c r="FR9" i="66"/>
  <c r="FP9" i="66"/>
  <c r="FP17" i="66"/>
  <c r="FR17" i="66"/>
  <c r="FR25" i="66"/>
  <c r="FP25" i="66"/>
  <c r="FR33" i="66"/>
  <c r="FP33" i="66"/>
  <c r="FR12" i="66"/>
  <c r="FP12" i="66"/>
  <c r="FR20" i="66"/>
  <c r="FP20" i="66"/>
  <c r="FR15" i="66"/>
  <c r="FP15" i="66"/>
  <c r="FR23" i="66"/>
  <c r="FP23" i="66"/>
  <c r="FP31" i="66"/>
  <c r="FR31" i="66"/>
  <c r="FR18" i="66"/>
  <c r="FP18" i="66"/>
  <c r="FP26" i="66"/>
  <c r="FR26" i="66"/>
  <c r="FR13" i="66"/>
  <c r="FP13" i="66"/>
  <c r="FR21" i="66"/>
  <c r="FP21" i="66"/>
  <c r="FP16" i="66"/>
  <c r="FR16" i="66"/>
  <c r="FR24" i="66"/>
  <c r="FP24" i="66"/>
  <c r="FR32" i="66"/>
  <c r="FP32" i="66"/>
  <c r="FP28" i="66"/>
  <c r="FR28" i="66"/>
  <c r="FR10" i="66"/>
  <c r="FP10" i="66"/>
  <c r="FP21" i="65"/>
  <c r="FR21" i="65"/>
  <c r="FR20" i="64"/>
  <c r="FP20" i="64"/>
  <c r="FR19" i="64"/>
  <c r="FP19" i="64"/>
  <c r="FR18" i="64"/>
  <c r="FP18" i="64"/>
  <c r="FR17" i="64"/>
  <c r="FP17" i="64"/>
  <c r="FP16" i="64"/>
  <c r="FR16" i="64"/>
  <c r="FP15" i="64"/>
  <c r="FR15" i="64"/>
  <c r="FR28" i="63"/>
  <c r="FP28" i="63"/>
  <c r="FR16" i="63"/>
  <c r="FP16" i="63"/>
  <c r="FR26" i="63"/>
  <c r="FP26" i="63"/>
  <c r="FR30" i="63"/>
  <c r="FP30" i="63"/>
  <c r="FR24" i="63"/>
  <c r="FP24" i="63"/>
  <c r="FR22" i="63"/>
  <c r="FP22" i="63"/>
  <c r="FR17" i="63"/>
  <c r="FP17" i="63"/>
  <c r="FR25" i="63"/>
  <c r="FP25" i="63"/>
  <c r="FR27" i="63"/>
  <c r="FP27" i="63"/>
  <c r="CX25" i="63"/>
  <c r="CX27" i="63"/>
  <c r="FR31" i="63"/>
  <c r="FP31" i="63"/>
  <c r="FR21" i="63"/>
  <c r="FP21" i="63"/>
  <c r="FR20" i="63"/>
  <c r="FP20" i="63"/>
  <c r="FR19" i="63"/>
  <c r="FP19" i="63"/>
  <c r="FR18" i="63"/>
  <c r="FP18" i="63"/>
  <c r="CX26" i="73"/>
  <c r="CX16" i="73"/>
  <c r="CX38" i="72"/>
  <c r="CX26" i="67"/>
  <c r="CX13" i="67"/>
  <c r="CX23" i="73"/>
  <c r="CX31" i="73"/>
  <c r="CX39" i="73"/>
  <c r="CX15" i="72"/>
  <c r="CX23" i="72"/>
  <c r="CX32" i="71"/>
  <c r="FP14" i="70"/>
  <c r="FR14" i="70"/>
  <c r="FR25" i="70"/>
  <c r="FP25" i="70"/>
  <c r="FP20" i="70"/>
  <c r="FR20" i="70"/>
  <c r="FP28" i="70"/>
  <c r="FR28" i="70"/>
  <c r="FR23" i="70"/>
  <c r="FP23" i="70"/>
  <c r="CX28" i="70"/>
  <c r="FR26" i="70"/>
  <c r="FP26" i="70"/>
  <c r="CX31" i="70"/>
  <c r="FR13" i="70"/>
  <c r="FP13" i="70"/>
  <c r="FR21" i="70"/>
  <c r="FP21" i="70"/>
  <c r="FR29" i="70"/>
  <c r="FP29" i="70"/>
  <c r="FP27" i="70"/>
  <c r="FR27" i="70"/>
  <c r="FR35" i="70"/>
  <c r="FP35" i="70"/>
  <c r="FR22" i="70"/>
  <c r="FP22" i="70"/>
  <c r="CX13" i="70"/>
  <c r="CX21" i="70"/>
  <c r="FR24" i="70"/>
  <c r="FP24" i="70"/>
  <c r="FR22" i="69"/>
  <c r="FP22" i="69"/>
  <c r="FP17" i="69"/>
  <c r="FR17" i="69"/>
  <c r="FP28" i="69"/>
  <c r="FR28" i="69"/>
  <c r="FR23" i="69"/>
  <c r="FP23" i="69"/>
  <c r="FR31" i="69"/>
  <c r="FP31" i="69"/>
  <c r="FR10" i="69"/>
  <c r="FP10" i="69"/>
  <c r="FP24" i="69"/>
  <c r="FR24" i="69"/>
  <c r="FR27" i="69"/>
  <c r="FP27" i="69"/>
  <c r="FR9" i="69"/>
  <c r="FP9" i="69"/>
  <c r="CX21" i="67"/>
  <c r="FR32" i="67"/>
  <c r="FP32" i="67"/>
  <c r="FP11" i="67"/>
  <c r="FR11" i="67"/>
  <c r="FR27" i="67"/>
  <c r="FP27" i="67"/>
  <c r="FP30" i="67"/>
  <c r="FR30" i="67"/>
  <c r="CX14" i="67"/>
  <c r="CX30" i="67"/>
  <c r="FR33" i="67"/>
  <c r="FP33" i="67"/>
  <c r="FR12" i="67"/>
  <c r="FP12" i="67"/>
  <c r="FR20" i="67"/>
  <c r="FP20" i="67"/>
  <c r="FR28" i="67"/>
  <c r="FP28" i="67"/>
  <c r="FP31" i="67"/>
  <c r="FR31" i="67"/>
  <c r="FR10" i="67"/>
  <c r="FP10" i="67"/>
  <c r="FR26" i="67"/>
  <c r="FP26" i="67"/>
  <c r="FR34" i="67"/>
  <c r="FP34" i="67"/>
  <c r="FR13" i="67"/>
  <c r="FP13" i="67"/>
  <c r="FR29" i="67"/>
  <c r="FP29" i="67"/>
  <c r="H44" i="67"/>
  <c r="FP9" i="67"/>
  <c r="FR9" i="67"/>
  <c r="H45" i="67"/>
  <c r="J51" i="1"/>
  <c r="CX14" i="72"/>
  <c r="CX17" i="71"/>
  <c r="CX20" i="71"/>
  <c r="FL16" i="63"/>
  <c r="FJ16" i="63"/>
  <c r="FJ26" i="63"/>
  <c r="FL26" i="63"/>
  <c r="FL12" i="63"/>
  <c r="FJ12" i="63"/>
  <c r="FJ14" i="63"/>
  <c r="FL14" i="63"/>
  <c r="FL33" i="63"/>
  <c r="FJ33" i="63"/>
  <c r="FJ35" i="63"/>
  <c r="FL35" i="63"/>
  <c r="FL10" i="63"/>
  <c r="FJ10" i="63"/>
  <c r="FL31" i="63"/>
  <c r="FJ31" i="63"/>
  <c r="FL17" i="63"/>
  <c r="FJ17" i="63"/>
  <c r="FL27" i="63"/>
  <c r="FJ27" i="63"/>
  <c r="FL13" i="63"/>
  <c r="FJ13" i="63"/>
  <c r="FL34" i="63"/>
  <c r="FJ34" i="63"/>
  <c r="FL36" i="63"/>
  <c r="FJ36" i="63"/>
  <c r="FJ30" i="63"/>
  <c r="FL30" i="63"/>
  <c r="FR36" i="70"/>
  <c r="FP36" i="70"/>
  <c r="FP33" i="70"/>
  <c r="FR33" i="70"/>
  <c r="FR32" i="70"/>
  <c r="FP32" i="70"/>
  <c r="FR31" i="70"/>
  <c r="FP31" i="70"/>
  <c r="FP30" i="70"/>
  <c r="FR30" i="70"/>
  <c r="FP19" i="70"/>
  <c r="FR19" i="70"/>
  <c r="FR18" i="70"/>
  <c r="FP18" i="70"/>
  <c r="FR17" i="70"/>
  <c r="FP17" i="70"/>
  <c r="FR16" i="70"/>
  <c r="FP16" i="70"/>
  <c r="FR15" i="70"/>
  <c r="FP15" i="70"/>
  <c r="FR12" i="70"/>
  <c r="FP12" i="70"/>
  <c r="FP11" i="70"/>
  <c r="FR11" i="70"/>
  <c r="FR10" i="70"/>
  <c r="FP10" i="70"/>
  <c r="FR9" i="70"/>
  <c r="FP9" i="70"/>
  <c r="FR36" i="69"/>
  <c r="FP36" i="69"/>
  <c r="FP35" i="69"/>
  <c r="FR35" i="69"/>
  <c r="FR34" i="69"/>
  <c r="FP34" i="69"/>
  <c r="FR33" i="69"/>
  <c r="FP33" i="69"/>
  <c r="FR32" i="69"/>
  <c r="FP32" i="69"/>
  <c r="FR29" i="69"/>
  <c r="FP29" i="69"/>
  <c r="FR26" i="69"/>
  <c r="FP26" i="69"/>
  <c r="FP25" i="69"/>
  <c r="FR25" i="69"/>
  <c r="FR21" i="69"/>
  <c r="FP21" i="69"/>
  <c r="FP20" i="69"/>
  <c r="FR20" i="69"/>
  <c r="FR19" i="69"/>
  <c r="FP19" i="69"/>
  <c r="FR18" i="69"/>
  <c r="FP18" i="69"/>
  <c r="FP15" i="69"/>
  <c r="FR15" i="69"/>
  <c r="FR14" i="69"/>
  <c r="FP14" i="69"/>
  <c r="FR13" i="69"/>
  <c r="FP13" i="69"/>
  <c r="FP12" i="69"/>
  <c r="FR12" i="69"/>
  <c r="CX12" i="69"/>
  <c r="FR11" i="69"/>
  <c r="FP11" i="69"/>
  <c r="FR36" i="67"/>
  <c r="FP36" i="67"/>
  <c r="FP35" i="67"/>
  <c r="FR35" i="67"/>
  <c r="FR25" i="67"/>
  <c r="FP25" i="67"/>
  <c r="FP24" i="67"/>
  <c r="FR24" i="67"/>
  <c r="FR23" i="67"/>
  <c r="FP23" i="67"/>
  <c r="FR22" i="67"/>
  <c r="FP22" i="67"/>
  <c r="FR21" i="67"/>
  <c r="FP21" i="67"/>
  <c r="FR18" i="67"/>
  <c r="FP18" i="67"/>
  <c r="FP17" i="67"/>
  <c r="FR17" i="67"/>
  <c r="FR16" i="67"/>
  <c r="FP16" i="67"/>
  <c r="FR15" i="67"/>
  <c r="FP15" i="67"/>
  <c r="FP14" i="67"/>
  <c r="FR14" i="67"/>
  <c r="CX25" i="73"/>
  <c r="CX24" i="73"/>
  <c r="FP12" i="73"/>
  <c r="FR12" i="73"/>
  <c r="FP20" i="73"/>
  <c r="FR20" i="73"/>
  <c r="FP28" i="73"/>
  <c r="FR28" i="73"/>
  <c r="FP36" i="73"/>
  <c r="FR36" i="73"/>
  <c r="FR15" i="73"/>
  <c r="FP15" i="73"/>
  <c r="FR23" i="73"/>
  <c r="FP23" i="73"/>
  <c r="FR31" i="73"/>
  <c r="FP31" i="73"/>
  <c r="FR10" i="73"/>
  <c r="FP10" i="73"/>
  <c r="FR18" i="73"/>
  <c r="FP18" i="73"/>
  <c r="FR26" i="73"/>
  <c r="FP26" i="73"/>
  <c r="FR34" i="73"/>
  <c r="FP34" i="73"/>
  <c r="FR13" i="73"/>
  <c r="FP13" i="73"/>
  <c r="FR21" i="73"/>
  <c r="FP21" i="73"/>
  <c r="FR29" i="73"/>
  <c r="FP29" i="73"/>
  <c r="FR16" i="73"/>
  <c r="FP16" i="73"/>
  <c r="CX21" i="73"/>
  <c r="FR24" i="73"/>
  <c r="FP24" i="73"/>
  <c r="CX29" i="73"/>
  <c r="FR32" i="73"/>
  <c r="FP32" i="73"/>
  <c r="CX37" i="73"/>
  <c r="FR11" i="73"/>
  <c r="FP11" i="73"/>
  <c r="FR19" i="73"/>
  <c r="FP19" i="73"/>
  <c r="FR27" i="73"/>
  <c r="FP27" i="73"/>
  <c r="FR35" i="73"/>
  <c r="FP35" i="73"/>
  <c r="CX11" i="73"/>
  <c r="FR14" i="73"/>
  <c r="FP14" i="73"/>
  <c r="CX19" i="73"/>
  <c r="FR22" i="73"/>
  <c r="FP22" i="73"/>
  <c r="CX27" i="73"/>
  <c r="FR30" i="73"/>
  <c r="FP30" i="73"/>
  <c r="CX35" i="73"/>
  <c r="CX14" i="73"/>
  <c r="FP17" i="73"/>
  <c r="FR17" i="73"/>
  <c r="CX22" i="73"/>
  <c r="FP25" i="73"/>
  <c r="FR25" i="73"/>
  <c r="CX30" i="73"/>
  <c r="FP33" i="73"/>
  <c r="FR33" i="73"/>
  <c r="CX38" i="73"/>
  <c r="FR9" i="73"/>
  <c r="FP9" i="73"/>
  <c r="FR14" i="72"/>
  <c r="FP14" i="72"/>
  <c r="FR22" i="72"/>
  <c r="FP22" i="72"/>
  <c r="FR17" i="72"/>
  <c r="FP17" i="72"/>
  <c r="FR25" i="72"/>
  <c r="FP25" i="72"/>
  <c r="FR33" i="72"/>
  <c r="FP33" i="72"/>
  <c r="FP12" i="72"/>
  <c r="FR12" i="72"/>
  <c r="FP20" i="72"/>
  <c r="FR20" i="72"/>
  <c r="FR28" i="72"/>
  <c r="FP28" i="72"/>
  <c r="FR36" i="72"/>
  <c r="FP36" i="72"/>
  <c r="FP15" i="72"/>
  <c r="FR15" i="72"/>
  <c r="FP23" i="72"/>
  <c r="FR23" i="72"/>
  <c r="FR31" i="72"/>
  <c r="FP31" i="72"/>
  <c r="FR10" i="72"/>
  <c r="FP10" i="72"/>
  <c r="FR18" i="72"/>
  <c r="FP18" i="72"/>
  <c r="FR26" i="72"/>
  <c r="FP26" i="72"/>
  <c r="FP34" i="72"/>
  <c r="FR34" i="72"/>
  <c r="FR13" i="72"/>
  <c r="FP13" i="72"/>
  <c r="CX18" i="72"/>
  <c r="FR21" i="72"/>
  <c r="FP21" i="72"/>
  <c r="FR16" i="72"/>
  <c r="FP16" i="72"/>
  <c r="FR24" i="72"/>
  <c r="FP24" i="72"/>
  <c r="FR32" i="72"/>
  <c r="FP32" i="72"/>
  <c r="FR11" i="72"/>
  <c r="FP11" i="72"/>
  <c r="FR19" i="72"/>
  <c r="FP19" i="72"/>
  <c r="FR27" i="72"/>
  <c r="FP27" i="72"/>
  <c r="FR35" i="72"/>
  <c r="FP35" i="72"/>
  <c r="FR9" i="72"/>
  <c r="FP9" i="72"/>
  <c r="CX9" i="72"/>
  <c r="FR17" i="71"/>
  <c r="FP17" i="71"/>
  <c r="FR25" i="71"/>
  <c r="FP25" i="71"/>
  <c r="FR12" i="71"/>
  <c r="FP12" i="71"/>
  <c r="FR20" i="71"/>
  <c r="FP20" i="71"/>
  <c r="FR28" i="71"/>
  <c r="FP28" i="71"/>
  <c r="FR36" i="71"/>
  <c r="FP36" i="71"/>
  <c r="FR15" i="71"/>
  <c r="FP15" i="71"/>
  <c r="FR23" i="71"/>
  <c r="FP23" i="71"/>
  <c r="FP31" i="71"/>
  <c r="FR31" i="71"/>
  <c r="FR10" i="71"/>
  <c r="FP10" i="71"/>
  <c r="FR18" i="71"/>
  <c r="FP18" i="71"/>
  <c r="FR26" i="71"/>
  <c r="FP26" i="71"/>
  <c r="FP34" i="71"/>
  <c r="FR34" i="71"/>
  <c r="FR13" i="71"/>
  <c r="FP13" i="71"/>
  <c r="FR21" i="71"/>
  <c r="FP21" i="71"/>
  <c r="FR29" i="71"/>
  <c r="FP29" i="71"/>
  <c r="FR16" i="71"/>
  <c r="FP16" i="71"/>
  <c r="FR24" i="71"/>
  <c r="FP24" i="71"/>
  <c r="FP32" i="71"/>
  <c r="FR32" i="71"/>
  <c r="FP11" i="71"/>
  <c r="FR11" i="71"/>
  <c r="FP19" i="71"/>
  <c r="FR19" i="71"/>
  <c r="FP27" i="71"/>
  <c r="FR27" i="71"/>
  <c r="FR35" i="71"/>
  <c r="FP35" i="71"/>
  <c r="FP14" i="71"/>
  <c r="FR14" i="71"/>
  <c r="FP22" i="71"/>
  <c r="FR22" i="71"/>
  <c r="FR30" i="71"/>
  <c r="FP30" i="71"/>
  <c r="FR9" i="71"/>
  <c r="FP9" i="71"/>
  <c r="CX33" i="71"/>
  <c r="FR16" i="69"/>
  <c r="FP16" i="69"/>
  <c r="FR19" i="67"/>
  <c r="FP19" i="67"/>
  <c r="FR27" i="64"/>
  <c r="FR40" i="64" s="1"/>
  <c r="FP27" i="64"/>
  <c r="FP40" i="64" s="1"/>
  <c r="FR29" i="63"/>
  <c r="FP29" i="63"/>
  <c r="FR24" i="65"/>
  <c r="FR40" i="65" s="1"/>
  <c r="FP24" i="65"/>
  <c r="FP40" i="65" s="1"/>
  <c r="FR29" i="66"/>
  <c r="FP29" i="66"/>
  <c r="FR23" i="63"/>
  <c r="FP23" i="63"/>
  <c r="FR22" i="66"/>
  <c r="FP22" i="66"/>
  <c r="FR30" i="72"/>
  <c r="FP30" i="72"/>
  <c r="AC39" i="72"/>
  <c r="FP29" i="72"/>
  <c r="FR29" i="72"/>
  <c r="FP33" i="71"/>
  <c r="FR33" i="71"/>
  <c r="FR34" i="70"/>
  <c r="FP34" i="70"/>
  <c r="FR30" i="69"/>
  <c r="FP30" i="69"/>
  <c r="CX22" i="66"/>
  <c r="CX35" i="66"/>
  <c r="CX13" i="66"/>
  <c r="CX29" i="66"/>
  <c r="CX37" i="66"/>
  <c r="CX29" i="67"/>
  <c r="CX37" i="65"/>
  <c r="CX30" i="65"/>
  <c r="CX17" i="64"/>
  <c r="CX19" i="64"/>
  <c r="CX22" i="64"/>
  <c r="CX22" i="72"/>
  <c r="CX13" i="72"/>
  <c r="CX16" i="72"/>
  <c r="CX17" i="72"/>
  <c r="CX36" i="72"/>
  <c r="CX26" i="72"/>
  <c r="CX37" i="72"/>
  <c r="CX39" i="71"/>
  <c r="CX24" i="71"/>
  <c r="CX14" i="71"/>
  <c r="CX19" i="71"/>
  <c r="CX12" i="71"/>
  <c r="CX36" i="71"/>
  <c r="CX18" i="71"/>
  <c r="CX26" i="71"/>
  <c r="CX37" i="71"/>
  <c r="CX20" i="70"/>
  <c r="CX10" i="70"/>
  <c r="CX29" i="70"/>
  <c r="CX24" i="70"/>
  <c r="CX32" i="70"/>
  <c r="CX11" i="70"/>
  <c r="CX19" i="70"/>
  <c r="CX27" i="70"/>
  <c r="CX35" i="70"/>
  <c r="CX22" i="70"/>
  <c r="CX38" i="70"/>
  <c r="CX25" i="70"/>
  <c r="CX30" i="69"/>
  <c r="CX26" i="69"/>
  <c r="CX23" i="69"/>
  <c r="CX17" i="69"/>
  <c r="CX13" i="69"/>
  <c r="CX21" i="69"/>
  <c r="CX29" i="69"/>
  <c r="CX37" i="69"/>
  <c r="FR13" i="68"/>
  <c r="FP13" i="68"/>
  <c r="FR21" i="68"/>
  <c r="FP21" i="68"/>
  <c r="FR29" i="68"/>
  <c r="FP29" i="68"/>
  <c r="FR16" i="68"/>
  <c r="FP16" i="68"/>
  <c r="FP32" i="68"/>
  <c r="FR32" i="68"/>
  <c r="FP11" i="68"/>
  <c r="FR11" i="68"/>
  <c r="FP19" i="68"/>
  <c r="FR19" i="68"/>
  <c r="FR27" i="68"/>
  <c r="FP27" i="68"/>
  <c r="FR35" i="68"/>
  <c r="FP35" i="68"/>
  <c r="FR14" i="68"/>
  <c r="FP14" i="68"/>
  <c r="FR22" i="68"/>
  <c r="FP22" i="68"/>
  <c r="FP30" i="68"/>
  <c r="FR30" i="68"/>
  <c r="FR17" i="68"/>
  <c r="FP17" i="68"/>
  <c r="FR25" i="68"/>
  <c r="FP25" i="68"/>
  <c r="FR33" i="68"/>
  <c r="FP33" i="68"/>
  <c r="FR12" i="68"/>
  <c r="FP12" i="68"/>
  <c r="FR20" i="68"/>
  <c r="FP20" i="68"/>
  <c r="FR28" i="68"/>
  <c r="FP28" i="68"/>
  <c r="FR15" i="68"/>
  <c r="FP15" i="68"/>
  <c r="FR23" i="68"/>
  <c r="FP23" i="68"/>
  <c r="FP31" i="68"/>
  <c r="FR31" i="68"/>
  <c r="FP10" i="68"/>
  <c r="FR10" i="68"/>
  <c r="FP18" i="68"/>
  <c r="FR18" i="68"/>
  <c r="FR26" i="68"/>
  <c r="FP26" i="68"/>
  <c r="FR34" i="68"/>
  <c r="FP34" i="68"/>
  <c r="CX34" i="67"/>
  <c r="CX32" i="67"/>
  <c r="CX10" i="67"/>
  <c r="CX11" i="67"/>
  <c r="CX27" i="67"/>
  <c r="CX20" i="67"/>
  <c r="CX23" i="67"/>
  <c r="CX26" i="66"/>
  <c r="CX19" i="66"/>
  <c r="CX30" i="66"/>
  <c r="CX33" i="66"/>
  <c r="CX12" i="66"/>
  <c r="CX36" i="66"/>
  <c r="CX15" i="66"/>
  <c r="CX23" i="66"/>
  <c r="CX31" i="66"/>
  <c r="CX39" i="66"/>
  <c r="CX34" i="66"/>
  <c r="CX38" i="65"/>
  <c r="CX35" i="65"/>
  <c r="CX29" i="65"/>
  <c r="CX15" i="65"/>
  <c r="CX31" i="65"/>
  <c r="CX24" i="65"/>
  <c r="CX32" i="65"/>
  <c r="CX22" i="65"/>
  <c r="CX23" i="63"/>
  <c r="CX13" i="63"/>
  <c r="CX12" i="63"/>
  <c r="CX11" i="63"/>
  <c r="CX20" i="63"/>
  <c r="CX28" i="64"/>
  <c r="CX32" i="64"/>
  <c r="CX35" i="64"/>
  <c r="CX23" i="64"/>
  <c r="CX27" i="64"/>
  <c r="CX16" i="65"/>
  <c r="CX16" i="69"/>
  <c r="CX19" i="67"/>
  <c r="CX20" i="64"/>
  <c r="CX11" i="71"/>
  <c r="CX14" i="70"/>
  <c r="FR24" i="68"/>
  <c r="FP24" i="68"/>
  <c r="CX13" i="73"/>
  <c r="CX22" i="63"/>
  <c r="CX31" i="72"/>
  <c r="CX31" i="71"/>
  <c r="CX16" i="71"/>
  <c r="CX33" i="70"/>
  <c r="CX39" i="69"/>
  <c r="CX27" i="69"/>
  <c r="CX14" i="69"/>
  <c r="CX22" i="67"/>
  <c r="CX18" i="67"/>
  <c r="CX24" i="66"/>
  <c r="CX14" i="66"/>
  <c r="CX9" i="65"/>
  <c r="CX31" i="64"/>
  <c r="CX19" i="72"/>
  <c r="CX28" i="71"/>
  <c r="CX13" i="71"/>
  <c r="CX30" i="70"/>
  <c r="CX33" i="69"/>
  <c r="CX36" i="69"/>
  <c r="CX36" i="67"/>
  <c r="CX15" i="67"/>
  <c r="CX28" i="66"/>
  <c r="CX10" i="66"/>
  <c r="CX34" i="65"/>
  <c r="CX26" i="65"/>
  <c r="CX20" i="65"/>
  <c r="CX23" i="65"/>
  <c r="CX12" i="65"/>
  <c r="CX20" i="72"/>
  <c r="CX12" i="72"/>
  <c r="CX11" i="72"/>
  <c r="CX35" i="72"/>
  <c r="CX33" i="72"/>
  <c r="CX32" i="72"/>
  <c r="CX27" i="72"/>
  <c r="CX25" i="72"/>
  <c r="CX28" i="72"/>
  <c r="CX24" i="72"/>
  <c r="CX35" i="71"/>
  <c r="CX34" i="71"/>
  <c r="CX29" i="71"/>
  <c r="CX27" i="71"/>
  <c r="CX23" i="71"/>
  <c r="CX21" i="71"/>
  <c r="CX10" i="71"/>
  <c r="CX37" i="70"/>
  <c r="CX9" i="70"/>
  <c r="CX16" i="70"/>
  <c r="CX17" i="70"/>
  <c r="CX15" i="70"/>
  <c r="CX34" i="69"/>
  <c r="CX32" i="69"/>
  <c r="CX25" i="69"/>
  <c r="CX28" i="69"/>
  <c r="BF38" i="68"/>
  <c r="CX35" i="67"/>
  <c r="CX28" i="67"/>
  <c r="CX16" i="67"/>
  <c r="CX25" i="66"/>
  <c r="CX17" i="66"/>
  <c r="CX20" i="66"/>
  <c r="CX18" i="66"/>
  <c r="CX21" i="66"/>
  <c r="CX33" i="65"/>
  <c r="CX21" i="65"/>
  <c r="CX36" i="64"/>
  <c r="CX18" i="64"/>
  <c r="CX16" i="64"/>
  <c r="CX12" i="64"/>
  <c r="CX38" i="63"/>
  <c r="CX33" i="63"/>
  <c r="CX26" i="63"/>
  <c r="CX17" i="63"/>
  <c r="CX19" i="63"/>
  <c r="CX18" i="63"/>
  <c r="CX18" i="69"/>
  <c r="CX15" i="69"/>
  <c r="DD38" i="68"/>
  <c r="CX34" i="63"/>
  <c r="CX24" i="63"/>
  <c r="BC38" i="68"/>
  <c r="DA38" i="68"/>
  <c r="AE38" i="68"/>
  <c r="CZ38" i="68"/>
  <c r="BD38" i="68"/>
  <c r="DB38" i="68"/>
  <c r="BC40" i="64"/>
  <c r="AB38" i="68"/>
  <c r="CB38" i="68"/>
  <c r="DE38" i="68"/>
  <c r="AD38" i="68"/>
  <c r="CY38" i="68"/>
  <c r="CC38" i="68"/>
  <c r="DF38" i="68"/>
  <c r="AA38" i="68"/>
  <c r="BE38" i="68"/>
  <c r="DC38" i="68"/>
  <c r="AC38" i="68"/>
  <c r="BC39" i="63"/>
  <c r="B9" i="73"/>
  <c r="AT3" i="23" s="1"/>
  <c r="AA3" i="25" s="1"/>
  <c r="AS3" i="23"/>
  <c r="Z3" i="25" s="1"/>
  <c r="BC39" i="72"/>
  <c r="B9" i="72"/>
  <c r="AP3" i="23" s="1"/>
  <c r="V3" i="25" s="1"/>
  <c r="AO3" i="23"/>
  <c r="U3" i="25" s="1"/>
  <c r="A10" i="71"/>
  <c r="AK4" i="23" s="1"/>
  <c r="P4" i="25" s="1"/>
  <c r="AK3" i="23"/>
  <c r="P3" i="25" s="1"/>
  <c r="B9" i="70"/>
  <c r="AH3" i="23" s="1"/>
  <c r="L3" i="25" s="1"/>
  <c r="AG3" i="23"/>
  <c r="K3" i="25" s="1"/>
  <c r="A10" i="69"/>
  <c r="AC4" i="23" s="1"/>
  <c r="F4" i="25" s="1"/>
  <c r="AC3" i="23"/>
  <c r="F3" i="25" s="1"/>
  <c r="A10" i="68"/>
  <c r="Y4" i="23" s="1"/>
  <c r="A4" i="25" s="1"/>
  <c r="Y3" i="23"/>
  <c r="A3" i="25" s="1"/>
  <c r="B9" i="67"/>
  <c r="V3" i="23" s="1"/>
  <c r="AA3" i="24" s="1"/>
  <c r="U3" i="23"/>
  <c r="Z3" i="24" s="1"/>
  <c r="A10" i="66"/>
  <c r="Q3" i="23"/>
  <c r="U3" i="24" s="1"/>
  <c r="B9" i="65"/>
  <c r="N3" i="23" s="1"/>
  <c r="Q3" i="24" s="1"/>
  <c r="M3" i="23"/>
  <c r="P3" i="24" s="1"/>
  <c r="A10" i="64"/>
  <c r="I4" i="23" s="1"/>
  <c r="K4" i="24" s="1"/>
  <c r="I3" i="23"/>
  <c r="K3" i="24" s="1"/>
  <c r="A10" i="63"/>
  <c r="E3" i="23"/>
  <c r="F3" i="24" s="1"/>
  <c r="H45" i="68"/>
  <c r="H47" i="64"/>
  <c r="D77" i="67"/>
  <c r="D77" i="66"/>
  <c r="D76" i="65"/>
  <c r="B10" i="71"/>
  <c r="AL10" i="71" s="1"/>
  <c r="BD40" i="64"/>
  <c r="BC39" i="65"/>
  <c r="BF40" i="64"/>
  <c r="AB40" i="64"/>
  <c r="CB40" i="64"/>
  <c r="AC40" i="64"/>
  <c r="CC40" i="64"/>
  <c r="AD40" i="64"/>
  <c r="AE40" i="64"/>
  <c r="BE40" i="64"/>
  <c r="AA40" i="64"/>
  <c r="CZ40" i="64"/>
  <c r="CY40" i="64"/>
  <c r="F52" i="50"/>
  <c r="BE39" i="65"/>
  <c r="AD39" i="63"/>
  <c r="A10" i="70"/>
  <c r="B9" i="69"/>
  <c r="B9" i="66"/>
  <c r="B9" i="64"/>
  <c r="J3" i="23" s="1"/>
  <c r="L3" i="24" s="1"/>
  <c r="CZ39" i="65"/>
  <c r="DF39" i="63"/>
  <c r="DB39" i="65"/>
  <c r="DG14" i="65"/>
  <c r="DF40" i="64"/>
  <c r="DG26" i="72"/>
  <c r="DG34" i="72"/>
  <c r="DD40" i="64"/>
  <c r="DG17" i="65"/>
  <c r="DG33" i="65"/>
  <c r="DG37" i="65"/>
  <c r="DG18" i="66"/>
  <c r="DG16" i="67"/>
  <c r="DG33" i="70"/>
  <c r="DG26" i="63"/>
  <c r="DG23" i="65"/>
  <c r="DG27" i="65"/>
  <c r="DG38" i="67"/>
  <c r="DG30" i="64"/>
  <c r="DG30" i="63"/>
  <c r="DG20" i="65"/>
  <c r="DG24" i="65"/>
  <c r="DG36" i="65"/>
  <c r="DG10" i="66"/>
  <c r="DG24" i="67"/>
  <c r="DG12" i="64"/>
  <c r="DG23" i="64"/>
  <c r="DG10" i="73"/>
  <c r="DG10" i="63"/>
  <c r="DG14" i="63"/>
  <c r="DG17" i="63"/>
  <c r="DG27" i="64"/>
  <c r="DG31" i="64"/>
  <c r="DG13" i="66"/>
  <c r="DG19" i="67"/>
  <c r="DG23" i="67"/>
  <c r="DG31" i="71"/>
  <c r="DG11" i="64"/>
  <c r="DG18" i="64"/>
  <c r="DG26" i="64"/>
  <c r="DG16" i="66"/>
  <c r="DG16" i="73"/>
  <c r="DG24" i="73"/>
  <c r="DG34" i="64"/>
  <c r="DG11" i="65"/>
  <c r="DG18" i="65"/>
  <c r="DG22" i="65"/>
  <c r="DG26" i="65"/>
  <c r="DG11" i="67"/>
  <c r="DG18" i="67"/>
  <c r="DG22" i="67"/>
  <c r="DG16" i="72"/>
  <c r="DG27" i="66"/>
  <c r="DG31" i="66"/>
  <c r="DG11" i="69"/>
  <c r="DG19" i="73"/>
  <c r="DG10" i="65"/>
  <c r="DG25" i="65"/>
  <c r="DG29" i="65"/>
  <c r="DG26" i="70"/>
  <c r="DG10" i="71"/>
  <c r="DG13" i="64"/>
  <c r="DG16" i="64"/>
  <c r="DG24" i="64"/>
  <c r="DG14" i="68"/>
  <c r="DG37" i="70"/>
  <c r="DG30" i="70"/>
  <c r="DG23" i="70"/>
  <c r="DG11" i="73"/>
  <c r="DG37" i="72"/>
  <c r="DG13" i="72"/>
  <c r="DG23" i="71"/>
  <c r="DG18" i="68"/>
  <c r="DG12" i="70"/>
  <c r="DG12" i="73"/>
  <c r="DG15" i="73"/>
  <c r="AB40" i="73"/>
  <c r="CB40" i="73"/>
  <c r="DG18" i="73"/>
  <c r="DG14" i="73"/>
  <c r="DG17" i="73"/>
  <c r="DG23" i="73"/>
  <c r="DG25" i="73"/>
  <c r="DG20" i="73"/>
  <c r="DG27" i="73"/>
  <c r="DG26" i="73"/>
  <c r="BC40" i="73"/>
  <c r="CZ40" i="73"/>
  <c r="DG29" i="73"/>
  <c r="DG28" i="73"/>
  <c r="DF40" i="73"/>
  <c r="DG34" i="73"/>
  <c r="BD40" i="73"/>
  <c r="DG37" i="73"/>
  <c r="DG38" i="73"/>
  <c r="AC40" i="73"/>
  <c r="DE40" i="73"/>
  <c r="AD40" i="73"/>
  <c r="CY40" i="73"/>
  <c r="AE40" i="73"/>
  <c r="DG38" i="72"/>
  <c r="DG36" i="72"/>
  <c r="DG35" i="72"/>
  <c r="DG25" i="72"/>
  <c r="DG29" i="72"/>
  <c r="AE39" i="72"/>
  <c r="CY39" i="72"/>
  <c r="DG24" i="72"/>
  <c r="DG23" i="72"/>
  <c r="DG27" i="72"/>
  <c r="CZ39" i="72"/>
  <c r="BE39" i="72"/>
  <c r="DG19" i="72"/>
  <c r="DG20" i="72"/>
  <c r="AB39" i="72"/>
  <c r="CB39" i="72"/>
  <c r="DD39" i="72"/>
  <c r="DG17" i="72"/>
  <c r="AD39" i="72"/>
  <c r="DG12" i="72"/>
  <c r="CC39" i="72"/>
  <c r="DE39" i="72"/>
  <c r="AA39" i="72"/>
  <c r="DC39" i="72"/>
  <c r="DG11" i="72"/>
  <c r="BD39" i="72"/>
  <c r="DA39" i="72"/>
  <c r="DG10" i="72"/>
  <c r="DG34" i="71"/>
  <c r="DG37" i="71"/>
  <c r="DG36" i="71"/>
  <c r="DG26" i="71"/>
  <c r="DG30" i="71"/>
  <c r="DG24" i="71"/>
  <c r="DG17" i="71"/>
  <c r="BC40" i="71"/>
  <c r="DG21" i="71"/>
  <c r="DG20" i="71"/>
  <c r="DG18" i="71"/>
  <c r="DG15" i="71"/>
  <c r="AC40" i="71"/>
  <c r="DE40" i="71"/>
  <c r="DG14" i="71"/>
  <c r="DF40" i="71"/>
  <c r="DG13" i="71"/>
  <c r="AB40" i="71"/>
  <c r="DD40" i="71"/>
  <c r="DG12" i="71"/>
  <c r="AA40" i="71"/>
  <c r="DC40" i="71"/>
  <c r="BD40" i="71"/>
  <c r="AE40" i="71"/>
  <c r="DG36" i="70"/>
  <c r="DG35" i="70"/>
  <c r="DG25" i="70"/>
  <c r="DG20" i="70"/>
  <c r="DG21" i="70"/>
  <c r="DG19" i="70"/>
  <c r="DG18" i="70"/>
  <c r="DG17" i="70"/>
  <c r="DG22" i="70"/>
  <c r="DG16" i="70"/>
  <c r="DG15" i="70"/>
  <c r="DD39" i="70"/>
  <c r="DG14" i="70"/>
  <c r="BC39" i="70"/>
  <c r="CZ39" i="70"/>
  <c r="DG11" i="70"/>
  <c r="AD39" i="70"/>
  <c r="DE39" i="70"/>
  <c r="DG10" i="70"/>
  <c r="AE39" i="70"/>
  <c r="BD39" i="70"/>
  <c r="DA39" i="70"/>
  <c r="BE39" i="70"/>
  <c r="DG39" i="69"/>
  <c r="DG37" i="69"/>
  <c r="DG32" i="69"/>
  <c r="DG36" i="69"/>
  <c r="DG35" i="69"/>
  <c r="DG34" i="69"/>
  <c r="DG27" i="69"/>
  <c r="CB40" i="69"/>
  <c r="DG25" i="69"/>
  <c r="DG29" i="69"/>
  <c r="DG28" i="69"/>
  <c r="DG18" i="69"/>
  <c r="DG17" i="69"/>
  <c r="DG16" i="69"/>
  <c r="DG21" i="69"/>
  <c r="DG19" i="69"/>
  <c r="DG12" i="69"/>
  <c r="DG10" i="69"/>
  <c r="AD40" i="69"/>
  <c r="DF40" i="69"/>
  <c r="CY40" i="69"/>
  <c r="CZ40" i="69"/>
  <c r="BD40" i="69"/>
  <c r="AC40" i="69"/>
  <c r="DG30" i="68"/>
  <c r="DG33" i="68"/>
  <c r="DG28" i="68"/>
  <c r="DG27" i="68"/>
  <c r="DG22" i="68"/>
  <c r="DG21" i="68"/>
  <c r="DG25" i="68"/>
  <c r="DG24" i="68"/>
  <c r="DG23" i="68"/>
  <c r="DG16" i="68"/>
  <c r="DG15" i="68"/>
  <c r="DG10" i="68"/>
  <c r="DG17" i="66"/>
  <c r="DG36" i="67"/>
  <c r="DG34" i="67"/>
  <c r="DG37" i="67"/>
  <c r="DA40" i="67"/>
  <c r="DG27" i="67"/>
  <c r="AA40" i="67"/>
  <c r="DG26" i="67"/>
  <c r="DG30" i="67"/>
  <c r="AC40" i="67"/>
  <c r="CC40" i="67"/>
  <c r="DE40" i="67"/>
  <c r="DG25" i="67"/>
  <c r="DG29" i="67"/>
  <c r="AE40" i="67"/>
  <c r="CY40" i="67"/>
  <c r="DG21" i="67"/>
  <c r="DG17" i="67"/>
  <c r="DF40" i="67"/>
  <c r="DG15" i="67"/>
  <c r="DG14" i="67"/>
  <c r="DG13" i="67"/>
  <c r="BE40" i="67"/>
  <c r="DG12" i="67"/>
  <c r="AB40" i="67"/>
  <c r="CB40" i="67"/>
  <c r="DD40" i="67"/>
  <c r="DG10" i="67"/>
  <c r="AB40" i="66"/>
  <c r="CB40" i="66"/>
  <c r="DG34" i="66"/>
  <c r="DG38" i="66"/>
  <c r="DG36" i="66"/>
  <c r="DG26" i="66"/>
  <c r="DG30" i="66"/>
  <c r="DG25" i="66"/>
  <c r="DG28" i="66"/>
  <c r="CY40" i="66"/>
  <c r="DG22" i="66"/>
  <c r="BC40" i="66"/>
  <c r="CZ40" i="66"/>
  <c r="DG21" i="66"/>
  <c r="BE40" i="66"/>
  <c r="DB40" i="66"/>
  <c r="DG20" i="66"/>
  <c r="DG19" i="66"/>
  <c r="AD40" i="66"/>
  <c r="DF40" i="66"/>
  <c r="BD40" i="66"/>
  <c r="DA40" i="66"/>
  <c r="AC40" i="66"/>
  <c r="CC40" i="66"/>
  <c r="DE40" i="66"/>
  <c r="DG14" i="66"/>
  <c r="BF40" i="66"/>
  <c r="DG11" i="66"/>
  <c r="AE40" i="66"/>
  <c r="DG35" i="65"/>
  <c r="BD39" i="65"/>
  <c r="DA39" i="65"/>
  <c r="DG31" i="65"/>
  <c r="DG21" i="65"/>
  <c r="CY39" i="65"/>
  <c r="DG15" i="65"/>
  <c r="BF39" i="65"/>
  <c r="CC39" i="65"/>
  <c r="DG13" i="65"/>
  <c r="AD39" i="65"/>
  <c r="DG12" i="65"/>
  <c r="CB39" i="65"/>
  <c r="DD39" i="65"/>
  <c r="AE39" i="65"/>
  <c r="DG36" i="64"/>
  <c r="DG29" i="64"/>
  <c r="DG22" i="64"/>
  <c r="DC40" i="64"/>
  <c r="DG21" i="64"/>
  <c r="DG20" i="64"/>
  <c r="DG19" i="64"/>
  <c r="DG15" i="64"/>
  <c r="DG14" i="64"/>
  <c r="DE40" i="64"/>
  <c r="DG10" i="64"/>
  <c r="A10" i="65"/>
  <c r="A10" i="67"/>
  <c r="AS9" i="70"/>
  <c r="B9" i="71"/>
  <c r="AL3" i="23" s="1"/>
  <c r="Q3" i="25" s="1"/>
  <c r="A10" i="73"/>
  <c r="AT9" i="70"/>
  <c r="AG9" i="70"/>
  <c r="AJ9" i="70"/>
  <c r="AO9" i="70"/>
  <c r="AR9" i="70"/>
  <c r="AC39" i="63"/>
  <c r="DE39" i="63"/>
  <c r="AZ9" i="73"/>
  <c r="AR9" i="73"/>
  <c r="AJ9" i="73"/>
  <c r="AY9" i="73"/>
  <c r="AQ9" i="73"/>
  <c r="AI9" i="73"/>
  <c r="AX9" i="73"/>
  <c r="AP9" i="73"/>
  <c r="AH9" i="73"/>
  <c r="AW9" i="73"/>
  <c r="AO9" i="73"/>
  <c r="AG9" i="73"/>
  <c r="AV9" i="73"/>
  <c r="AN9" i="73"/>
  <c r="AU9" i="73"/>
  <c r="AM9" i="73"/>
  <c r="AT9" i="73"/>
  <c r="AL9" i="73"/>
  <c r="AS9" i="73"/>
  <c r="AK9" i="73"/>
  <c r="D9" i="73"/>
  <c r="DG13" i="73"/>
  <c r="DG9" i="73"/>
  <c r="BE40" i="73"/>
  <c r="CC40" i="73"/>
  <c r="DA40" i="73"/>
  <c r="BF40" i="73"/>
  <c r="DB40" i="73"/>
  <c r="DC40" i="73"/>
  <c r="AA40" i="73"/>
  <c r="DD40" i="73"/>
  <c r="DG21" i="73"/>
  <c r="DG22" i="73"/>
  <c r="DG30" i="73"/>
  <c r="DG36" i="73"/>
  <c r="DG32" i="73"/>
  <c r="DG31" i="73"/>
  <c r="DG35" i="73"/>
  <c r="DG39" i="73"/>
  <c r="D77" i="73"/>
  <c r="Y76" i="73"/>
  <c r="DG33" i="73"/>
  <c r="H47" i="73"/>
  <c r="AL9" i="72"/>
  <c r="AS9" i="72"/>
  <c r="AK9" i="72"/>
  <c r="AZ9" i="72"/>
  <c r="AR9" i="72"/>
  <c r="AY9" i="72"/>
  <c r="AQ9" i="72"/>
  <c r="AX9" i="72"/>
  <c r="AP9" i="72"/>
  <c r="AH9" i="72"/>
  <c r="AW9" i="72"/>
  <c r="AO9" i="72"/>
  <c r="AG9" i="72"/>
  <c r="AV9" i="72"/>
  <c r="AU9" i="72"/>
  <c r="AM9" i="72"/>
  <c r="DG9" i="72"/>
  <c r="A10" i="72"/>
  <c r="AO4" i="23" s="1"/>
  <c r="U4" i="25" s="1"/>
  <c r="DG14" i="72"/>
  <c r="BF39" i="72"/>
  <c r="DB39" i="72"/>
  <c r="DG18" i="72"/>
  <c r="DG15" i="72"/>
  <c r="DF39" i="72"/>
  <c r="DG22" i="72"/>
  <c r="DG21" i="72"/>
  <c r="DG30" i="72"/>
  <c r="DG28" i="72"/>
  <c r="DG31" i="72"/>
  <c r="DG33" i="72"/>
  <c r="DG32" i="72"/>
  <c r="D76" i="72"/>
  <c r="H46" i="72"/>
  <c r="A11" i="71"/>
  <c r="AK5" i="23" s="1"/>
  <c r="P5" i="25" s="1"/>
  <c r="CB40" i="71"/>
  <c r="AD40" i="71"/>
  <c r="DG11" i="71"/>
  <c r="DG16" i="71"/>
  <c r="CY40" i="71"/>
  <c r="DG9" i="71"/>
  <c r="CZ40" i="71"/>
  <c r="BE40" i="71"/>
  <c r="CC40" i="71"/>
  <c r="DA40" i="71"/>
  <c r="BF40" i="71"/>
  <c r="DB40" i="71"/>
  <c r="DG19" i="71"/>
  <c r="DG25" i="71"/>
  <c r="DG28" i="71"/>
  <c r="DG22" i="71"/>
  <c r="DG27" i="71"/>
  <c r="DG29" i="71"/>
  <c r="DG38" i="71"/>
  <c r="DG32" i="71"/>
  <c r="DG39" i="71"/>
  <c r="DG33" i="71"/>
  <c r="D77" i="71"/>
  <c r="DG35" i="71"/>
  <c r="H47" i="71"/>
  <c r="AK9" i="70"/>
  <c r="AU9" i="70"/>
  <c r="DG13" i="70"/>
  <c r="AY9" i="70"/>
  <c r="AQ9" i="70"/>
  <c r="AI9" i="70"/>
  <c r="AX9" i="70"/>
  <c r="AP9" i="70"/>
  <c r="AH9" i="70"/>
  <c r="AA39" i="70"/>
  <c r="AL9" i="70"/>
  <c r="AV9" i="70"/>
  <c r="D9" i="70"/>
  <c r="AB39" i="70"/>
  <c r="AM9" i="70"/>
  <c r="AW9" i="70"/>
  <c r="CB39" i="70"/>
  <c r="DF39" i="70"/>
  <c r="D75" i="68"/>
  <c r="AC39" i="70"/>
  <c r="AN9" i="70"/>
  <c r="AZ9" i="70"/>
  <c r="CC39" i="70"/>
  <c r="CY39" i="70"/>
  <c r="DG9" i="70"/>
  <c r="DG24" i="70"/>
  <c r="BF39" i="70"/>
  <c r="DB39" i="70"/>
  <c r="DC39" i="70"/>
  <c r="DG28" i="70"/>
  <c r="DG27" i="70"/>
  <c r="DG29" i="70"/>
  <c r="DG32" i="70"/>
  <c r="DG38" i="70"/>
  <c r="DG31" i="70"/>
  <c r="DG34" i="70"/>
  <c r="D76" i="70"/>
  <c r="Y75" i="70"/>
  <c r="H46" i="70"/>
  <c r="DG9" i="69"/>
  <c r="A11" i="69"/>
  <c r="AC5" i="23" s="1"/>
  <c r="F5" i="25" s="1"/>
  <c r="B10" i="69"/>
  <c r="AD4" i="23" s="1"/>
  <c r="G4" i="25" s="1"/>
  <c r="AE40" i="69"/>
  <c r="DG13" i="69"/>
  <c r="DG14" i="69"/>
  <c r="BC40" i="69"/>
  <c r="DG15" i="69"/>
  <c r="BE40" i="69"/>
  <c r="CC40" i="69"/>
  <c r="DA40" i="69"/>
  <c r="BF40" i="69"/>
  <c r="DB40" i="69"/>
  <c r="DG23" i="69"/>
  <c r="AY9" i="69"/>
  <c r="DC40" i="69"/>
  <c r="DG22" i="69"/>
  <c r="AA40" i="69"/>
  <c r="AJ9" i="69"/>
  <c r="DD40" i="69"/>
  <c r="AB40" i="69"/>
  <c r="DE40" i="69"/>
  <c r="DG20" i="69"/>
  <c r="DG26" i="69"/>
  <c r="DG24" i="69"/>
  <c r="DG30" i="69"/>
  <c r="DG31" i="69"/>
  <c r="DG38" i="69"/>
  <c r="D77" i="69"/>
  <c r="H47" i="69"/>
  <c r="DG33" i="69"/>
  <c r="DG9" i="68"/>
  <c r="DG19" i="68"/>
  <c r="A11" i="68"/>
  <c r="Y5" i="23" s="1"/>
  <c r="A5" i="25" s="1"/>
  <c r="B9" i="68"/>
  <c r="DG13" i="68"/>
  <c r="DG11" i="68"/>
  <c r="DG12" i="68"/>
  <c r="DG17" i="68"/>
  <c r="DG20" i="68"/>
  <c r="DG29" i="68"/>
  <c r="DG26" i="68"/>
  <c r="DG32" i="68"/>
  <c r="DG31" i="68"/>
  <c r="DG34" i="68"/>
  <c r="AK9" i="67"/>
  <c r="AU9" i="67"/>
  <c r="AY9" i="67"/>
  <c r="AQ9" i="67"/>
  <c r="AI9" i="67"/>
  <c r="AX9" i="67"/>
  <c r="AP9" i="67"/>
  <c r="AH9" i="67"/>
  <c r="AL9" i="67"/>
  <c r="AV9" i="67"/>
  <c r="D9" i="67"/>
  <c r="X3" i="23" s="1"/>
  <c r="AD3" i="24" s="1"/>
  <c r="AM9" i="67"/>
  <c r="AW9" i="67"/>
  <c r="AN9" i="67"/>
  <c r="AZ9" i="67"/>
  <c r="DG9" i="67"/>
  <c r="AD40" i="67"/>
  <c r="AO9" i="67"/>
  <c r="CZ40" i="67"/>
  <c r="AR9" i="67"/>
  <c r="AG9" i="67"/>
  <c r="AS9" i="67"/>
  <c r="BC40" i="67"/>
  <c r="AJ9" i="67"/>
  <c r="AT9" i="67"/>
  <c r="BD40" i="67"/>
  <c r="DG20" i="67"/>
  <c r="BF40" i="67"/>
  <c r="DB40" i="67"/>
  <c r="DC40" i="67"/>
  <c r="DG31" i="67"/>
  <c r="DG28" i="67"/>
  <c r="DG39" i="67"/>
  <c r="DG32" i="67"/>
  <c r="DG35" i="67"/>
  <c r="DG33" i="67"/>
  <c r="H47" i="67"/>
  <c r="DG9" i="66"/>
  <c r="B10" i="66"/>
  <c r="R4" i="23" s="1"/>
  <c r="V4" i="24" s="1"/>
  <c r="DC40" i="66"/>
  <c r="AA40" i="66"/>
  <c r="DD40" i="66"/>
  <c r="DG12" i="66"/>
  <c r="DG15" i="66"/>
  <c r="DG24" i="66"/>
  <c r="DG23" i="66"/>
  <c r="DG33" i="66"/>
  <c r="DG37" i="66"/>
  <c r="DG29" i="66"/>
  <c r="DG39" i="66"/>
  <c r="DG32" i="66"/>
  <c r="DG35" i="66"/>
  <c r="H47" i="66"/>
  <c r="AA39" i="65"/>
  <c r="DC39" i="65"/>
  <c r="DG16" i="65"/>
  <c r="AB39" i="65"/>
  <c r="DE39" i="65"/>
  <c r="AC39" i="65"/>
  <c r="DF39" i="65"/>
  <c r="DG19" i="65"/>
  <c r="DG9" i="65"/>
  <c r="DG28" i="65"/>
  <c r="DG30" i="65"/>
  <c r="DG32" i="65"/>
  <c r="DG38" i="65"/>
  <c r="DG34" i="65"/>
  <c r="H46" i="65"/>
  <c r="B10" i="64"/>
  <c r="J4" i="23" s="1"/>
  <c r="L4" i="24" s="1"/>
  <c r="A11" i="64"/>
  <c r="I5" i="23" s="1"/>
  <c r="K5" i="24" s="1"/>
  <c r="DG9" i="64"/>
  <c r="DA40" i="64"/>
  <c r="DG17" i="64"/>
  <c r="DB40" i="64"/>
  <c r="DG25" i="64"/>
  <c r="DG28" i="64"/>
  <c r="DG32" i="64"/>
  <c r="DG33" i="64"/>
  <c r="DG35" i="64"/>
  <c r="D77" i="64"/>
  <c r="DG23" i="63"/>
  <c r="DG27" i="63"/>
  <c r="DG9" i="63"/>
  <c r="DG13" i="63"/>
  <c r="DG12" i="63"/>
  <c r="DG15" i="63"/>
  <c r="DG20" i="63"/>
  <c r="DG21" i="63"/>
  <c r="DG25" i="63"/>
  <c r="DG19" i="63"/>
  <c r="DG22" i="63"/>
  <c r="AA39" i="63"/>
  <c r="DC39" i="63"/>
  <c r="DG11" i="63"/>
  <c r="DG18" i="63"/>
  <c r="DG24" i="63"/>
  <c r="AB39" i="63"/>
  <c r="DD39" i="63"/>
  <c r="B9" i="63"/>
  <c r="A11" i="63"/>
  <c r="E5" i="23" s="1"/>
  <c r="F5" i="24" s="1"/>
  <c r="CY39" i="63"/>
  <c r="BD39" i="63"/>
  <c r="AE39" i="63"/>
  <c r="CZ39" i="63"/>
  <c r="BE39" i="63"/>
  <c r="CC39" i="63"/>
  <c r="DA39" i="63"/>
  <c r="CB39" i="63"/>
  <c r="BF39" i="63"/>
  <c r="DB39" i="63"/>
  <c r="DG16" i="63"/>
  <c r="DG28" i="63"/>
  <c r="DG29" i="63"/>
  <c r="DG36" i="63"/>
  <c r="DG32" i="63"/>
  <c r="DG31" i="63"/>
  <c r="DG34" i="63"/>
  <c r="DG37" i="63"/>
  <c r="DG38" i="63"/>
  <c r="DG35" i="63"/>
  <c r="DG33" i="63"/>
  <c r="D76" i="63"/>
  <c r="H46" i="63"/>
  <c r="A48" i="41"/>
  <c r="J32" i="1" l="1"/>
  <c r="J10" i="44"/>
  <c r="FR40" i="67"/>
  <c r="FP40" i="63"/>
  <c r="FP40" i="70"/>
  <c r="FR40" i="70"/>
  <c r="FP40" i="67"/>
  <c r="FR40" i="63"/>
  <c r="FR40" i="69"/>
  <c r="FP40" i="69"/>
  <c r="FR40" i="72"/>
  <c r="FR40" i="71"/>
  <c r="FR40" i="73"/>
  <c r="FP40" i="73"/>
  <c r="FP40" i="71"/>
  <c r="FP40" i="66"/>
  <c r="FR40" i="66"/>
  <c r="FP40" i="72"/>
  <c r="CL9" i="68"/>
  <c r="CS9" i="68"/>
  <c r="CJ9" i="68"/>
  <c r="CR9" i="68"/>
  <c r="CI9" i="68"/>
  <c r="CQ9" i="68"/>
  <c r="CH9" i="68"/>
  <c r="CP9" i="68"/>
  <c r="CG9" i="68"/>
  <c r="CW9" i="68"/>
  <c r="CO9" i="68"/>
  <c r="CF9" i="68"/>
  <c r="CV9" i="68"/>
  <c r="CN9" i="68"/>
  <c r="CE9" i="68"/>
  <c r="CU9" i="68"/>
  <c r="CM9" i="68"/>
  <c r="CD9" i="68"/>
  <c r="CT9" i="68"/>
  <c r="CK9" i="68"/>
  <c r="BY9" i="68"/>
  <c r="BQ9" i="68"/>
  <c r="BI9" i="68"/>
  <c r="BX9" i="68"/>
  <c r="BP9" i="68"/>
  <c r="BH9" i="68"/>
  <c r="BW9" i="68"/>
  <c r="BO9" i="68"/>
  <c r="BG9" i="68"/>
  <c r="BU9" i="68"/>
  <c r="BM9" i="68"/>
  <c r="BT9" i="68"/>
  <c r="BL9" i="68"/>
  <c r="BN9" i="68"/>
  <c r="BS9" i="68"/>
  <c r="BK9" i="68"/>
  <c r="BV9" i="68"/>
  <c r="BZ9" i="68"/>
  <c r="BR9" i="68"/>
  <c r="BJ9" i="68"/>
  <c r="FP40" i="68"/>
  <c r="FR40" i="68"/>
  <c r="AR10" i="71"/>
  <c r="AV10" i="71"/>
  <c r="AU10" i="71"/>
  <c r="AN10" i="71"/>
  <c r="AZ10" i="71"/>
  <c r="AH10" i="71"/>
  <c r="AS10" i="71"/>
  <c r="AY10" i="71"/>
  <c r="AQ10" i="71"/>
  <c r="AO10" i="71"/>
  <c r="AJ10" i="71"/>
  <c r="D78" i="73"/>
  <c r="H43" i="73" s="1"/>
  <c r="AT34" i="23" s="1"/>
  <c r="AN9" i="72"/>
  <c r="AI9" i="72"/>
  <c r="AJ9" i="72"/>
  <c r="D9" i="72"/>
  <c r="AT9" i="72"/>
  <c r="AV9" i="65"/>
  <c r="AN9" i="65"/>
  <c r="AZ9" i="65"/>
  <c r="AK9" i="65"/>
  <c r="AT9" i="65"/>
  <c r="AJ9" i="65"/>
  <c r="AX9" i="65"/>
  <c r="AS9" i="65"/>
  <c r="AH9" i="65"/>
  <c r="AG9" i="65"/>
  <c r="AO9" i="65"/>
  <c r="AR9" i="65"/>
  <c r="AQ9" i="65"/>
  <c r="AM9" i="65"/>
  <c r="AY9" i="65"/>
  <c r="AW9" i="65"/>
  <c r="AI9" i="65"/>
  <c r="AU9" i="65"/>
  <c r="AP9" i="65"/>
  <c r="D9" i="65"/>
  <c r="P3" i="23" s="1"/>
  <c r="T3" i="24" s="1"/>
  <c r="AL9" i="65"/>
  <c r="B10" i="68"/>
  <c r="AI10" i="68" s="1"/>
  <c r="B10" i="73"/>
  <c r="AT4" i="23" s="1"/>
  <c r="AA4" i="25" s="1"/>
  <c r="AS4" i="23"/>
  <c r="Z4" i="25" s="1"/>
  <c r="A11" i="70"/>
  <c r="AG4" i="23"/>
  <c r="K4" i="25" s="1"/>
  <c r="DG38" i="68"/>
  <c r="A11" i="67"/>
  <c r="U4" i="23"/>
  <c r="Z4" i="24" s="1"/>
  <c r="AD3" i="25"/>
  <c r="AV3" i="23"/>
  <c r="AD3" i="23"/>
  <c r="G3" i="25" s="1"/>
  <c r="Z3" i="23"/>
  <c r="B3" i="25" s="1"/>
  <c r="O3" i="25"/>
  <c r="AJ3" i="23"/>
  <c r="AL4" i="23"/>
  <c r="Q4" i="25" s="1"/>
  <c r="Y3" i="25"/>
  <c r="AR3" i="23"/>
  <c r="A11" i="66"/>
  <c r="Q4" i="23"/>
  <c r="U4" i="24" s="1"/>
  <c r="A11" i="65"/>
  <c r="M5" i="23" s="1"/>
  <c r="P5" i="24" s="1"/>
  <c r="M4" i="23"/>
  <c r="P4" i="24" s="1"/>
  <c r="B10" i="63"/>
  <c r="E4" i="23"/>
  <c r="F4" i="24" s="1"/>
  <c r="R3" i="23"/>
  <c r="V3" i="24" s="1"/>
  <c r="AP9" i="63"/>
  <c r="F3" i="23"/>
  <c r="G3" i="24" s="1"/>
  <c r="AI10" i="71"/>
  <c r="D10" i="71"/>
  <c r="AK10" i="71"/>
  <c r="AT10" i="71"/>
  <c r="AP10" i="71"/>
  <c r="AW10" i="71"/>
  <c r="AX10" i="71"/>
  <c r="AG10" i="71"/>
  <c r="AM10" i="71"/>
  <c r="AQ9" i="69"/>
  <c r="AX9" i="69"/>
  <c r="AW9" i="69"/>
  <c r="AI9" i="69"/>
  <c r="AP9" i="69"/>
  <c r="AO9" i="69"/>
  <c r="AL9" i="69"/>
  <c r="AS9" i="69"/>
  <c r="AG9" i="69"/>
  <c r="AK9" i="69"/>
  <c r="AZ9" i="69"/>
  <c r="D9" i="69"/>
  <c r="AR9" i="69"/>
  <c r="G25" i="50"/>
  <c r="G27" i="50" s="1"/>
  <c r="AZ9" i="66"/>
  <c r="AZ9" i="63"/>
  <c r="D77" i="65"/>
  <c r="H42" i="65" s="1"/>
  <c r="D78" i="66"/>
  <c r="H43" i="66" s="1"/>
  <c r="B10" i="70"/>
  <c r="B11" i="70"/>
  <c r="D78" i="71"/>
  <c r="H43" i="71" s="1"/>
  <c r="AY9" i="71"/>
  <c r="AN9" i="71"/>
  <c r="F44" i="50"/>
  <c r="AV9" i="69"/>
  <c r="AH9" i="69"/>
  <c r="AN9" i="69"/>
  <c r="AP10" i="73"/>
  <c r="D9" i="71"/>
  <c r="AM9" i="71"/>
  <c r="AH9" i="71"/>
  <c r="AO9" i="71"/>
  <c r="AP9" i="71"/>
  <c r="AW9" i="71"/>
  <c r="AX9" i="71"/>
  <c r="AU9" i="71"/>
  <c r="AQ9" i="71"/>
  <c r="AV9" i="71"/>
  <c r="AZ9" i="71"/>
  <c r="AL9" i="71"/>
  <c r="AU9" i="69"/>
  <c r="B10" i="67"/>
  <c r="V4" i="23" s="1"/>
  <c r="AA4" i="24" s="1"/>
  <c r="AM9" i="69"/>
  <c r="AT9" i="69"/>
  <c r="AR9" i="66"/>
  <c r="AX9" i="66"/>
  <c r="AS9" i="66"/>
  <c r="AP9" i="66"/>
  <c r="AH9" i="66"/>
  <c r="AM9" i="66"/>
  <c r="AT9" i="66"/>
  <c r="AJ9" i="66"/>
  <c r="AN9" i="66"/>
  <c r="AG9" i="66"/>
  <c r="AY9" i="66"/>
  <c r="AO9" i="66"/>
  <c r="AU9" i="66"/>
  <c r="D9" i="66"/>
  <c r="T3" i="23" s="1"/>
  <c r="Y3" i="24" s="1"/>
  <c r="AQ9" i="66"/>
  <c r="AK9" i="66"/>
  <c r="AI9" i="66"/>
  <c r="AV9" i="66"/>
  <c r="AL9" i="66"/>
  <c r="AW9" i="66"/>
  <c r="AY9" i="64"/>
  <c r="AQ9" i="64"/>
  <c r="AI9" i="64"/>
  <c r="AW9" i="64"/>
  <c r="AN9" i="64"/>
  <c r="AU9" i="64"/>
  <c r="AT9" i="64"/>
  <c r="AS9" i="64"/>
  <c r="AX9" i="64"/>
  <c r="AO9" i="64"/>
  <c r="AM9" i="64"/>
  <c r="AL9" i="64"/>
  <c r="AK9" i="64"/>
  <c r="AG9" i="64"/>
  <c r="D9" i="64"/>
  <c r="L3" i="23" s="1"/>
  <c r="O3" i="24" s="1"/>
  <c r="AZ9" i="64"/>
  <c r="AH9" i="64"/>
  <c r="AR9" i="64"/>
  <c r="AV9" i="64"/>
  <c r="AP9" i="64"/>
  <c r="AJ9" i="64"/>
  <c r="AY9" i="63"/>
  <c r="AN9" i="63"/>
  <c r="AX9" i="63"/>
  <c r="AU9" i="63"/>
  <c r="AV9" i="63"/>
  <c r="AJ9" i="63"/>
  <c r="AI9" i="63"/>
  <c r="AW9" i="63"/>
  <c r="AT9" i="63"/>
  <c r="AL9" i="63"/>
  <c r="AM9" i="63"/>
  <c r="D77" i="63"/>
  <c r="H42" i="63" s="1"/>
  <c r="F34" i="23" s="1"/>
  <c r="H34" i="24" s="1"/>
  <c r="F43" i="50"/>
  <c r="F33" i="50"/>
  <c r="P9" i="67"/>
  <c r="AX10" i="73"/>
  <c r="AL10" i="73"/>
  <c r="AG10" i="73"/>
  <c r="AO10" i="73"/>
  <c r="D10" i="73"/>
  <c r="AJ10" i="73"/>
  <c r="A11" i="73"/>
  <c r="AI10" i="73"/>
  <c r="AR10" i="73"/>
  <c r="AQ10" i="73"/>
  <c r="AM10" i="73"/>
  <c r="AH10" i="73"/>
  <c r="AY10" i="73"/>
  <c r="AU10" i="73"/>
  <c r="AK9" i="71"/>
  <c r="AT9" i="71"/>
  <c r="AR9" i="71"/>
  <c r="AJ9" i="71"/>
  <c r="AI9" i="71"/>
  <c r="AG9" i="71"/>
  <c r="B10" i="65"/>
  <c r="N4" i="23" s="1"/>
  <c r="Q4" i="24" s="1"/>
  <c r="AR9" i="63"/>
  <c r="D9" i="63"/>
  <c r="H3" i="23" s="1"/>
  <c r="J3" i="24" s="1"/>
  <c r="AN10" i="73"/>
  <c r="AW10" i="73"/>
  <c r="AZ10" i="73"/>
  <c r="AK10" i="73"/>
  <c r="AT10" i="73"/>
  <c r="AV10" i="73"/>
  <c r="AS10" i="73"/>
  <c r="AS9" i="71"/>
  <c r="D77" i="70"/>
  <c r="H42" i="70" s="1"/>
  <c r="AH34" i="23" s="1"/>
  <c r="M34" i="25" s="1"/>
  <c r="D78" i="69"/>
  <c r="H43" i="69" s="1"/>
  <c r="AD34" i="23" s="1"/>
  <c r="H34" i="25" s="1"/>
  <c r="D78" i="64"/>
  <c r="D77" i="72"/>
  <c r="H42" i="72" s="1"/>
  <c r="AP34" i="23" s="1"/>
  <c r="W34" i="25" s="1"/>
  <c r="D76" i="68"/>
  <c r="H41" i="68" s="1"/>
  <c r="Z34" i="23" s="1"/>
  <c r="C34" i="25" s="1"/>
  <c r="D78" i="67"/>
  <c r="BB9" i="73"/>
  <c r="BA9" i="70"/>
  <c r="N9" i="70" s="1"/>
  <c r="BA9" i="73"/>
  <c r="DG40" i="73"/>
  <c r="CA9" i="73"/>
  <c r="A11" i="72"/>
  <c r="AO5" i="23" s="1"/>
  <c r="U5" i="25" s="1"/>
  <c r="B10" i="72"/>
  <c r="AP4" i="23" s="1"/>
  <c r="V4" i="25" s="1"/>
  <c r="DG39" i="72"/>
  <c r="A12" i="71"/>
  <c r="AK6" i="23" s="1"/>
  <c r="P6" i="25" s="1"/>
  <c r="B11" i="71"/>
  <c r="AL5" i="23" s="1"/>
  <c r="Q5" i="25" s="1"/>
  <c r="DG40" i="71"/>
  <c r="BB9" i="70"/>
  <c r="CA9" i="70"/>
  <c r="AP11" i="70"/>
  <c r="DG39" i="70"/>
  <c r="AV10" i="69"/>
  <c r="AN10" i="69"/>
  <c r="AU10" i="69"/>
  <c r="AM10" i="69"/>
  <c r="AT10" i="69"/>
  <c r="AL10" i="69"/>
  <c r="AS10" i="69"/>
  <c r="AK10" i="69"/>
  <c r="D10" i="69"/>
  <c r="AZ10" i="69"/>
  <c r="AR10" i="69"/>
  <c r="AJ10" i="69"/>
  <c r="AP10" i="69"/>
  <c r="AO10" i="69"/>
  <c r="AI10" i="69"/>
  <c r="AH10" i="69"/>
  <c r="AQ10" i="69"/>
  <c r="AY10" i="69"/>
  <c r="AG10" i="69"/>
  <c r="AX10" i="69"/>
  <c r="AW10" i="69"/>
  <c r="A12" i="69"/>
  <c r="AC6" i="23" s="1"/>
  <c r="F6" i="25" s="1"/>
  <c r="B11" i="69"/>
  <c r="AD5" i="23" s="1"/>
  <c r="G5" i="25" s="1"/>
  <c r="DG40" i="69"/>
  <c r="A12" i="68"/>
  <c r="Y6" i="23" s="1"/>
  <c r="A6" i="25" s="1"/>
  <c r="B11" i="68"/>
  <c r="AW9" i="68"/>
  <c r="AO9" i="68"/>
  <c r="AG9" i="68"/>
  <c r="AV9" i="68"/>
  <c r="AN9" i="68"/>
  <c r="AR9" i="68"/>
  <c r="AH9" i="68"/>
  <c r="AQ9" i="68"/>
  <c r="AZ9" i="68"/>
  <c r="AP9" i="68"/>
  <c r="D9" i="68"/>
  <c r="AY9" i="68"/>
  <c r="AM9" i="68"/>
  <c r="AX9" i="68"/>
  <c r="AL9" i="68"/>
  <c r="AU9" i="68"/>
  <c r="AK9" i="68"/>
  <c r="AT9" i="68"/>
  <c r="AJ9" i="68"/>
  <c r="AS9" i="68"/>
  <c r="AI9" i="68"/>
  <c r="DG40" i="67"/>
  <c r="CA9" i="67"/>
  <c r="BB9" i="67"/>
  <c r="BA9" i="67"/>
  <c r="DG40" i="66"/>
  <c r="AV10" i="66"/>
  <c r="AN10" i="66"/>
  <c r="AU10" i="66"/>
  <c r="AM10" i="66"/>
  <c r="AT10" i="66"/>
  <c r="AL10" i="66"/>
  <c r="AS10" i="66"/>
  <c r="AK10" i="66"/>
  <c r="D10" i="66"/>
  <c r="T4" i="23" s="1"/>
  <c r="Y4" i="24" s="1"/>
  <c r="AZ10" i="66"/>
  <c r="AR10" i="66"/>
  <c r="AJ10" i="66"/>
  <c r="AY10" i="66"/>
  <c r="AQ10" i="66"/>
  <c r="AI10" i="66"/>
  <c r="AX10" i="66"/>
  <c r="AP10" i="66"/>
  <c r="AH10" i="66"/>
  <c r="AW10" i="66"/>
  <c r="AO10" i="66"/>
  <c r="AG10" i="66"/>
  <c r="DG39" i="65"/>
  <c r="B11" i="65"/>
  <c r="N5" i="23" s="1"/>
  <c r="Q5" i="24" s="1"/>
  <c r="A12" i="65"/>
  <c r="M6" i="23" s="1"/>
  <c r="P6" i="24" s="1"/>
  <c r="A12" i="64"/>
  <c r="I6" i="23" s="1"/>
  <c r="K6" i="24" s="1"/>
  <c r="B11" i="64"/>
  <c r="J5" i="23" s="1"/>
  <c r="L5" i="24" s="1"/>
  <c r="AT10" i="64"/>
  <c r="AL10" i="64"/>
  <c r="AS10" i="64"/>
  <c r="AK10" i="64"/>
  <c r="D10" i="64"/>
  <c r="L4" i="23" s="1"/>
  <c r="O4" i="24" s="1"/>
  <c r="AZ10" i="64"/>
  <c r="AR10" i="64"/>
  <c r="AJ10" i="64"/>
  <c r="AY10" i="64"/>
  <c r="AQ10" i="64"/>
  <c r="AI10" i="64"/>
  <c r="AX10" i="64"/>
  <c r="AP10" i="64"/>
  <c r="AH10" i="64"/>
  <c r="AW10" i="64"/>
  <c r="AO10" i="64"/>
  <c r="AG10" i="64"/>
  <c r="AV10" i="64"/>
  <c r="AN10" i="64"/>
  <c r="AU10" i="64"/>
  <c r="AM10" i="64"/>
  <c r="DG40" i="64"/>
  <c r="AQ9" i="63"/>
  <c r="AK9" i="63"/>
  <c r="AG9" i="63"/>
  <c r="AS9" i="63"/>
  <c r="AO9" i="63"/>
  <c r="AH9" i="63"/>
  <c r="A12" i="63"/>
  <c r="E6" i="23" s="1"/>
  <c r="F6" i="24" s="1"/>
  <c r="B11" i="63"/>
  <c r="F5" i="23" s="1"/>
  <c r="G5" i="24" s="1"/>
  <c r="DG39" i="63"/>
  <c r="E15" i="62"/>
  <c r="AF13" i="66" s="1"/>
  <c r="AF40" i="66" s="1"/>
  <c r="F6" i="62"/>
  <c r="A1" i="23" s="1"/>
  <c r="AO1" i="61"/>
  <c r="E104" i="1"/>
  <c r="J63" i="1"/>
  <c r="H43" i="67" l="1"/>
  <c r="V34" i="23" s="1"/>
  <c r="AB34" i="24" s="1"/>
  <c r="BA9" i="72"/>
  <c r="N9" i="72" s="1"/>
  <c r="BB9" i="72"/>
  <c r="Z5" i="23"/>
  <c r="B5" i="25" s="1"/>
  <c r="CL11" i="68"/>
  <c r="CF11" i="68"/>
  <c r="CO11" i="68"/>
  <c r="CW11" i="68"/>
  <c r="BK11" i="68"/>
  <c r="BT11" i="68"/>
  <c r="CG11" i="68"/>
  <c r="CP11" i="68"/>
  <c r="BM11" i="68"/>
  <c r="BU11" i="68"/>
  <c r="CH11" i="68"/>
  <c r="CQ11" i="68"/>
  <c r="BN11" i="68"/>
  <c r="BV11" i="68"/>
  <c r="CI11" i="68"/>
  <c r="CR11" i="68"/>
  <c r="BO11" i="68"/>
  <c r="BW11" i="68"/>
  <c r="CJ11" i="68"/>
  <c r="CS11" i="68"/>
  <c r="BP11" i="68"/>
  <c r="BX11" i="68"/>
  <c r="CK11" i="68"/>
  <c r="CT11" i="68"/>
  <c r="BH11" i="68"/>
  <c r="BQ11" i="68"/>
  <c r="BY11" i="68"/>
  <c r="CM11" i="68"/>
  <c r="CU11" i="68"/>
  <c r="BI11" i="68"/>
  <c r="BR11" i="68"/>
  <c r="BZ11" i="68"/>
  <c r="CE11" i="68"/>
  <c r="CN11" i="68"/>
  <c r="CV11" i="68"/>
  <c r="BJ11" i="68"/>
  <c r="BS11" i="68"/>
  <c r="BL11" i="68"/>
  <c r="BG11" i="68"/>
  <c r="CD11" i="68"/>
  <c r="CL10" i="68"/>
  <c r="CH10" i="68"/>
  <c r="CQ10" i="68"/>
  <c r="BN10" i="68"/>
  <c r="BV10" i="68"/>
  <c r="CI10" i="68"/>
  <c r="CR10" i="68"/>
  <c r="BG10" i="68"/>
  <c r="BO10" i="68"/>
  <c r="BW10" i="68"/>
  <c r="CJ10" i="68"/>
  <c r="CS10" i="68"/>
  <c r="BH10" i="68"/>
  <c r="BP10" i="68"/>
  <c r="BX10" i="68"/>
  <c r="CK10" i="68"/>
  <c r="CT10" i="68"/>
  <c r="BI10" i="68"/>
  <c r="BQ10" i="68"/>
  <c r="BY10" i="68"/>
  <c r="CD10" i="68"/>
  <c r="CM10" i="68"/>
  <c r="CU10" i="68"/>
  <c r="BJ10" i="68"/>
  <c r="BR10" i="68"/>
  <c r="BZ10" i="68"/>
  <c r="CE10" i="68"/>
  <c r="CN10" i="68"/>
  <c r="CV10" i="68"/>
  <c r="BK10" i="68"/>
  <c r="BS10" i="68"/>
  <c r="CF10" i="68"/>
  <c r="CO10" i="68"/>
  <c r="CW10" i="68"/>
  <c r="BL10" i="68"/>
  <c r="BT10" i="68"/>
  <c r="CG10" i="68"/>
  <c r="CP10" i="68"/>
  <c r="BM10" i="68"/>
  <c r="BU10" i="68"/>
  <c r="AX10" i="68"/>
  <c r="CX9" i="68"/>
  <c r="AR10" i="68"/>
  <c r="BA9" i="65"/>
  <c r="BB9" i="65"/>
  <c r="P9" i="73"/>
  <c r="AM10" i="68"/>
  <c r="AG10" i="68"/>
  <c r="AJ10" i="68"/>
  <c r="AU10" i="68"/>
  <c r="AO10" i="68"/>
  <c r="BB10" i="71"/>
  <c r="AK10" i="68"/>
  <c r="AZ10" i="68"/>
  <c r="AH10" i="68"/>
  <c r="AT10" i="68"/>
  <c r="AY10" i="68"/>
  <c r="AQ10" i="68"/>
  <c r="D10" i="68"/>
  <c r="AL10" i="68"/>
  <c r="AW10" i="68"/>
  <c r="Z4" i="23"/>
  <c r="B4" i="25" s="1"/>
  <c r="AV10" i="68"/>
  <c r="AN10" i="68"/>
  <c r="AP10" i="68"/>
  <c r="AS10" i="68"/>
  <c r="H45" i="65"/>
  <c r="N34" i="23"/>
  <c r="R34" i="24" s="1"/>
  <c r="H46" i="66"/>
  <c r="R34" i="23"/>
  <c r="W34" i="24" s="1"/>
  <c r="H46" i="71"/>
  <c r="AL34" i="23"/>
  <c r="R34" i="25" s="1"/>
  <c r="AB34" i="25"/>
  <c r="H43" i="64"/>
  <c r="A12" i="73"/>
  <c r="AS6" i="23" s="1"/>
  <c r="Z6" i="25" s="1"/>
  <c r="AS5" i="23"/>
  <c r="Z5" i="25" s="1"/>
  <c r="A12" i="70"/>
  <c r="AG5" i="23"/>
  <c r="K5" i="25" s="1"/>
  <c r="AG11" i="70"/>
  <c r="AH5" i="23"/>
  <c r="L5" i="25" s="1"/>
  <c r="AK11" i="70"/>
  <c r="AI11" i="70"/>
  <c r="AJ10" i="70"/>
  <c r="AU11" i="70"/>
  <c r="AY11" i="70"/>
  <c r="AQ11" i="70"/>
  <c r="AN11" i="70"/>
  <c r="AV11" i="70"/>
  <c r="AF3" i="23"/>
  <c r="J3" i="25"/>
  <c r="AT10" i="70"/>
  <c r="AH4" i="23"/>
  <c r="L4" i="25" s="1"/>
  <c r="J4" i="25"/>
  <c r="AF4" i="23"/>
  <c r="AL11" i="70"/>
  <c r="AJ11" i="70"/>
  <c r="AX11" i="70"/>
  <c r="AV4" i="23"/>
  <c r="AD4" i="25"/>
  <c r="T4" i="25"/>
  <c r="AN4" i="23"/>
  <c r="AN3" i="23"/>
  <c r="T3" i="25"/>
  <c r="E3" i="25"/>
  <c r="AB3" i="23"/>
  <c r="AT11" i="70"/>
  <c r="D11" i="70"/>
  <c r="B11" i="67"/>
  <c r="U5" i="23"/>
  <c r="Z5" i="24" s="1"/>
  <c r="A12" i="67"/>
  <c r="B11" i="66"/>
  <c r="Q5" i="23"/>
  <c r="U5" i="24" s="1"/>
  <c r="A12" i="66"/>
  <c r="F4" i="23"/>
  <c r="G4" i="24" s="1"/>
  <c r="AM10" i="63"/>
  <c r="AW10" i="63"/>
  <c r="AZ10" i="63"/>
  <c r="AR10" i="63"/>
  <c r="AJ10" i="63"/>
  <c r="AT10" i="63"/>
  <c r="AO10" i="63"/>
  <c r="AN10" i="63"/>
  <c r="AV10" i="63"/>
  <c r="AY10" i="63"/>
  <c r="AS10" i="63"/>
  <c r="AX10" i="63"/>
  <c r="AK10" i="63"/>
  <c r="AL10" i="63"/>
  <c r="AU10" i="63"/>
  <c r="AG10" i="63"/>
  <c r="AQ10" i="63"/>
  <c r="AH10" i="63"/>
  <c r="AP10" i="63"/>
  <c r="AI10" i="63"/>
  <c r="D10" i="63"/>
  <c r="H4" i="23" s="1"/>
  <c r="J4" i="24" s="1"/>
  <c r="BA10" i="71"/>
  <c r="N10" i="71" s="1"/>
  <c r="AS11" i="70"/>
  <c r="AX10" i="70"/>
  <c r="BB9" i="69"/>
  <c r="AL10" i="70"/>
  <c r="AO11" i="70"/>
  <c r="AH11" i="70"/>
  <c r="AW11" i="70"/>
  <c r="AZ11" i="70"/>
  <c r="AR10" i="70"/>
  <c r="AM11" i="70"/>
  <c r="AR11" i="70"/>
  <c r="V53" i="64"/>
  <c r="V44" i="65" s="1"/>
  <c r="H44" i="68"/>
  <c r="D5" i="74"/>
  <c r="D25" i="74" s="1"/>
  <c r="D27" i="74" s="1"/>
  <c r="D10" i="70"/>
  <c r="AS10" i="70"/>
  <c r="AO10" i="70"/>
  <c r="AI10" i="70"/>
  <c r="AW10" i="70"/>
  <c r="AY10" i="70"/>
  <c r="AG10" i="70"/>
  <c r="AN10" i="70"/>
  <c r="AP10" i="70"/>
  <c r="AH10" i="70"/>
  <c r="AV10" i="70"/>
  <c r="AQ10" i="70"/>
  <c r="AM10" i="70"/>
  <c r="AZ10" i="70"/>
  <c r="AU10" i="70"/>
  <c r="AK10" i="70"/>
  <c r="AL10" i="65"/>
  <c r="AT10" i="65"/>
  <c r="AU10" i="65"/>
  <c r="D10" i="65"/>
  <c r="P4" i="23" s="1"/>
  <c r="T4" i="24" s="1"/>
  <c r="AI10" i="65"/>
  <c r="AJ10" i="65"/>
  <c r="B11" i="73"/>
  <c r="AK11" i="73" s="1"/>
  <c r="AR10" i="65"/>
  <c r="AK10" i="65"/>
  <c r="AX10" i="65"/>
  <c r="AO10" i="65"/>
  <c r="AP10" i="65"/>
  <c r="AG10" i="65"/>
  <c r="AQ10" i="65"/>
  <c r="AZ10" i="65"/>
  <c r="AS10" i="65"/>
  <c r="AN10" i="65"/>
  <c r="AW10" i="65"/>
  <c r="AY10" i="65"/>
  <c r="AV10" i="65"/>
  <c r="AM10" i="65"/>
  <c r="BB9" i="66"/>
  <c r="F51" i="50"/>
  <c r="BA9" i="69"/>
  <c r="N9" i="69" s="1"/>
  <c r="AZ10" i="67"/>
  <c r="AR10" i="67"/>
  <c r="AW10" i="67"/>
  <c r="AG10" i="67"/>
  <c r="AO10" i="67"/>
  <c r="AQ10" i="67"/>
  <c r="AJ10" i="67"/>
  <c r="AV10" i="67"/>
  <c r="AY10" i="67"/>
  <c r="AN10" i="67"/>
  <c r="AI10" i="67"/>
  <c r="AX10" i="67"/>
  <c r="D10" i="67"/>
  <c r="X4" i="23" s="1"/>
  <c r="AD4" i="24" s="1"/>
  <c r="AL10" i="67"/>
  <c r="AU10" i="67"/>
  <c r="AK10" i="67"/>
  <c r="AT10" i="67"/>
  <c r="AH10" i="67"/>
  <c r="AM10" i="67"/>
  <c r="AP10" i="67"/>
  <c r="AS10" i="67"/>
  <c r="BA9" i="66"/>
  <c r="N9" i="66" s="1"/>
  <c r="AH10" i="65"/>
  <c r="BB9" i="64"/>
  <c r="CA9" i="64"/>
  <c r="O9" i="64" s="1"/>
  <c r="BA9" i="64"/>
  <c r="N9" i="64" s="1"/>
  <c r="H45" i="63"/>
  <c r="I44" i="71"/>
  <c r="I45" i="73"/>
  <c r="I44" i="73"/>
  <c r="I44" i="72"/>
  <c r="I44" i="66"/>
  <c r="I44" i="63"/>
  <c r="I44" i="65"/>
  <c r="I43" i="70"/>
  <c r="I43" i="72"/>
  <c r="I45" i="69"/>
  <c r="I43" i="63"/>
  <c r="I44" i="69"/>
  <c r="I43" i="68"/>
  <c r="I42" i="68"/>
  <c r="I45" i="64"/>
  <c r="I44" i="64"/>
  <c r="I45" i="71"/>
  <c r="I43" i="65"/>
  <c r="I44" i="70"/>
  <c r="I45" i="66"/>
  <c r="I45" i="67"/>
  <c r="I44" i="67"/>
  <c r="H46" i="73"/>
  <c r="H45" i="70"/>
  <c r="H46" i="69"/>
  <c r="F34" i="50"/>
  <c r="F6" i="50"/>
  <c r="F25" i="50" s="1"/>
  <c r="P10" i="73"/>
  <c r="BB9" i="71"/>
  <c r="CA10" i="73"/>
  <c r="O10" i="73" s="1"/>
  <c r="Z9" i="73" s="1"/>
  <c r="BA9" i="71"/>
  <c r="N9" i="71" s="1"/>
  <c r="BA10" i="73"/>
  <c r="N10" i="73" s="1"/>
  <c r="BB9" i="63"/>
  <c r="BB10" i="73"/>
  <c r="H46" i="67"/>
  <c r="H45" i="72"/>
  <c r="N9" i="73"/>
  <c r="O9" i="73"/>
  <c r="B12" i="73"/>
  <c r="AT6" i="23" s="1"/>
  <c r="AA6" i="25" s="1"/>
  <c r="A13" i="73"/>
  <c r="AS7" i="23" s="1"/>
  <c r="Z7" i="25" s="1"/>
  <c r="AW10" i="72"/>
  <c r="AO10" i="72"/>
  <c r="AG10" i="72"/>
  <c r="AV10" i="72"/>
  <c r="AN10" i="72"/>
  <c r="AU10" i="72"/>
  <c r="AM10" i="72"/>
  <c r="AT10" i="72"/>
  <c r="AL10" i="72"/>
  <c r="AS10" i="72"/>
  <c r="AK10" i="72"/>
  <c r="D10" i="72"/>
  <c r="AZ10" i="72"/>
  <c r="AR10" i="72"/>
  <c r="AJ10" i="72"/>
  <c r="AY10" i="72"/>
  <c r="AQ10" i="72"/>
  <c r="AI10" i="72"/>
  <c r="AX10" i="72"/>
  <c r="AP10" i="72"/>
  <c r="AH10" i="72"/>
  <c r="B11" i="72"/>
  <c r="AP5" i="23" s="1"/>
  <c r="V5" i="25" s="1"/>
  <c r="A12" i="72"/>
  <c r="AO6" i="23" s="1"/>
  <c r="U6" i="25" s="1"/>
  <c r="AV11" i="71"/>
  <c r="AN11" i="71"/>
  <c r="AU11" i="71"/>
  <c r="AM11" i="71"/>
  <c r="AT11" i="71"/>
  <c r="AL11" i="71"/>
  <c r="AS11" i="71"/>
  <c r="AK11" i="71"/>
  <c r="D11" i="71"/>
  <c r="AW11" i="71"/>
  <c r="AG11" i="71"/>
  <c r="AR11" i="71"/>
  <c r="AQ11" i="71"/>
  <c r="AP11" i="71"/>
  <c r="AO11" i="71"/>
  <c r="AZ11" i="71"/>
  <c r="AJ11" i="71"/>
  <c r="AY11" i="71"/>
  <c r="AI11" i="71"/>
  <c r="AX11" i="71"/>
  <c r="AH11" i="71"/>
  <c r="A13" i="71"/>
  <c r="AK7" i="23" s="1"/>
  <c r="P7" i="25" s="1"/>
  <c r="B12" i="71"/>
  <c r="AL6" i="23" s="1"/>
  <c r="Q6" i="25" s="1"/>
  <c r="O9" i="70"/>
  <c r="B12" i="69"/>
  <c r="AD6" i="23" s="1"/>
  <c r="G6" i="25" s="1"/>
  <c r="A13" i="69"/>
  <c r="AC7" i="23" s="1"/>
  <c r="F7" i="25" s="1"/>
  <c r="AY11" i="69"/>
  <c r="AQ11" i="69"/>
  <c r="AI11" i="69"/>
  <c r="AX11" i="69"/>
  <c r="AP11" i="69"/>
  <c r="AH11" i="69"/>
  <c r="AW11" i="69"/>
  <c r="AO11" i="69"/>
  <c r="AG11" i="69"/>
  <c r="AV11" i="69"/>
  <c r="AN11" i="69"/>
  <c r="AU11" i="69"/>
  <c r="AM11" i="69"/>
  <c r="AR11" i="69"/>
  <c r="AL11" i="69"/>
  <c r="AS11" i="69"/>
  <c r="AK11" i="69"/>
  <c r="AJ11" i="69"/>
  <c r="D11" i="69"/>
  <c r="AZ11" i="69"/>
  <c r="AT11" i="69"/>
  <c r="BB10" i="69"/>
  <c r="BA10" i="69"/>
  <c r="BB9" i="68"/>
  <c r="BA9" i="68"/>
  <c r="AU11" i="68"/>
  <c r="AM11" i="68"/>
  <c r="AT11" i="68"/>
  <c r="AL11" i="68"/>
  <c r="AR11" i="68"/>
  <c r="AH11" i="68"/>
  <c r="AQ11" i="68"/>
  <c r="AG11" i="68"/>
  <c r="AZ11" i="68"/>
  <c r="AP11" i="68"/>
  <c r="AY11" i="68"/>
  <c r="AO11" i="68"/>
  <c r="D11" i="68"/>
  <c r="AX11" i="68"/>
  <c r="AN11" i="68"/>
  <c r="AW11" i="68"/>
  <c r="AK11" i="68"/>
  <c r="AV11" i="68"/>
  <c r="AJ11" i="68"/>
  <c r="AS11" i="68"/>
  <c r="AI11" i="68"/>
  <c r="A13" i="68"/>
  <c r="Y7" i="23" s="1"/>
  <c r="A7" i="25" s="1"/>
  <c r="B12" i="68"/>
  <c r="N9" i="67"/>
  <c r="O9" i="67"/>
  <c r="BB10" i="66"/>
  <c r="BA10" i="66"/>
  <c r="N9" i="65"/>
  <c r="A13" i="65"/>
  <c r="M7" i="23" s="1"/>
  <c r="P7" i="24" s="1"/>
  <c r="B12" i="65"/>
  <c r="N6" i="23" s="1"/>
  <c r="Q6" i="24" s="1"/>
  <c r="AS11" i="65"/>
  <c r="AK11" i="65"/>
  <c r="D11" i="65"/>
  <c r="P5" i="23" s="1"/>
  <c r="T5" i="24" s="1"/>
  <c r="AZ11" i="65"/>
  <c r="AR11" i="65"/>
  <c r="AJ11" i="65"/>
  <c r="AY11" i="65"/>
  <c r="AQ11" i="65"/>
  <c r="AI11" i="65"/>
  <c r="AX11" i="65"/>
  <c r="AP11" i="65"/>
  <c r="AH11" i="65"/>
  <c r="AW11" i="65"/>
  <c r="AO11" i="65"/>
  <c r="AG11" i="65"/>
  <c r="AV11" i="65"/>
  <c r="AN11" i="65"/>
  <c r="AU11" i="65"/>
  <c r="AM11" i="65"/>
  <c r="AT11" i="65"/>
  <c r="AL11" i="65"/>
  <c r="BB10" i="64"/>
  <c r="BA10" i="64"/>
  <c r="N10" i="64" s="1"/>
  <c r="AW11" i="64"/>
  <c r="AO11" i="64"/>
  <c r="AG11" i="64"/>
  <c r="AV11" i="64"/>
  <c r="AN11" i="64"/>
  <c r="AU11" i="64"/>
  <c r="AM11" i="64"/>
  <c r="AT11" i="64"/>
  <c r="AL11" i="64"/>
  <c r="AS11" i="64"/>
  <c r="AK11" i="64"/>
  <c r="D11" i="64"/>
  <c r="L5" i="23" s="1"/>
  <c r="O5" i="24" s="1"/>
  <c r="AZ11" i="64"/>
  <c r="AR11" i="64"/>
  <c r="AJ11" i="64"/>
  <c r="AY11" i="64"/>
  <c r="AQ11" i="64"/>
  <c r="AI11" i="64"/>
  <c r="AX11" i="64"/>
  <c r="AP11" i="64"/>
  <c r="AH11" i="64"/>
  <c r="A13" i="64"/>
  <c r="I7" i="23" s="1"/>
  <c r="K7" i="24" s="1"/>
  <c r="B12" i="64"/>
  <c r="J6" i="23" s="1"/>
  <c r="L6" i="24" s="1"/>
  <c r="CA10" i="64"/>
  <c r="O10" i="64" s="1"/>
  <c r="BA9" i="63"/>
  <c r="N9" i="63" s="1"/>
  <c r="AW11" i="63"/>
  <c r="AO11" i="63"/>
  <c r="AG11" i="63"/>
  <c r="AV11" i="63"/>
  <c r="AN11" i="63"/>
  <c r="AT11" i="63"/>
  <c r="AU11" i="63"/>
  <c r="AM11" i="63"/>
  <c r="AL11" i="63"/>
  <c r="AS11" i="63"/>
  <c r="AK11" i="63"/>
  <c r="D11" i="63"/>
  <c r="H5" i="23" s="1"/>
  <c r="J5" i="24" s="1"/>
  <c r="AZ11" i="63"/>
  <c r="AR11" i="63"/>
  <c r="AJ11" i="63"/>
  <c r="AY11" i="63"/>
  <c r="AX11" i="63"/>
  <c r="AP11" i="63"/>
  <c r="AQ11" i="63"/>
  <c r="AI11" i="63"/>
  <c r="AH11" i="63"/>
  <c r="B12" i="63"/>
  <c r="F6" i="23" s="1"/>
  <c r="G6" i="24" s="1"/>
  <c r="A13" i="63"/>
  <c r="E7" i="23" s="1"/>
  <c r="F7" i="24" s="1"/>
  <c r="AA10" i="41"/>
  <c r="Z11" i="41"/>
  <c r="Z12" i="41"/>
  <c r="Z13" i="41"/>
  <c r="Z14" i="41"/>
  <c r="Z17" i="41"/>
  <c r="Z18" i="41"/>
  <c r="Z19" i="41"/>
  <c r="Z20" i="41"/>
  <c r="Z21" i="41"/>
  <c r="Z22" i="41"/>
  <c r="Z24" i="41"/>
  <c r="Z26" i="41"/>
  <c r="Z27" i="41"/>
  <c r="Z28" i="41"/>
  <c r="Z29" i="41"/>
  <c r="Z30" i="41"/>
  <c r="Z31" i="41"/>
  <c r="Z32" i="41"/>
  <c r="Z33" i="41"/>
  <c r="Z34" i="41"/>
  <c r="Z35" i="41"/>
  <c r="Z36" i="41"/>
  <c r="Z37" i="41"/>
  <c r="Z39" i="41"/>
  <c r="Z40" i="41"/>
  <c r="A52" i="41"/>
  <c r="A47" i="41"/>
  <c r="A46" i="41"/>
  <c r="A45" i="41"/>
  <c r="A43" i="41"/>
  <c r="B17" i="46"/>
  <c r="B18" i="46"/>
  <c r="B19" i="46"/>
  <c r="B20" i="46"/>
  <c r="B21" i="46"/>
  <c r="B22" i="46"/>
  <c r="A17" i="46"/>
  <c r="A18" i="46"/>
  <c r="A19" i="46"/>
  <c r="A20" i="46"/>
  <c r="A21" i="46"/>
  <c r="A22"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C22" i="46"/>
  <c r="D22" i="46"/>
  <c r="E22" i="46"/>
  <c r="F22" i="46"/>
  <c r="G22" i="46"/>
  <c r="D4" i="46"/>
  <c r="E4" i="46"/>
  <c r="F4" i="46"/>
  <c r="G4" i="46"/>
  <c r="C4" i="46"/>
  <c r="A1" i="46"/>
  <c r="AB4" i="23" l="1"/>
  <c r="E4" i="25" s="1"/>
  <c r="AB5" i="23"/>
  <c r="E5" i="25" s="1"/>
  <c r="CX10" i="68"/>
  <c r="CL12" i="68"/>
  <c r="CN12" i="68"/>
  <c r="CV12" i="68"/>
  <c r="BI12" i="68"/>
  <c r="BR12" i="68"/>
  <c r="BZ12" i="68"/>
  <c r="CD12" i="68"/>
  <c r="CO12" i="68"/>
  <c r="CW12" i="68"/>
  <c r="BJ12" i="68"/>
  <c r="BS12" i="68"/>
  <c r="CF12" i="68"/>
  <c r="CP12" i="68"/>
  <c r="BK12" i="68"/>
  <c r="BT12" i="68"/>
  <c r="CG12" i="68"/>
  <c r="CQ12" i="68"/>
  <c r="BL12" i="68"/>
  <c r="BU12" i="68"/>
  <c r="CH12" i="68"/>
  <c r="CR12" i="68"/>
  <c r="BN12" i="68"/>
  <c r="BV12" i="68"/>
  <c r="CI12" i="68"/>
  <c r="CS12" i="68"/>
  <c r="BO12" i="68"/>
  <c r="BW12" i="68"/>
  <c r="CK12" i="68"/>
  <c r="CT12" i="68"/>
  <c r="BP12" i="68"/>
  <c r="BX12" i="68"/>
  <c r="CM12" i="68"/>
  <c r="CU12" i="68"/>
  <c r="BG12" i="68"/>
  <c r="BQ12" i="68"/>
  <c r="BY12" i="68"/>
  <c r="BH12" i="68"/>
  <c r="CE12" i="68"/>
  <c r="CJ12" i="68"/>
  <c r="BM12" i="68"/>
  <c r="CX11" i="68"/>
  <c r="BB10" i="68"/>
  <c r="BA10" i="68"/>
  <c r="N10" i="68" s="1"/>
  <c r="H46" i="64"/>
  <c r="J34" i="23"/>
  <c r="BB11" i="70"/>
  <c r="AG6" i="23"/>
  <c r="K6" i="25" s="1"/>
  <c r="A13" i="70"/>
  <c r="B12" i="70"/>
  <c r="T5" i="25"/>
  <c r="AN5" i="23"/>
  <c r="O5" i="25"/>
  <c r="AJ5" i="23"/>
  <c r="AT5" i="23"/>
  <c r="AA5" i="25" s="1"/>
  <c r="AJ4" i="23"/>
  <c r="O4" i="25"/>
  <c r="U6" i="23"/>
  <c r="Z6" i="24" s="1"/>
  <c r="B12" i="67"/>
  <c r="A13" i="67"/>
  <c r="V5" i="23"/>
  <c r="AA5" i="24" s="1"/>
  <c r="AO11" i="67"/>
  <c r="AX11" i="67"/>
  <c r="AS11" i="67"/>
  <c r="AP11" i="67"/>
  <c r="AG11" i="67"/>
  <c r="AL11" i="67"/>
  <c r="AI11" i="67"/>
  <c r="D11" i="67"/>
  <c r="X5" i="23" s="1"/>
  <c r="AD5" i="24" s="1"/>
  <c r="AN11" i="67"/>
  <c r="AZ11" i="67"/>
  <c r="AY11" i="67"/>
  <c r="AT11" i="67"/>
  <c r="AH11" i="67"/>
  <c r="AM11" i="67"/>
  <c r="AJ11" i="67"/>
  <c r="AQ11" i="67"/>
  <c r="AU11" i="67"/>
  <c r="AV11" i="67"/>
  <c r="AK11" i="67"/>
  <c r="AR11" i="67"/>
  <c r="AW11" i="67"/>
  <c r="AR4" i="23"/>
  <c r="Y4" i="25"/>
  <c r="Z6" i="23"/>
  <c r="B6" i="25" s="1"/>
  <c r="J5" i="25"/>
  <c r="AF5" i="23"/>
  <c r="Q6" i="23"/>
  <c r="U6" i="24" s="1"/>
  <c r="A13" i="66"/>
  <c r="B12" i="66"/>
  <c r="R5" i="23"/>
  <c r="V5" i="24" s="1"/>
  <c r="AX11" i="66"/>
  <c r="AK11" i="66"/>
  <c r="D11" i="66"/>
  <c r="T5" i="23" s="1"/>
  <c r="Y5" i="24" s="1"/>
  <c r="AG11" i="66"/>
  <c r="AU11" i="66"/>
  <c r="AZ11" i="66"/>
  <c r="AY11" i="66"/>
  <c r="AM11" i="66"/>
  <c r="AS11" i="66"/>
  <c r="AV11" i="66"/>
  <c r="AH11" i="66"/>
  <c r="AR11" i="66"/>
  <c r="AQ11" i="66"/>
  <c r="AW11" i="66"/>
  <c r="AT11" i="66"/>
  <c r="AJ11" i="66"/>
  <c r="AI11" i="66"/>
  <c r="AP11" i="66"/>
  <c r="AL11" i="66"/>
  <c r="AN11" i="66"/>
  <c r="AO11" i="66"/>
  <c r="BA10" i="63"/>
  <c r="N10" i="63" s="1"/>
  <c r="BB10" i="63"/>
  <c r="V45" i="65"/>
  <c r="V52" i="65" s="1"/>
  <c r="V45" i="66" s="1"/>
  <c r="BA11" i="70"/>
  <c r="N11" i="70" s="1"/>
  <c r="CA11" i="70"/>
  <c r="O11" i="70" s="1"/>
  <c r="AR11" i="73"/>
  <c r="AH11" i="73"/>
  <c r="AI11" i="73"/>
  <c r="AZ11" i="73"/>
  <c r="AT11" i="73"/>
  <c r="AQ11" i="73"/>
  <c r="AY11" i="73"/>
  <c r="AV11" i="73"/>
  <c r="BB10" i="70"/>
  <c r="BA10" i="70"/>
  <c r="N10" i="70" s="1"/>
  <c r="D31" i="74"/>
  <c r="D29" i="74"/>
  <c r="D33" i="74"/>
  <c r="CA10" i="70"/>
  <c r="O10" i="70" s="1"/>
  <c r="AN11" i="73"/>
  <c r="AO11" i="73"/>
  <c r="AW11" i="73"/>
  <c r="AJ11" i="73"/>
  <c r="AP11" i="73"/>
  <c r="AS11" i="73"/>
  <c r="AX11" i="73"/>
  <c r="AG11" i="73"/>
  <c r="BB10" i="67"/>
  <c r="AM11" i="73"/>
  <c r="D11" i="73"/>
  <c r="AL11" i="73"/>
  <c r="AU11" i="73"/>
  <c r="BB10" i="65"/>
  <c r="BA10" i="65"/>
  <c r="N10" i="65" s="1"/>
  <c r="P10" i="67"/>
  <c r="BA10" i="67"/>
  <c r="N10" i="67" s="1"/>
  <c r="CA10" i="67"/>
  <c r="O10" i="67" s="1"/>
  <c r="F26" i="50"/>
  <c r="Q10" i="73"/>
  <c r="A14" i="73"/>
  <c r="AS8" i="23" s="1"/>
  <c r="Z8" i="25" s="1"/>
  <c r="B13" i="73"/>
  <c r="AT7" i="23" s="1"/>
  <c r="AA7" i="25" s="1"/>
  <c r="AS12" i="73"/>
  <c r="AK12" i="73"/>
  <c r="D12" i="73"/>
  <c r="AZ12" i="73"/>
  <c r="AR12" i="73"/>
  <c r="AJ12" i="73"/>
  <c r="AY12" i="73"/>
  <c r="AQ12" i="73"/>
  <c r="AI12" i="73"/>
  <c r="AX12" i="73"/>
  <c r="AP12" i="73"/>
  <c r="AH12" i="73"/>
  <c r="AW12" i="73"/>
  <c r="AO12" i="73"/>
  <c r="AG12" i="73"/>
  <c r="AV12" i="73"/>
  <c r="AN12" i="73"/>
  <c r="AU12" i="73"/>
  <c r="AM12" i="73"/>
  <c r="AT12" i="73"/>
  <c r="AL12" i="73"/>
  <c r="Q9" i="73"/>
  <c r="AZ11" i="72"/>
  <c r="AR11" i="72"/>
  <c r="AJ11" i="72"/>
  <c r="AY11" i="72"/>
  <c r="AQ11" i="72"/>
  <c r="AI11" i="72"/>
  <c r="AX11" i="72"/>
  <c r="AP11" i="72"/>
  <c r="AH11" i="72"/>
  <c r="AW11" i="72"/>
  <c r="AO11" i="72"/>
  <c r="AG11" i="72"/>
  <c r="AV11" i="72"/>
  <c r="AN11" i="72"/>
  <c r="AU11" i="72"/>
  <c r="AM11" i="72"/>
  <c r="AT11" i="72"/>
  <c r="AL11" i="72"/>
  <c r="AS11" i="72"/>
  <c r="AK11" i="72"/>
  <c r="D11" i="72"/>
  <c r="BB10" i="72"/>
  <c r="BA10" i="72"/>
  <c r="B12" i="72"/>
  <c r="AP6" i="23" s="1"/>
  <c r="V6" i="25" s="1"/>
  <c r="A13" i="72"/>
  <c r="AO7" i="23" s="1"/>
  <c r="U7" i="25" s="1"/>
  <c r="B13" i="71"/>
  <c r="AL7" i="23" s="1"/>
  <c r="Q7" i="25" s="1"/>
  <c r="A14" i="71"/>
  <c r="AK8" i="23" s="1"/>
  <c r="P8" i="25" s="1"/>
  <c r="BB11" i="71"/>
  <c r="BA11" i="71"/>
  <c r="AY12" i="71"/>
  <c r="AQ12" i="71"/>
  <c r="AI12" i="71"/>
  <c r="AX12" i="71"/>
  <c r="AP12" i="71"/>
  <c r="AH12" i="71"/>
  <c r="AW12" i="71"/>
  <c r="AO12" i="71"/>
  <c r="AG12" i="71"/>
  <c r="AV12" i="71"/>
  <c r="AN12" i="71"/>
  <c r="AS12" i="71"/>
  <c r="AR12" i="71"/>
  <c r="AM12" i="71"/>
  <c r="AL12" i="71"/>
  <c r="AK12" i="71"/>
  <c r="AZ12" i="71"/>
  <c r="AJ12" i="71"/>
  <c r="AU12" i="71"/>
  <c r="AT12" i="71"/>
  <c r="D12" i="71"/>
  <c r="N10" i="69"/>
  <c r="BB11" i="69"/>
  <c r="BA11" i="69"/>
  <c r="N11" i="69" s="1"/>
  <c r="A14" i="69"/>
  <c r="AC8" i="23" s="1"/>
  <c r="F8" i="25" s="1"/>
  <c r="B13" i="69"/>
  <c r="AD7" i="23" s="1"/>
  <c r="G7" i="25" s="1"/>
  <c r="AT12" i="69"/>
  <c r="AL12" i="69"/>
  <c r="AS12" i="69"/>
  <c r="AK12" i="69"/>
  <c r="D12" i="69"/>
  <c r="AZ12" i="69"/>
  <c r="AR12" i="69"/>
  <c r="AJ12" i="69"/>
  <c r="AY12" i="69"/>
  <c r="AQ12" i="69"/>
  <c r="AI12" i="69"/>
  <c r="AX12" i="69"/>
  <c r="AP12" i="69"/>
  <c r="AH12" i="69"/>
  <c r="AW12" i="69"/>
  <c r="AO12" i="69"/>
  <c r="AG12" i="69"/>
  <c r="AV12" i="69"/>
  <c r="AN12" i="69"/>
  <c r="AU12" i="69"/>
  <c r="AM12" i="69"/>
  <c r="AV12" i="68"/>
  <c r="AN12" i="68"/>
  <c r="AU12" i="68"/>
  <c r="AM12" i="68"/>
  <c r="AT12" i="68"/>
  <c r="AJ12" i="68"/>
  <c r="AS12" i="68"/>
  <c r="AI12" i="68"/>
  <c r="AQ12" i="68"/>
  <c r="D12" i="68"/>
  <c r="AP12" i="68"/>
  <c r="AO12" i="68"/>
  <c r="AZ12" i="68"/>
  <c r="AL12" i="68"/>
  <c r="AY12" i="68"/>
  <c r="AK12" i="68"/>
  <c r="AX12" i="68"/>
  <c r="AH12" i="68"/>
  <c r="AW12" i="68"/>
  <c r="AG12" i="68"/>
  <c r="AR12" i="68"/>
  <c r="B13" i="68"/>
  <c r="A14" i="68"/>
  <c r="Y8" i="23" s="1"/>
  <c r="A8" i="25" s="1"/>
  <c r="N9" i="68"/>
  <c r="BB11" i="68"/>
  <c r="BA11" i="68"/>
  <c r="N11" i="68" s="1"/>
  <c r="Q9" i="67"/>
  <c r="N10" i="66"/>
  <c r="Y9" i="66" s="1"/>
  <c r="BB11" i="65"/>
  <c r="BA11" i="65"/>
  <c r="N11" i="65" s="1"/>
  <c r="AV12" i="65"/>
  <c r="AN12" i="65"/>
  <c r="AU12" i="65"/>
  <c r="AM12" i="65"/>
  <c r="AT12" i="65"/>
  <c r="AL12" i="65"/>
  <c r="AS12" i="65"/>
  <c r="AK12" i="65"/>
  <c r="D12" i="65"/>
  <c r="P6" i="23" s="1"/>
  <c r="T6" i="24" s="1"/>
  <c r="AZ12" i="65"/>
  <c r="AR12" i="65"/>
  <c r="AJ12" i="65"/>
  <c r="AY12" i="65"/>
  <c r="AQ12" i="65"/>
  <c r="AI12" i="65"/>
  <c r="AX12" i="65"/>
  <c r="AP12" i="65"/>
  <c r="AH12" i="65"/>
  <c r="AW12" i="65"/>
  <c r="AO12" i="65"/>
  <c r="AG12" i="65"/>
  <c r="A14" i="65"/>
  <c r="M8" i="23" s="1"/>
  <c r="P8" i="24" s="1"/>
  <c r="B13" i="65"/>
  <c r="N7" i="23" s="1"/>
  <c r="Q7" i="24" s="1"/>
  <c r="BB11" i="64"/>
  <c r="BA11" i="64"/>
  <c r="N11" i="64" s="1"/>
  <c r="AW12" i="64"/>
  <c r="AO12" i="64"/>
  <c r="AG12" i="64"/>
  <c r="AV12" i="64"/>
  <c r="AN12" i="64"/>
  <c r="AY12" i="64"/>
  <c r="AM12" i="64"/>
  <c r="AX12" i="64"/>
  <c r="AL12" i="64"/>
  <c r="AU12" i="64"/>
  <c r="AK12" i="64"/>
  <c r="AT12" i="64"/>
  <c r="AJ12" i="64"/>
  <c r="AS12" i="64"/>
  <c r="AI12" i="64"/>
  <c r="AR12" i="64"/>
  <c r="AH12" i="64"/>
  <c r="AQ12" i="64"/>
  <c r="AZ12" i="64"/>
  <c r="AP12" i="64"/>
  <c r="D12" i="64"/>
  <c r="L6" i="23" s="1"/>
  <c r="O6" i="24" s="1"/>
  <c r="B13" i="64"/>
  <c r="J7" i="23" s="1"/>
  <c r="L7" i="24" s="1"/>
  <c r="A14" i="64"/>
  <c r="I8" i="23" s="1"/>
  <c r="K8" i="24" s="1"/>
  <c r="B13" i="63"/>
  <c r="F7" i="23" s="1"/>
  <c r="G7" i="24" s="1"/>
  <c r="A14" i="63"/>
  <c r="E8" i="23" s="1"/>
  <c r="F8" i="24" s="1"/>
  <c r="AZ12" i="63"/>
  <c r="AR12" i="63"/>
  <c r="AJ12" i="63"/>
  <c r="AY12" i="63"/>
  <c r="AQ12" i="63"/>
  <c r="AI12" i="63"/>
  <c r="AX12" i="63"/>
  <c r="AP12" i="63"/>
  <c r="AH12" i="63"/>
  <c r="AW12" i="63"/>
  <c r="AO12" i="63"/>
  <c r="AG12" i="63"/>
  <c r="AV12" i="63"/>
  <c r="AN12" i="63"/>
  <c r="AU12" i="63"/>
  <c r="AM12" i="63"/>
  <c r="AT12" i="63"/>
  <c r="AL12" i="63"/>
  <c r="AK12" i="63"/>
  <c r="AS12" i="63"/>
  <c r="D12" i="63"/>
  <c r="H6" i="23" s="1"/>
  <c r="J6" i="24" s="1"/>
  <c r="CA11" i="63"/>
  <c r="BB11" i="63"/>
  <c r="BA11" i="63"/>
  <c r="AB6" i="23" l="1"/>
  <c r="E6" i="25" s="1"/>
  <c r="Z7" i="23"/>
  <c r="B7" i="25" s="1"/>
  <c r="CL13" i="68"/>
  <c r="CM13" i="68"/>
  <c r="CU13" i="68"/>
  <c r="BP13" i="68"/>
  <c r="BX13" i="68"/>
  <c r="CN13" i="68"/>
  <c r="CV13" i="68"/>
  <c r="BG13" i="68"/>
  <c r="BQ13" i="68"/>
  <c r="BY13" i="68"/>
  <c r="CD13" i="68"/>
  <c r="CO13" i="68"/>
  <c r="CW13" i="68"/>
  <c r="BH13" i="68"/>
  <c r="BR13" i="68"/>
  <c r="BZ13" i="68"/>
  <c r="CE13" i="68"/>
  <c r="CP13" i="68"/>
  <c r="BJ13" i="68"/>
  <c r="BS13" i="68"/>
  <c r="CG13" i="68"/>
  <c r="CQ13" i="68"/>
  <c r="BK13" i="68"/>
  <c r="BT13" i="68"/>
  <c r="CH13" i="68"/>
  <c r="CR13" i="68"/>
  <c r="BL13" i="68"/>
  <c r="BU13" i="68"/>
  <c r="CI13" i="68"/>
  <c r="CS13" i="68"/>
  <c r="BM13" i="68"/>
  <c r="BV13" i="68"/>
  <c r="CJ13" i="68"/>
  <c r="CT13" i="68"/>
  <c r="BO13" i="68"/>
  <c r="BW13" i="68"/>
  <c r="BN13" i="68"/>
  <c r="BI13" i="68"/>
  <c r="CK13" i="68"/>
  <c r="CF13" i="68"/>
  <c r="CX12" i="68"/>
  <c r="M34" i="24"/>
  <c r="AH6" i="23"/>
  <c r="L6" i="25" s="1"/>
  <c r="D12" i="70"/>
  <c r="AZ12" i="70"/>
  <c r="AY12" i="70"/>
  <c r="AU12" i="70"/>
  <c r="AP12" i="70"/>
  <c r="AX12" i="70"/>
  <c r="AR12" i="70"/>
  <c r="AQ12" i="70"/>
  <c r="AK12" i="70"/>
  <c r="AN12" i="70"/>
  <c r="AJ12" i="70"/>
  <c r="AI12" i="70"/>
  <c r="AS12" i="70"/>
  <c r="AG12" i="70"/>
  <c r="AO12" i="70"/>
  <c r="AV12" i="70"/>
  <c r="AW12" i="70"/>
  <c r="AL12" i="70"/>
  <c r="AT12" i="70"/>
  <c r="AH12" i="70"/>
  <c r="AM12" i="70"/>
  <c r="AG7" i="23"/>
  <c r="K7" i="25" s="1"/>
  <c r="A14" i="70"/>
  <c r="B13" i="70"/>
  <c r="U7" i="23"/>
  <c r="Z7" i="24" s="1"/>
  <c r="A14" i="67"/>
  <c r="B13" i="67"/>
  <c r="AN6" i="23"/>
  <c r="T6" i="25"/>
  <c r="V6" i="23"/>
  <c r="AA6" i="24" s="1"/>
  <c r="AH12" i="67"/>
  <c r="AT12" i="67"/>
  <c r="AV12" i="67"/>
  <c r="AP12" i="67"/>
  <c r="AL12" i="67"/>
  <c r="AX12" i="67"/>
  <c r="AO12" i="67"/>
  <c r="AZ12" i="67"/>
  <c r="AY12" i="67"/>
  <c r="AN12" i="67"/>
  <c r="AU12" i="67"/>
  <c r="AS12" i="67"/>
  <c r="AR12" i="67"/>
  <c r="AQ12" i="67"/>
  <c r="AW12" i="67"/>
  <c r="AK12" i="67"/>
  <c r="AG12" i="67"/>
  <c r="AJ12" i="67"/>
  <c r="AI12" i="67"/>
  <c r="AM12" i="67"/>
  <c r="D12" i="67"/>
  <c r="X6" i="23" s="1"/>
  <c r="AD6" i="24" s="1"/>
  <c r="AV6" i="23"/>
  <c r="AD6" i="25"/>
  <c r="AR5" i="23"/>
  <c r="Y5" i="25"/>
  <c r="P11" i="67"/>
  <c r="J6" i="25"/>
  <c r="AF6" i="23"/>
  <c r="AV5" i="23"/>
  <c r="AD5" i="25"/>
  <c r="CA11" i="67"/>
  <c r="O11" i="67" s="1"/>
  <c r="BA11" i="67"/>
  <c r="N11" i="67" s="1"/>
  <c r="BB11" i="67"/>
  <c r="CA11" i="66"/>
  <c r="O11" i="66" s="1"/>
  <c r="BB11" i="66"/>
  <c r="BA11" i="66"/>
  <c r="N11" i="66" s="1"/>
  <c r="R6" i="23"/>
  <c r="V6" i="24" s="1"/>
  <c r="AO12" i="66"/>
  <c r="AR12" i="66"/>
  <c r="D12" i="66"/>
  <c r="T6" i="23" s="1"/>
  <c r="Y6" i="24" s="1"/>
  <c r="AW12" i="66"/>
  <c r="AH12" i="66"/>
  <c r="AZ12" i="66"/>
  <c r="AK12" i="66"/>
  <c r="AP12" i="66"/>
  <c r="AS12" i="66"/>
  <c r="AT12" i="66"/>
  <c r="AI12" i="66"/>
  <c r="AU12" i="66"/>
  <c r="AL12" i="66"/>
  <c r="AX12" i="66"/>
  <c r="AM12" i="66"/>
  <c r="AN12" i="66"/>
  <c r="AV12" i="66"/>
  <c r="AQ12" i="66"/>
  <c r="AY12" i="66"/>
  <c r="AJ12" i="66"/>
  <c r="AG12" i="66"/>
  <c r="Q7" i="23"/>
  <c r="U7" i="24" s="1"/>
  <c r="A14" i="66"/>
  <c r="B13" i="66"/>
  <c r="V46" i="66"/>
  <c r="V53" i="66" s="1"/>
  <c r="V45" i="67" s="1"/>
  <c r="BB11" i="73"/>
  <c r="D35" i="74"/>
  <c r="CA11" i="73"/>
  <c r="O11" i="73" s="1"/>
  <c r="BA11" i="73"/>
  <c r="N11" i="73" s="1"/>
  <c r="P11" i="73"/>
  <c r="Q10" i="67"/>
  <c r="F35" i="50"/>
  <c r="F36" i="50" s="1"/>
  <c r="P12" i="73"/>
  <c r="BB12" i="73"/>
  <c r="BA12" i="73"/>
  <c r="N12" i="73" s="1"/>
  <c r="Y11" i="73" s="1"/>
  <c r="CA12" i="73"/>
  <c r="AW13" i="73"/>
  <c r="AO13" i="73"/>
  <c r="AG13" i="73"/>
  <c r="AV13" i="73"/>
  <c r="AN13" i="73"/>
  <c r="AU13" i="73"/>
  <c r="AM13" i="73"/>
  <c r="AT13" i="73"/>
  <c r="AL13" i="73"/>
  <c r="AY13" i="73"/>
  <c r="AI13" i="73"/>
  <c r="AX13" i="73"/>
  <c r="AH13" i="73"/>
  <c r="D13" i="73"/>
  <c r="AS13" i="73"/>
  <c r="AR13" i="73"/>
  <c r="AQ13" i="73"/>
  <c r="AP13" i="73"/>
  <c r="AK13" i="73"/>
  <c r="AZ13" i="73"/>
  <c r="AJ13" i="73"/>
  <c r="B14" i="73"/>
  <c r="AT8" i="23" s="1"/>
  <c r="AA8" i="25" s="1"/>
  <c r="A15" i="73"/>
  <c r="AS9" i="23" s="1"/>
  <c r="Z9" i="25" s="1"/>
  <c r="N10" i="72"/>
  <c r="CA11" i="72"/>
  <c r="O11" i="72" s="1"/>
  <c r="A14" i="72"/>
  <c r="AO8" i="23" s="1"/>
  <c r="U8" i="25" s="1"/>
  <c r="B13" i="72"/>
  <c r="AP7" i="23" s="1"/>
  <c r="V7" i="25" s="1"/>
  <c r="AU12" i="72"/>
  <c r="AM12" i="72"/>
  <c r="AT12" i="72"/>
  <c r="AL12" i="72"/>
  <c r="AS12" i="72"/>
  <c r="AK12" i="72"/>
  <c r="D12" i="72"/>
  <c r="AZ12" i="72"/>
  <c r="AR12" i="72"/>
  <c r="AJ12" i="72"/>
  <c r="AY12" i="72"/>
  <c r="AQ12" i="72"/>
  <c r="AI12" i="72"/>
  <c r="AX12" i="72"/>
  <c r="AP12" i="72"/>
  <c r="AH12" i="72"/>
  <c r="AW12" i="72"/>
  <c r="AO12" i="72"/>
  <c r="AG12" i="72"/>
  <c r="AV12" i="72"/>
  <c r="AN12" i="72"/>
  <c r="BB11" i="72"/>
  <c r="BA11" i="72"/>
  <c r="N11" i="72" s="1"/>
  <c r="BB12" i="71"/>
  <c r="BA12" i="71"/>
  <c r="N12" i="71" s="1"/>
  <c r="Y11" i="71" s="1"/>
  <c r="N11" i="71"/>
  <c r="A15" i="71"/>
  <c r="AK9" i="23" s="1"/>
  <c r="P9" i="25" s="1"/>
  <c r="B14" i="71"/>
  <c r="AL8" i="23" s="1"/>
  <c r="Q8" i="25" s="1"/>
  <c r="AT13" i="71"/>
  <c r="AL13" i="71"/>
  <c r="AS13" i="71"/>
  <c r="AK13" i="71"/>
  <c r="D13" i="71"/>
  <c r="AZ13" i="71"/>
  <c r="AR13" i="71"/>
  <c r="AJ13" i="71"/>
  <c r="AY13" i="71"/>
  <c r="AQ13" i="71"/>
  <c r="AI13" i="71"/>
  <c r="AX13" i="71"/>
  <c r="AW13" i="71"/>
  <c r="AV13" i="71"/>
  <c r="AN13" i="71"/>
  <c r="AM13" i="71"/>
  <c r="AH13" i="71"/>
  <c r="AG13" i="71"/>
  <c r="AU13" i="71"/>
  <c r="AP13" i="71"/>
  <c r="AO13" i="71"/>
  <c r="CA12" i="69"/>
  <c r="O12" i="69" s="1"/>
  <c r="B14" i="69"/>
  <c r="AD8" i="23" s="1"/>
  <c r="G8" i="25" s="1"/>
  <c r="A15" i="69"/>
  <c r="AC9" i="23" s="1"/>
  <c r="F9" i="25" s="1"/>
  <c r="BB12" i="69"/>
  <c r="BA12" i="69"/>
  <c r="N12" i="69" s="1"/>
  <c r="AW13" i="69"/>
  <c r="AO13" i="69"/>
  <c r="AG13" i="69"/>
  <c r="AV13" i="69"/>
  <c r="AN13" i="69"/>
  <c r="AU13" i="69"/>
  <c r="AM13" i="69"/>
  <c r="AT13" i="69"/>
  <c r="AL13" i="69"/>
  <c r="AS13" i="69"/>
  <c r="AK13" i="69"/>
  <c r="D13" i="69"/>
  <c r="AZ13" i="69"/>
  <c r="AR13" i="69"/>
  <c r="AJ13" i="69"/>
  <c r="AY13" i="69"/>
  <c r="AQ13" i="69"/>
  <c r="AI13" i="69"/>
  <c r="AX13" i="69"/>
  <c r="AP13" i="69"/>
  <c r="AH13" i="69"/>
  <c r="B14" i="68"/>
  <c r="A15" i="68"/>
  <c r="Y9" i="23" s="1"/>
  <c r="A9" i="25" s="1"/>
  <c r="CA12" i="68"/>
  <c r="O12" i="68" s="1"/>
  <c r="AY13" i="68"/>
  <c r="AQ13" i="68"/>
  <c r="AI13" i="68"/>
  <c r="AX13" i="68"/>
  <c r="AP13" i="68"/>
  <c r="AH13" i="68"/>
  <c r="AZ13" i="68"/>
  <c r="AN13" i="68"/>
  <c r="AW13" i="68"/>
  <c r="AM13" i="68"/>
  <c r="D13" i="68"/>
  <c r="AS13" i="68"/>
  <c r="AR13" i="68"/>
  <c r="AO13" i="68"/>
  <c r="AL13" i="68"/>
  <c r="AK13" i="68"/>
  <c r="AV13" i="68"/>
  <c r="AJ13" i="68"/>
  <c r="AU13" i="68"/>
  <c r="AG13" i="68"/>
  <c r="AT13" i="68"/>
  <c r="BB12" i="68"/>
  <c r="BA12" i="68"/>
  <c r="N12" i="68" s="1"/>
  <c r="Y12" i="68" s="1"/>
  <c r="AY13" i="65"/>
  <c r="AQ13" i="65"/>
  <c r="AI13" i="65"/>
  <c r="AX13" i="65"/>
  <c r="AP13" i="65"/>
  <c r="AH13" i="65"/>
  <c r="AW13" i="65"/>
  <c r="AO13" i="65"/>
  <c r="AG13" i="65"/>
  <c r="AV13" i="65"/>
  <c r="AN13" i="65"/>
  <c r="AU13" i="65"/>
  <c r="AM13" i="65"/>
  <c r="AT13" i="65"/>
  <c r="AL13" i="65"/>
  <c r="AS13" i="65"/>
  <c r="AK13" i="65"/>
  <c r="D13" i="65"/>
  <c r="P7" i="23" s="1"/>
  <c r="T7" i="24" s="1"/>
  <c r="AZ13" i="65"/>
  <c r="AR13" i="65"/>
  <c r="AJ13" i="65"/>
  <c r="B14" i="65"/>
  <c r="N8" i="23" s="1"/>
  <c r="Q8" i="24" s="1"/>
  <c r="A15" i="65"/>
  <c r="M9" i="23" s="1"/>
  <c r="P9" i="24" s="1"/>
  <c r="BB12" i="65"/>
  <c r="BA12" i="65"/>
  <c r="BB12" i="64"/>
  <c r="BA12" i="64"/>
  <c r="B14" i="64"/>
  <c r="J8" i="23" s="1"/>
  <c r="L8" i="24" s="1"/>
  <c r="A15" i="64"/>
  <c r="I9" i="23" s="1"/>
  <c r="K9" i="24" s="1"/>
  <c r="AZ13" i="64"/>
  <c r="AR13" i="64"/>
  <c r="AJ13" i="64"/>
  <c r="AY13" i="64"/>
  <c r="AQ13" i="64"/>
  <c r="AI13" i="64"/>
  <c r="AP13" i="64"/>
  <c r="AO13" i="64"/>
  <c r="AX13" i="64"/>
  <c r="AN13" i="64"/>
  <c r="AW13" i="64"/>
  <c r="AM13" i="64"/>
  <c r="D13" i="64"/>
  <c r="L7" i="23" s="1"/>
  <c r="O7" i="24" s="1"/>
  <c r="AV13" i="64"/>
  <c r="AL13" i="64"/>
  <c r="AU13" i="64"/>
  <c r="AK13" i="64"/>
  <c r="AT13" i="64"/>
  <c r="AH13" i="64"/>
  <c r="AS13" i="64"/>
  <c r="AG13" i="64"/>
  <c r="O11" i="63"/>
  <c r="CA12" i="63"/>
  <c r="O12" i="63" s="1"/>
  <c r="A15" i="63"/>
  <c r="E9" i="23" s="1"/>
  <c r="F9" i="24" s="1"/>
  <c r="B14" i="63"/>
  <c r="F8" i="23" s="1"/>
  <c r="G8" i="24" s="1"/>
  <c r="BB12" i="63"/>
  <c r="BA12" i="63"/>
  <c r="N12" i="63" s="1"/>
  <c r="AU13" i="63"/>
  <c r="AM13" i="63"/>
  <c r="AT13" i="63"/>
  <c r="AL13" i="63"/>
  <c r="AS13" i="63"/>
  <c r="AK13" i="63"/>
  <c r="D13" i="63"/>
  <c r="H7" i="23" s="1"/>
  <c r="J7" i="24" s="1"/>
  <c r="AZ13" i="63"/>
  <c r="AR13" i="63"/>
  <c r="AJ13" i="63"/>
  <c r="AY13" i="63"/>
  <c r="AQ13" i="63"/>
  <c r="AI13" i="63"/>
  <c r="AX13" i="63"/>
  <c r="AP13" i="63"/>
  <c r="AH13" i="63"/>
  <c r="AW13" i="63"/>
  <c r="AO13" i="63"/>
  <c r="AG13" i="63"/>
  <c r="AV13" i="63"/>
  <c r="AN13" i="63"/>
  <c r="N11" i="63"/>
  <c r="Y11" i="63" s="1"/>
  <c r="FJ11" i="63" l="1"/>
  <c r="FL11" i="63"/>
  <c r="FJ11" i="73"/>
  <c r="FL11" i="73"/>
  <c r="FL11" i="71"/>
  <c r="FJ11" i="71"/>
  <c r="AB7" i="23"/>
  <c r="E7" i="25" s="1"/>
  <c r="Z8" i="23"/>
  <c r="B8" i="25" s="1"/>
  <c r="CJ14" i="68"/>
  <c r="CS14" i="68"/>
  <c r="BM14" i="68"/>
  <c r="BV14" i="68"/>
  <c r="CK14" i="68"/>
  <c r="CT14" i="68"/>
  <c r="BN14" i="68"/>
  <c r="BW14" i="68"/>
  <c r="CM14" i="68"/>
  <c r="CU14" i="68"/>
  <c r="BP14" i="68"/>
  <c r="BX14" i="68"/>
  <c r="CD14" i="68"/>
  <c r="CN14" i="68"/>
  <c r="CV14" i="68"/>
  <c r="BG14" i="68"/>
  <c r="BQ14" i="68"/>
  <c r="BY14" i="68"/>
  <c r="CE14" i="68"/>
  <c r="CO14" i="68"/>
  <c r="CW14" i="68"/>
  <c r="BH14" i="68"/>
  <c r="BR14" i="68"/>
  <c r="BZ14" i="68"/>
  <c r="CF14" i="68"/>
  <c r="CP14" i="68"/>
  <c r="BI14" i="68"/>
  <c r="BS14" i="68"/>
  <c r="CH14" i="68"/>
  <c r="CQ14" i="68"/>
  <c r="BK14" i="68"/>
  <c r="BT14" i="68"/>
  <c r="CI14" i="68"/>
  <c r="CR14" i="68"/>
  <c r="BL14" i="68"/>
  <c r="BU14" i="68"/>
  <c r="BO14" i="68"/>
  <c r="CL14" i="68"/>
  <c r="CG14" i="68"/>
  <c r="BJ14" i="68"/>
  <c r="CX13" i="68"/>
  <c r="FL12" i="68"/>
  <c r="FJ12" i="68"/>
  <c r="AH7" i="23"/>
  <c r="L7" i="25" s="1"/>
  <c r="AI13" i="70"/>
  <c r="AP13" i="70"/>
  <c r="AK13" i="70"/>
  <c r="AW13" i="70"/>
  <c r="AQ13" i="70"/>
  <c r="AV13" i="70"/>
  <c r="AO13" i="70"/>
  <c r="AT13" i="70"/>
  <c r="AG13" i="70"/>
  <c r="AJ13" i="70"/>
  <c r="AS13" i="70"/>
  <c r="AL13" i="70"/>
  <c r="AX13" i="70"/>
  <c r="AN13" i="70"/>
  <c r="D13" i="70"/>
  <c r="AU13" i="70"/>
  <c r="AR13" i="70"/>
  <c r="AM13" i="70"/>
  <c r="AH13" i="70"/>
  <c r="AY13" i="70"/>
  <c r="AZ13" i="70"/>
  <c r="AG8" i="23"/>
  <c r="K8" i="25" s="1"/>
  <c r="A15" i="70"/>
  <c r="B14" i="70"/>
  <c r="BB12" i="70"/>
  <c r="BA12" i="70"/>
  <c r="N12" i="70" s="1"/>
  <c r="CA12" i="70"/>
  <c r="O12" i="70" s="1"/>
  <c r="AJ6" i="23"/>
  <c r="O6" i="25"/>
  <c r="Q11" i="67"/>
  <c r="BB12" i="67"/>
  <c r="BA12" i="67"/>
  <c r="N12" i="67" s="1"/>
  <c r="Y11" i="67" s="1"/>
  <c r="AV7" i="23"/>
  <c r="AD7" i="25"/>
  <c r="AR6" i="23"/>
  <c r="Y6" i="25"/>
  <c r="J7" i="25"/>
  <c r="AF7" i="23"/>
  <c r="AN7" i="23"/>
  <c r="T7" i="25"/>
  <c r="V7" i="23"/>
  <c r="AA7" i="24" s="1"/>
  <c r="AL13" i="67"/>
  <c r="D13" i="67"/>
  <c r="X7" i="23" s="1"/>
  <c r="AD7" i="24" s="1"/>
  <c r="AR13" i="67"/>
  <c r="AX13" i="67"/>
  <c r="AK13" i="67"/>
  <c r="AO13" i="67"/>
  <c r="AU13" i="67"/>
  <c r="AH13" i="67"/>
  <c r="AT13" i="67"/>
  <c r="AM13" i="67"/>
  <c r="AQ13" i="67"/>
  <c r="AY13" i="67"/>
  <c r="AZ13" i="67"/>
  <c r="AN13" i="67"/>
  <c r="AI13" i="67"/>
  <c r="AW13" i="67"/>
  <c r="AJ13" i="67"/>
  <c r="AV13" i="67"/>
  <c r="AS13" i="67"/>
  <c r="AG13" i="67"/>
  <c r="AP13" i="67"/>
  <c r="U8" i="23"/>
  <c r="Z8" i="24" s="1"/>
  <c r="B14" i="67"/>
  <c r="A15" i="67"/>
  <c r="BA12" i="66"/>
  <c r="N12" i="66" s="1"/>
  <c r="Y11" i="66" s="1"/>
  <c r="BB12" i="66"/>
  <c r="CA12" i="66"/>
  <c r="O12" i="66" s="1"/>
  <c r="R7" i="23"/>
  <c r="V7" i="24" s="1"/>
  <c r="AO13" i="66"/>
  <c r="AX13" i="66"/>
  <c r="AG13" i="66"/>
  <c r="AR13" i="66"/>
  <c r="AZ13" i="66"/>
  <c r="AP13" i="66"/>
  <c r="AN13" i="66"/>
  <c r="D13" i="66"/>
  <c r="T7" i="23" s="1"/>
  <c r="Y7" i="24" s="1"/>
  <c r="AH13" i="66"/>
  <c r="AU13" i="66"/>
  <c r="AK13" i="66"/>
  <c r="AS13" i="66"/>
  <c r="AV13" i="66"/>
  <c r="AI13" i="66"/>
  <c r="AQ13" i="66"/>
  <c r="AM13" i="66"/>
  <c r="AL13" i="66"/>
  <c r="AT13" i="66"/>
  <c r="AY13" i="66"/>
  <c r="AW13" i="66"/>
  <c r="AJ13" i="66"/>
  <c r="Q8" i="23"/>
  <c r="U8" i="24" s="1"/>
  <c r="B14" i="66"/>
  <c r="A15" i="66"/>
  <c r="V46" i="67"/>
  <c r="V53" i="67" s="1"/>
  <c r="V43" i="68" s="1"/>
  <c r="G33" i="50"/>
  <c r="P13" i="73"/>
  <c r="B15" i="73"/>
  <c r="AT9" i="23" s="1"/>
  <c r="AA9" i="25" s="1"/>
  <c r="A16" i="73"/>
  <c r="AS10" i="23" s="1"/>
  <c r="Z10" i="25" s="1"/>
  <c r="CA13" i="73"/>
  <c r="O13" i="73" s="1"/>
  <c r="O12" i="73"/>
  <c r="BB13" i="73"/>
  <c r="BA13" i="73"/>
  <c r="N13" i="73" s="1"/>
  <c r="Q11" i="73"/>
  <c r="AZ14" i="73"/>
  <c r="AR14" i="73"/>
  <c r="AJ14" i="73"/>
  <c r="AY14" i="73"/>
  <c r="AQ14" i="73"/>
  <c r="AI14" i="73"/>
  <c r="AX14" i="73"/>
  <c r="AP14" i="73"/>
  <c r="AH14" i="73"/>
  <c r="AW14" i="73"/>
  <c r="AO14" i="73"/>
  <c r="AG14" i="73"/>
  <c r="AS14" i="73"/>
  <c r="AN14" i="73"/>
  <c r="AM14" i="73"/>
  <c r="AL14" i="73"/>
  <c r="AK14" i="73"/>
  <c r="AV14" i="73"/>
  <c r="AU14" i="73"/>
  <c r="AT14" i="73"/>
  <c r="D14" i="73"/>
  <c r="AZ13" i="72"/>
  <c r="AX13" i="72"/>
  <c r="AP13" i="72"/>
  <c r="AH13" i="72"/>
  <c r="AW13" i="72"/>
  <c r="AO13" i="72"/>
  <c r="AG13" i="72"/>
  <c r="AV13" i="72"/>
  <c r="AN13" i="72"/>
  <c r="AU13" i="72"/>
  <c r="AM13" i="72"/>
  <c r="AT13" i="72"/>
  <c r="AL13" i="72"/>
  <c r="AS13" i="72"/>
  <c r="AK13" i="72"/>
  <c r="D13" i="72"/>
  <c r="AR13" i="72"/>
  <c r="AJ13" i="72"/>
  <c r="AY13" i="72"/>
  <c r="AQ13" i="72"/>
  <c r="AI13" i="72"/>
  <c r="A15" i="72"/>
  <c r="AO9" i="23" s="1"/>
  <c r="U9" i="25" s="1"/>
  <c r="B14" i="72"/>
  <c r="AP8" i="23" s="1"/>
  <c r="V8" i="25" s="1"/>
  <c r="BB12" i="72"/>
  <c r="BA12" i="72"/>
  <c r="N12" i="72" s="1"/>
  <c r="CA12" i="72"/>
  <c r="O12" i="72" s="1"/>
  <c r="BB13" i="71"/>
  <c r="BA13" i="71"/>
  <c r="N13" i="71" s="1"/>
  <c r="B15" i="71"/>
  <c r="AL9" i="23" s="1"/>
  <c r="Q9" i="25" s="1"/>
  <c r="A16" i="71"/>
  <c r="AK10" i="23" s="1"/>
  <c r="P10" i="25" s="1"/>
  <c r="CA13" i="71"/>
  <c r="O13" i="71" s="1"/>
  <c r="AW14" i="71"/>
  <c r="AO14" i="71"/>
  <c r="AG14" i="71"/>
  <c r="AV14" i="71"/>
  <c r="AN14" i="71"/>
  <c r="AU14" i="71"/>
  <c r="AM14" i="71"/>
  <c r="AT14" i="71"/>
  <c r="AL14" i="71"/>
  <c r="AS14" i="71"/>
  <c r="AK14" i="71"/>
  <c r="D14" i="71"/>
  <c r="AZ14" i="71"/>
  <c r="AR14" i="71"/>
  <c r="AJ14" i="71"/>
  <c r="AY14" i="71"/>
  <c r="AQ14" i="71"/>
  <c r="AI14" i="71"/>
  <c r="AX14" i="71"/>
  <c r="AP14" i="71"/>
  <c r="AH14" i="71"/>
  <c r="A16" i="69"/>
  <c r="AC10" i="23" s="1"/>
  <c r="F10" i="25" s="1"/>
  <c r="B15" i="69"/>
  <c r="AD9" i="23" s="1"/>
  <c r="G9" i="25" s="1"/>
  <c r="AZ14" i="69"/>
  <c r="AR14" i="69"/>
  <c r="AJ14" i="69"/>
  <c r="AY14" i="69"/>
  <c r="AQ14" i="69"/>
  <c r="AI14" i="69"/>
  <c r="AX14" i="69"/>
  <c r="AP14" i="69"/>
  <c r="AH14" i="69"/>
  <c r="AW14" i="69"/>
  <c r="AO14" i="69"/>
  <c r="AG14" i="69"/>
  <c r="AV14" i="69"/>
  <c r="AN14" i="69"/>
  <c r="AU14" i="69"/>
  <c r="AM14" i="69"/>
  <c r="AT14" i="69"/>
  <c r="AL14" i="69"/>
  <c r="AS14" i="69"/>
  <c r="AK14" i="69"/>
  <c r="D14" i="69"/>
  <c r="BB13" i="69"/>
  <c r="BA13" i="69"/>
  <c r="CA13" i="69"/>
  <c r="O13" i="69" s="1"/>
  <c r="BB13" i="68"/>
  <c r="BA13" i="68"/>
  <c r="A16" i="68"/>
  <c r="Y10" i="23" s="1"/>
  <c r="A10" i="25" s="1"/>
  <c r="B15" i="68"/>
  <c r="CA13" i="68"/>
  <c r="AT14" i="68"/>
  <c r="AL14" i="68"/>
  <c r="AS14" i="68"/>
  <c r="AK14" i="68"/>
  <c r="D14" i="68"/>
  <c r="AV14" i="68"/>
  <c r="AJ14" i="68"/>
  <c r="AU14" i="68"/>
  <c r="AI14" i="68"/>
  <c r="AR14" i="68"/>
  <c r="AQ14" i="68"/>
  <c r="AP14" i="68"/>
  <c r="AO14" i="68"/>
  <c r="AZ14" i="68"/>
  <c r="AN14" i="68"/>
  <c r="AY14" i="68"/>
  <c r="AM14" i="68"/>
  <c r="AX14" i="68"/>
  <c r="AH14" i="68"/>
  <c r="AW14" i="68"/>
  <c r="AG14" i="68"/>
  <c r="CA13" i="65"/>
  <c r="B15" i="65"/>
  <c r="N9" i="23" s="1"/>
  <c r="Q9" i="24" s="1"/>
  <c r="A16" i="65"/>
  <c r="M10" i="23" s="1"/>
  <c r="P10" i="24" s="1"/>
  <c r="AT14" i="65"/>
  <c r="AL14" i="65"/>
  <c r="AS14" i="65"/>
  <c r="AK14" i="65"/>
  <c r="D14" i="65"/>
  <c r="P8" i="23" s="1"/>
  <c r="T8" i="24" s="1"/>
  <c r="AZ14" i="65"/>
  <c r="AR14" i="65"/>
  <c r="AJ14" i="65"/>
  <c r="AY14" i="65"/>
  <c r="AQ14" i="65"/>
  <c r="AI14" i="65"/>
  <c r="AX14" i="65"/>
  <c r="AP14" i="65"/>
  <c r="AH14" i="65"/>
  <c r="AW14" i="65"/>
  <c r="AO14" i="65"/>
  <c r="AG14" i="65"/>
  <c r="AV14" i="65"/>
  <c r="AN14" i="65"/>
  <c r="AU14" i="65"/>
  <c r="AM14" i="65"/>
  <c r="N12" i="65"/>
  <c r="BB13" i="65"/>
  <c r="BA13" i="65"/>
  <c r="N13" i="65" s="1"/>
  <c r="AU14" i="64"/>
  <c r="AM14" i="64"/>
  <c r="AT14" i="64"/>
  <c r="AL14" i="64"/>
  <c r="AY14" i="64"/>
  <c r="AO14" i="64"/>
  <c r="D14" i="64"/>
  <c r="L8" i="23" s="1"/>
  <c r="O8" i="24" s="1"/>
  <c r="AX14" i="64"/>
  <c r="AN14" i="64"/>
  <c r="AW14" i="64"/>
  <c r="AK14" i="64"/>
  <c r="AV14" i="64"/>
  <c r="AJ14" i="64"/>
  <c r="AS14" i="64"/>
  <c r="AI14" i="64"/>
  <c r="AR14" i="64"/>
  <c r="AH14" i="64"/>
  <c r="AQ14" i="64"/>
  <c r="AG14" i="64"/>
  <c r="AZ14" i="64"/>
  <c r="AP14" i="64"/>
  <c r="BB13" i="64"/>
  <c r="BA13" i="64"/>
  <c r="N13" i="64" s="1"/>
  <c r="N12" i="64"/>
  <c r="Y11" i="64" s="1"/>
  <c r="A16" i="64"/>
  <c r="I10" i="23" s="1"/>
  <c r="K10" i="24" s="1"/>
  <c r="B15" i="64"/>
  <c r="J9" i="23" s="1"/>
  <c r="L9" i="24" s="1"/>
  <c r="BB13" i="63"/>
  <c r="BA13" i="63"/>
  <c r="AX14" i="63"/>
  <c r="AP14" i="63"/>
  <c r="AH14" i="63"/>
  <c r="AW14" i="63"/>
  <c r="AO14" i="63"/>
  <c r="AG14" i="63"/>
  <c r="AV14" i="63"/>
  <c r="AN14" i="63"/>
  <c r="AU14" i="63"/>
  <c r="AM14" i="63"/>
  <c r="AT14" i="63"/>
  <c r="AL14" i="63"/>
  <c r="AS14" i="63"/>
  <c r="AK14" i="63"/>
  <c r="D14" i="63"/>
  <c r="H8" i="23" s="1"/>
  <c r="J8" i="24" s="1"/>
  <c r="AZ14" i="63"/>
  <c r="AR14" i="63"/>
  <c r="AJ14" i="63"/>
  <c r="AY14" i="63"/>
  <c r="AQ14" i="63"/>
  <c r="AI14" i="63"/>
  <c r="B15" i="63"/>
  <c r="F9" i="23" s="1"/>
  <c r="G9" i="24" s="1"/>
  <c r="A16" i="63"/>
  <c r="E10" i="23" s="1"/>
  <c r="F10" i="24" s="1"/>
  <c r="FJ11" i="66" l="1"/>
  <c r="FL11" i="66"/>
  <c r="FJ11" i="67"/>
  <c r="FL11" i="67"/>
  <c r="FJ11" i="64"/>
  <c r="FL11" i="64"/>
  <c r="AB8" i="23"/>
  <c r="E8" i="25" s="1"/>
  <c r="CX14" i="68"/>
  <c r="Z9" i="23"/>
  <c r="B9" i="25" s="1"/>
  <c r="CL15" i="68"/>
  <c r="CG15" i="68"/>
  <c r="CR15" i="68"/>
  <c r="BJ15" i="68"/>
  <c r="BT15" i="68"/>
  <c r="CI15" i="68"/>
  <c r="CS15" i="68"/>
  <c r="BL15" i="68"/>
  <c r="BU15" i="68"/>
  <c r="CJ15" i="68"/>
  <c r="CT15" i="68"/>
  <c r="BM15" i="68"/>
  <c r="BV15" i="68"/>
  <c r="CK15" i="68"/>
  <c r="CU15" i="68"/>
  <c r="BN15" i="68"/>
  <c r="BW15" i="68"/>
  <c r="CN15" i="68"/>
  <c r="CV15" i="68"/>
  <c r="BO15" i="68"/>
  <c r="BX15" i="68"/>
  <c r="CD15" i="68"/>
  <c r="CO15" i="68"/>
  <c r="CW15" i="68"/>
  <c r="BG15" i="68"/>
  <c r="BQ15" i="68"/>
  <c r="BY15" i="68"/>
  <c r="CE15" i="68"/>
  <c r="CP15" i="68"/>
  <c r="BH15" i="68"/>
  <c r="BR15" i="68"/>
  <c r="BZ15" i="68"/>
  <c r="CF15" i="68"/>
  <c r="CQ15" i="68"/>
  <c r="BI15" i="68"/>
  <c r="BS15" i="68"/>
  <c r="BK15" i="68"/>
  <c r="BP15" i="68"/>
  <c r="CM15" i="68"/>
  <c r="CH15" i="68"/>
  <c r="BB13" i="70"/>
  <c r="BA13" i="70"/>
  <c r="N13" i="70" s="1"/>
  <c r="AH8" i="23"/>
  <c r="L8" i="25" s="1"/>
  <c r="AO14" i="70"/>
  <c r="AM14" i="70"/>
  <c r="AX14" i="70"/>
  <c r="AG14" i="70"/>
  <c r="AZ14" i="70"/>
  <c r="AN14" i="70"/>
  <c r="AU14" i="70"/>
  <c r="AP14" i="70"/>
  <c r="AR14" i="70"/>
  <c r="AH14" i="70"/>
  <c r="D14" i="70"/>
  <c r="AK14" i="70"/>
  <c r="AV14" i="70"/>
  <c r="AS14" i="70"/>
  <c r="AQ14" i="70"/>
  <c r="AL14" i="70"/>
  <c r="AI14" i="70"/>
  <c r="AT14" i="70"/>
  <c r="AJ14" i="70"/>
  <c r="AW14" i="70"/>
  <c r="AY14" i="70"/>
  <c r="AG9" i="23"/>
  <c r="K9" i="25" s="1"/>
  <c r="B15" i="70"/>
  <c r="A16" i="70"/>
  <c r="AJ7" i="23"/>
  <c r="O7" i="25"/>
  <c r="CA13" i="70"/>
  <c r="O13" i="70" s="1"/>
  <c r="U9" i="23"/>
  <c r="Z9" i="24" s="1"/>
  <c r="A16" i="67"/>
  <c r="B15" i="67"/>
  <c r="J8" i="25"/>
  <c r="AF8" i="23"/>
  <c r="T8" i="25"/>
  <c r="AN8" i="23"/>
  <c r="V8" i="23"/>
  <c r="AA8" i="24" s="1"/>
  <c r="AI14" i="67"/>
  <c r="AN14" i="67"/>
  <c r="AT14" i="67"/>
  <c r="AK14" i="67"/>
  <c r="AJ14" i="67"/>
  <c r="AX14" i="67"/>
  <c r="AL14" i="67"/>
  <c r="D14" i="67"/>
  <c r="X8" i="23" s="1"/>
  <c r="AD8" i="24" s="1"/>
  <c r="AS14" i="67"/>
  <c r="AW14" i="67"/>
  <c r="AU14" i="67"/>
  <c r="AR14" i="67"/>
  <c r="AO14" i="67"/>
  <c r="AM14" i="67"/>
  <c r="AV14" i="67"/>
  <c r="AG14" i="67"/>
  <c r="AY14" i="67"/>
  <c r="AP14" i="67"/>
  <c r="AZ14" i="67"/>
  <c r="AH14" i="67"/>
  <c r="AQ14" i="67"/>
  <c r="Y7" i="25"/>
  <c r="AR7" i="23"/>
  <c r="AV8" i="23"/>
  <c r="AD8" i="25"/>
  <c r="BB13" i="67"/>
  <c r="BA13" i="67"/>
  <c r="N13" i="67" s="1"/>
  <c r="Q9" i="23"/>
  <c r="U9" i="24" s="1"/>
  <c r="A16" i="66"/>
  <c r="B15" i="66"/>
  <c r="BA13" i="66"/>
  <c r="N13" i="66" s="1"/>
  <c r="BB13" i="66"/>
  <c r="R8" i="23"/>
  <c r="V8" i="24" s="1"/>
  <c r="AM14" i="66"/>
  <c r="AG14" i="66"/>
  <c r="AH14" i="66"/>
  <c r="AP14" i="66"/>
  <c r="AV14" i="66"/>
  <c r="AZ14" i="66"/>
  <c r="AX14" i="66"/>
  <c r="AL14" i="66"/>
  <c r="AT14" i="66"/>
  <c r="AS14" i="66"/>
  <c r="AR14" i="66"/>
  <c r="AN14" i="66"/>
  <c r="AK14" i="66"/>
  <c r="AJ14" i="66"/>
  <c r="AY14" i="66"/>
  <c r="AW14" i="66"/>
  <c r="D14" i="66"/>
  <c r="T8" i="23" s="1"/>
  <c r="Y8" i="24" s="1"/>
  <c r="AO14" i="66"/>
  <c r="AU14" i="66"/>
  <c r="AI14" i="66"/>
  <c r="AQ14" i="66"/>
  <c r="G34" i="50"/>
  <c r="Q12" i="73"/>
  <c r="Z11" i="73"/>
  <c r="Z40" i="73" s="1"/>
  <c r="P14" i="73"/>
  <c r="Q13" i="73"/>
  <c r="BB14" i="73"/>
  <c r="BA14" i="73"/>
  <c r="N14" i="73" s="1"/>
  <c r="Y13" i="73" s="1"/>
  <c r="CA14" i="73"/>
  <c r="O14" i="73" s="1"/>
  <c r="A17" i="73"/>
  <c r="AS11" i="23" s="1"/>
  <c r="Z11" i="25" s="1"/>
  <c r="B16" i="73"/>
  <c r="AT10" i="23" s="1"/>
  <c r="AA10" i="25" s="1"/>
  <c r="AU15" i="73"/>
  <c r="AM15" i="73"/>
  <c r="AT15" i="73"/>
  <c r="AL15" i="73"/>
  <c r="AS15" i="73"/>
  <c r="AK15" i="73"/>
  <c r="D15" i="73"/>
  <c r="AZ15" i="73"/>
  <c r="AR15" i="73"/>
  <c r="AJ15" i="73"/>
  <c r="AW15" i="73"/>
  <c r="AO15" i="73"/>
  <c r="AG15" i="73"/>
  <c r="AV15" i="73"/>
  <c r="AN15" i="73"/>
  <c r="AY15" i="73"/>
  <c r="AX15" i="73"/>
  <c r="AQ15" i="73"/>
  <c r="AP15" i="73"/>
  <c r="AI15" i="73"/>
  <c r="AH15" i="73"/>
  <c r="BB13" i="72"/>
  <c r="BA13" i="72"/>
  <c r="N13" i="72" s="1"/>
  <c r="CA13" i="72"/>
  <c r="A16" i="72"/>
  <c r="AO10" i="23" s="1"/>
  <c r="U10" i="25" s="1"/>
  <c r="B15" i="72"/>
  <c r="AP9" i="23" s="1"/>
  <c r="V9" i="25" s="1"/>
  <c r="AU14" i="72"/>
  <c r="AM14" i="72"/>
  <c r="AS14" i="72"/>
  <c r="AK14" i="72"/>
  <c r="D14" i="72"/>
  <c r="AY14" i="72"/>
  <c r="AQ14" i="72"/>
  <c r="AI14" i="72"/>
  <c r="AX14" i="72"/>
  <c r="AP14" i="72"/>
  <c r="AH14" i="72"/>
  <c r="AW14" i="72"/>
  <c r="AO14" i="72"/>
  <c r="AG14" i="72"/>
  <c r="AV14" i="72"/>
  <c r="AN14" i="72"/>
  <c r="AZ14" i="72"/>
  <c r="AT14" i="72"/>
  <c r="AR14" i="72"/>
  <c r="AL14" i="72"/>
  <c r="AJ14" i="72"/>
  <c r="A17" i="71"/>
  <c r="AK11" i="23" s="1"/>
  <c r="P11" i="25" s="1"/>
  <c r="B16" i="71"/>
  <c r="AL10" i="23" s="1"/>
  <c r="Q10" i="25" s="1"/>
  <c r="BB14" i="71"/>
  <c r="BA14" i="71"/>
  <c r="AS15" i="71"/>
  <c r="AK15" i="71"/>
  <c r="D15" i="71"/>
  <c r="AZ15" i="71"/>
  <c r="AR15" i="71"/>
  <c r="AJ15" i="71"/>
  <c r="AQ15" i="71"/>
  <c r="AG15" i="71"/>
  <c r="AP15" i="71"/>
  <c r="AY15" i="71"/>
  <c r="AO15" i="71"/>
  <c r="AX15" i="71"/>
  <c r="AN15" i="71"/>
  <c r="AW15" i="71"/>
  <c r="AM15" i="71"/>
  <c r="AV15" i="71"/>
  <c r="AL15" i="71"/>
  <c r="AU15" i="71"/>
  <c r="AI15" i="71"/>
  <c r="AT15" i="71"/>
  <c r="AH15" i="71"/>
  <c r="CA14" i="71"/>
  <c r="O14" i="71" s="1"/>
  <c r="N13" i="69"/>
  <c r="Y12" i="69" s="1"/>
  <c r="BB14" i="69"/>
  <c r="BA14" i="69"/>
  <c r="N14" i="69" s="1"/>
  <c r="Y13" i="69" s="1"/>
  <c r="AU15" i="69"/>
  <c r="AM15" i="69"/>
  <c r="AT15" i="69"/>
  <c r="AL15" i="69"/>
  <c r="AS15" i="69"/>
  <c r="AK15" i="69"/>
  <c r="D15" i="69"/>
  <c r="AZ15" i="69"/>
  <c r="AR15" i="69"/>
  <c r="AJ15" i="69"/>
  <c r="AY15" i="69"/>
  <c r="AQ15" i="69"/>
  <c r="AI15" i="69"/>
  <c r="AX15" i="69"/>
  <c r="AP15" i="69"/>
  <c r="AH15" i="69"/>
  <c r="AW15" i="69"/>
  <c r="AO15" i="69"/>
  <c r="AG15" i="69"/>
  <c r="AV15" i="69"/>
  <c r="AN15" i="69"/>
  <c r="B16" i="69"/>
  <c r="AD10" i="23" s="1"/>
  <c r="G10" i="25" s="1"/>
  <c r="A17" i="69"/>
  <c r="AC11" i="23" s="1"/>
  <c r="F11" i="25" s="1"/>
  <c r="O13" i="68"/>
  <c r="AW15" i="68"/>
  <c r="AO15" i="68"/>
  <c r="AG15" i="68"/>
  <c r="AV15" i="68"/>
  <c r="AN15" i="68"/>
  <c r="AS15" i="68"/>
  <c r="AI15" i="68"/>
  <c r="AR15" i="68"/>
  <c r="AH15" i="68"/>
  <c r="AZ15" i="68"/>
  <c r="AL15" i="68"/>
  <c r="AY15" i="68"/>
  <c r="AK15" i="68"/>
  <c r="AX15" i="68"/>
  <c r="AJ15" i="68"/>
  <c r="D15" i="68"/>
  <c r="AU15" i="68"/>
  <c r="AT15" i="68"/>
  <c r="AQ15" i="68"/>
  <c r="AP15" i="68"/>
  <c r="AM15" i="68"/>
  <c r="B16" i="68"/>
  <c r="A17" i="68"/>
  <c r="Y11" i="23" s="1"/>
  <c r="A11" i="25" s="1"/>
  <c r="N13" i="68"/>
  <c r="BB14" i="68"/>
  <c r="BA14" i="68"/>
  <c r="N14" i="68" s="1"/>
  <c r="Y14" i="68" s="1"/>
  <c r="BB14" i="65"/>
  <c r="BA14" i="65"/>
  <c r="A17" i="65"/>
  <c r="M11" i="23" s="1"/>
  <c r="P11" i="24" s="1"/>
  <c r="B16" i="65"/>
  <c r="N10" i="23" s="1"/>
  <c r="Q10" i="24" s="1"/>
  <c r="AW15" i="65"/>
  <c r="AO15" i="65"/>
  <c r="AG15" i="65"/>
  <c r="AV15" i="65"/>
  <c r="AN15" i="65"/>
  <c r="AU15" i="65"/>
  <c r="AM15" i="65"/>
  <c r="AT15" i="65"/>
  <c r="AL15" i="65"/>
  <c r="AS15" i="65"/>
  <c r="AK15" i="65"/>
  <c r="D15" i="65"/>
  <c r="P9" i="23" s="1"/>
  <c r="T9" i="24" s="1"/>
  <c r="AZ15" i="65"/>
  <c r="AR15" i="65"/>
  <c r="AJ15" i="65"/>
  <c r="AY15" i="65"/>
  <c r="AQ15" i="65"/>
  <c r="AI15" i="65"/>
  <c r="AX15" i="65"/>
  <c r="AP15" i="65"/>
  <c r="AH15" i="65"/>
  <c r="CA14" i="65"/>
  <c r="O14" i="65" s="1"/>
  <c r="O13" i="65"/>
  <c r="BB14" i="64"/>
  <c r="BA14" i="64"/>
  <c r="AX15" i="64"/>
  <c r="AP15" i="64"/>
  <c r="AH15" i="64"/>
  <c r="AW15" i="64"/>
  <c r="AO15" i="64"/>
  <c r="AG15" i="64"/>
  <c r="AV15" i="64"/>
  <c r="AL15" i="64"/>
  <c r="AU15" i="64"/>
  <c r="AK15" i="64"/>
  <c r="AT15" i="64"/>
  <c r="AJ15" i="64"/>
  <c r="AS15" i="64"/>
  <c r="AI15" i="64"/>
  <c r="AR15" i="64"/>
  <c r="AQ15" i="64"/>
  <c r="D15" i="64"/>
  <c r="L9" i="23" s="1"/>
  <c r="O9" i="24" s="1"/>
  <c r="AZ15" i="64"/>
  <c r="AN15" i="64"/>
  <c r="AY15" i="64"/>
  <c r="AM15" i="64"/>
  <c r="B16" i="64"/>
  <c r="J10" i="23" s="1"/>
  <c r="L10" i="24" s="1"/>
  <c r="A17" i="64"/>
  <c r="I11" i="23" s="1"/>
  <c r="K11" i="24" s="1"/>
  <c r="AS15" i="63"/>
  <c r="AZ15" i="63"/>
  <c r="AR15" i="63"/>
  <c r="AJ15" i="63"/>
  <c r="AV15" i="63"/>
  <c r="AL15" i="63"/>
  <c r="D15" i="63"/>
  <c r="H9" i="23" s="1"/>
  <c r="J9" i="24" s="1"/>
  <c r="AU15" i="63"/>
  <c r="AK15" i="63"/>
  <c r="AT15" i="63"/>
  <c r="AI15" i="63"/>
  <c r="AQ15" i="63"/>
  <c r="AH15" i="63"/>
  <c r="AP15" i="63"/>
  <c r="AG15" i="63"/>
  <c r="AY15" i="63"/>
  <c r="AO15" i="63"/>
  <c r="AX15" i="63"/>
  <c r="AN15" i="63"/>
  <c r="AW15" i="63"/>
  <c r="AM15" i="63"/>
  <c r="A17" i="63"/>
  <c r="E11" i="23" s="1"/>
  <c r="F11" i="24" s="1"/>
  <c r="B16" i="63"/>
  <c r="F10" i="23" s="1"/>
  <c r="G10" i="24" s="1"/>
  <c r="N13" i="63"/>
  <c r="BB14" i="63"/>
  <c r="BA14" i="63"/>
  <c r="N14" i="63" s="1"/>
  <c r="FJ13" i="69" l="1"/>
  <c r="FL13" i="69"/>
  <c r="FL12" i="69"/>
  <c r="FJ12" i="69"/>
  <c r="FL13" i="73"/>
  <c r="FJ13" i="73"/>
  <c r="AB9" i="23"/>
  <c r="E9" i="25" s="1"/>
  <c r="CX15" i="68"/>
  <c r="Z10" i="23"/>
  <c r="B10" i="25" s="1"/>
  <c r="CL16" i="68"/>
  <c r="CF16" i="68"/>
  <c r="CO16" i="68"/>
  <c r="CW16" i="68"/>
  <c r="BH16" i="68"/>
  <c r="BP16" i="68"/>
  <c r="BX16" i="68"/>
  <c r="CG16" i="68"/>
  <c r="CP16" i="68"/>
  <c r="BI16" i="68"/>
  <c r="BQ16" i="68"/>
  <c r="BY16" i="68"/>
  <c r="CH16" i="68"/>
  <c r="CQ16" i="68"/>
  <c r="BJ16" i="68"/>
  <c r="BR16" i="68"/>
  <c r="BZ16" i="68"/>
  <c r="CI16" i="68"/>
  <c r="CR16" i="68"/>
  <c r="BK16" i="68"/>
  <c r="BS16" i="68"/>
  <c r="CJ16" i="68"/>
  <c r="CS16" i="68"/>
  <c r="BL16" i="68"/>
  <c r="BT16" i="68"/>
  <c r="CK16" i="68"/>
  <c r="CT16" i="68"/>
  <c r="BM16" i="68"/>
  <c r="BU16" i="68"/>
  <c r="CD16" i="68"/>
  <c r="CM16" i="68"/>
  <c r="CU16" i="68"/>
  <c r="BN16" i="68"/>
  <c r="BV16" i="68"/>
  <c r="CE16" i="68"/>
  <c r="CN16" i="68"/>
  <c r="CV16" i="68"/>
  <c r="BG16" i="68"/>
  <c r="BO16" i="68"/>
  <c r="BW16" i="68"/>
  <c r="FL14" i="68"/>
  <c r="FJ14" i="68"/>
  <c r="BB14" i="70"/>
  <c r="BA14" i="70"/>
  <c r="N14" i="70" s="1"/>
  <c r="Y14" i="70" s="1"/>
  <c r="AJ8" i="23"/>
  <c r="O8" i="25"/>
  <c r="CA14" i="70"/>
  <c r="O14" i="70" s="1"/>
  <c r="AG10" i="23"/>
  <c r="K10" i="25" s="1"/>
  <c r="A17" i="70"/>
  <c r="B16" i="70"/>
  <c r="AH9" i="23"/>
  <c r="L9" i="25" s="1"/>
  <c r="AS15" i="70"/>
  <c r="AQ15" i="70"/>
  <c r="AX15" i="70"/>
  <c r="AL15" i="70"/>
  <c r="AK15" i="70"/>
  <c r="AZ15" i="70"/>
  <c r="AG15" i="70"/>
  <c r="AN15" i="70"/>
  <c r="D15" i="70"/>
  <c r="AR15" i="70"/>
  <c r="AY15" i="70"/>
  <c r="AJ15" i="70"/>
  <c r="AT15" i="70"/>
  <c r="AO15" i="70"/>
  <c r="AH15" i="70"/>
  <c r="AW15" i="70"/>
  <c r="AM15" i="70"/>
  <c r="AU15" i="70"/>
  <c r="AP15" i="70"/>
  <c r="AV15" i="70"/>
  <c r="AI15" i="70"/>
  <c r="P14" i="70"/>
  <c r="AD9" i="25"/>
  <c r="AV9" i="23"/>
  <c r="Y13" i="68"/>
  <c r="V9" i="23"/>
  <c r="AA9" i="24" s="1"/>
  <c r="AL15" i="67"/>
  <c r="D15" i="67"/>
  <c r="X9" i="23" s="1"/>
  <c r="AD9" i="24" s="1"/>
  <c r="AR15" i="67"/>
  <c r="AQ15" i="67"/>
  <c r="AH15" i="67"/>
  <c r="AS15" i="67"/>
  <c r="AP15" i="67"/>
  <c r="AJ15" i="67"/>
  <c r="AI15" i="67"/>
  <c r="AV15" i="67"/>
  <c r="AN15" i="67"/>
  <c r="AW15" i="67"/>
  <c r="AO15" i="67"/>
  <c r="AT15" i="67"/>
  <c r="AY15" i="67"/>
  <c r="AG15" i="67"/>
  <c r="AZ15" i="67"/>
  <c r="AX15" i="67"/>
  <c r="AK15" i="67"/>
  <c r="AU15" i="67"/>
  <c r="AM15" i="67"/>
  <c r="T9" i="25"/>
  <c r="AN9" i="23"/>
  <c r="Y8" i="25"/>
  <c r="AR8" i="23"/>
  <c r="U10" i="23"/>
  <c r="Z10" i="24" s="1"/>
  <c r="A17" i="67"/>
  <c r="B16" i="67"/>
  <c r="AF9" i="23"/>
  <c r="J9" i="25"/>
  <c r="BB14" i="67"/>
  <c r="BA14" i="67"/>
  <c r="N14" i="67" s="1"/>
  <c r="BB14" i="66"/>
  <c r="BA14" i="66"/>
  <c r="N14" i="66" s="1"/>
  <c r="R9" i="23"/>
  <c r="V9" i="24" s="1"/>
  <c r="AV15" i="66"/>
  <c r="AP15" i="66"/>
  <c r="AY15" i="66"/>
  <c r="AZ15" i="66"/>
  <c r="AN15" i="66"/>
  <c r="AX15" i="66"/>
  <c r="AR15" i="66"/>
  <c r="AI15" i="66"/>
  <c r="AW15" i="66"/>
  <c r="AH15" i="66"/>
  <c r="AK15" i="66"/>
  <c r="AO15" i="66"/>
  <c r="AT15" i="66"/>
  <c r="D15" i="66"/>
  <c r="T9" i="23" s="1"/>
  <c r="Y9" i="24" s="1"/>
  <c r="AG15" i="66"/>
  <c r="AU15" i="66"/>
  <c r="AL15" i="66"/>
  <c r="AM15" i="66"/>
  <c r="AS15" i="66"/>
  <c r="AQ15" i="66"/>
  <c r="AJ15" i="66"/>
  <c r="Q10" i="23"/>
  <c r="U10" i="24" s="1"/>
  <c r="B16" i="66"/>
  <c r="A17" i="66"/>
  <c r="P15" i="73"/>
  <c r="Q14" i="73"/>
  <c r="CA15" i="73"/>
  <c r="O15" i="73" s="1"/>
  <c r="BB15" i="73"/>
  <c r="BA15" i="73"/>
  <c r="AX16" i="73"/>
  <c r="AP16" i="73"/>
  <c r="AH16" i="73"/>
  <c r="AW16" i="73"/>
  <c r="AO16" i="73"/>
  <c r="AG16" i="73"/>
  <c r="AV16" i="73"/>
  <c r="AN16" i="73"/>
  <c r="AU16" i="73"/>
  <c r="AM16" i="73"/>
  <c r="AT16" i="73"/>
  <c r="AL16" i="73"/>
  <c r="AS16" i="73"/>
  <c r="AK16" i="73"/>
  <c r="D16" i="73"/>
  <c r="AZ16" i="73"/>
  <c r="AR16" i="73"/>
  <c r="AJ16" i="73"/>
  <c r="AY16" i="73"/>
  <c r="AQ16" i="73"/>
  <c r="AI16" i="73"/>
  <c r="B17" i="73"/>
  <c r="AT11" i="23" s="1"/>
  <c r="AA11" i="25" s="1"/>
  <c r="A18" i="73"/>
  <c r="AS12" i="23" s="1"/>
  <c r="Z12" i="25" s="1"/>
  <c r="AX15" i="72"/>
  <c r="AP15" i="72"/>
  <c r="AH15" i="72"/>
  <c r="AV15" i="72"/>
  <c r="AN15" i="72"/>
  <c r="AT15" i="72"/>
  <c r="AL15" i="72"/>
  <c r="AS15" i="72"/>
  <c r="AK15" i="72"/>
  <c r="D15" i="72"/>
  <c r="AZ15" i="72"/>
  <c r="AR15" i="72"/>
  <c r="AJ15" i="72"/>
  <c r="AY15" i="72"/>
  <c r="AQ15" i="72"/>
  <c r="AI15" i="72"/>
  <c r="AW15" i="72"/>
  <c r="AU15" i="72"/>
  <c r="AO15" i="72"/>
  <c r="AM15" i="72"/>
  <c r="AG15" i="72"/>
  <c r="A17" i="72"/>
  <c r="AO11" i="23" s="1"/>
  <c r="U11" i="25" s="1"/>
  <c r="B16" i="72"/>
  <c r="AP10" i="23" s="1"/>
  <c r="V10" i="25" s="1"/>
  <c r="BB14" i="72"/>
  <c r="BA14" i="72"/>
  <c r="O13" i="72"/>
  <c r="CA15" i="71"/>
  <c r="N14" i="71"/>
  <c r="BB15" i="71"/>
  <c r="BA15" i="71"/>
  <c r="N15" i="71" s="1"/>
  <c r="AV16" i="71"/>
  <c r="AN16" i="71"/>
  <c r="AU16" i="71"/>
  <c r="AM16" i="71"/>
  <c r="AZ16" i="71"/>
  <c r="AP16" i="71"/>
  <c r="AY16" i="71"/>
  <c r="AO16" i="71"/>
  <c r="D16" i="71"/>
  <c r="AX16" i="71"/>
  <c r="AL16" i="71"/>
  <c r="AW16" i="71"/>
  <c r="AK16" i="71"/>
  <c r="AT16" i="71"/>
  <c r="AJ16" i="71"/>
  <c r="AS16" i="71"/>
  <c r="AI16" i="71"/>
  <c r="AR16" i="71"/>
  <c r="AH16" i="71"/>
  <c r="AQ16" i="71"/>
  <c r="AG16" i="71"/>
  <c r="A18" i="71"/>
  <c r="AK12" i="23" s="1"/>
  <c r="P12" i="25" s="1"/>
  <c r="B17" i="71"/>
  <c r="AL11" i="23" s="1"/>
  <c r="Q11" i="25" s="1"/>
  <c r="AS16" i="69"/>
  <c r="AK16" i="69"/>
  <c r="D16" i="69"/>
  <c r="AY16" i="69"/>
  <c r="AQ16" i="69"/>
  <c r="AI16" i="69"/>
  <c r="AZ16" i="69"/>
  <c r="AO16" i="69"/>
  <c r="AX16" i="69"/>
  <c r="AN16" i="69"/>
  <c r="AW16" i="69"/>
  <c r="AM16" i="69"/>
  <c r="AV16" i="69"/>
  <c r="AL16" i="69"/>
  <c r="AU16" i="69"/>
  <c r="AJ16" i="69"/>
  <c r="AT16" i="69"/>
  <c r="AH16" i="69"/>
  <c r="AR16" i="69"/>
  <c r="AG16" i="69"/>
  <c r="AP16" i="69"/>
  <c r="A18" i="69"/>
  <c r="AC12" i="23" s="1"/>
  <c r="F12" i="25" s="1"/>
  <c r="B17" i="69"/>
  <c r="AD11" i="23" s="1"/>
  <c r="G11" i="25" s="1"/>
  <c r="BB15" i="69"/>
  <c r="BA15" i="69"/>
  <c r="N15" i="69" s="1"/>
  <c r="A18" i="68"/>
  <c r="Y12" i="23" s="1"/>
  <c r="A12" i="25" s="1"/>
  <c r="B17" i="68"/>
  <c r="AZ16" i="68"/>
  <c r="AR16" i="68"/>
  <c r="AJ16" i="68"/>
  <c r="AY16" i="68"/>
  <c r="AQ16" i="68"/>
  <c r="AI16" i="68"/>
  <c r="AV16" i="68"/>
  <c r="AL16" i="68"/>
  <c r="AU16" i="68"/>
  <c r="AK16" i="68"/>
  <c r="AM16" i="68"/>
  <c r="AX16" i="68"/>
  <c r="AH16" i="68"/>
  <c r="AW16" i="68"/>
  <c r="AG16" i="68"/>
  <c r="AT16" i="68"/>
  <c r="AS16" i="68"/>
  <c r="AP16" i="68"/>
  <c r="AO16" i="68"/>
  <c r="D16" i="68"/>
  <c r="AN16" i="68"/>
  <c r="BB15" i="68"/>
  <c r="BA15" i="68"/>
  <c r="N15" i="68" s="1"/>
  <c r="AU16" i="65"/>
  <c r="AM16" i="65"/>
  <c r="AT16" i="65"/>
  <c r="AL16" i="65"/>
  <c r="AV16" i="65"/>
  <c r="AJ16" i="65"/>
  <c r="AS16" i="65"/>
  <c r="AI16" i="65"/>
  <c r="AR16" i="65"/>
  <c r="AH16" i="65"/>
  <c r="AQ16" i="65"/>
  <c r="AG16" i="65"/>
  <c r="AZ16" i="65"/>
  <c r="AP16" i="65"/>
  <c r="AY16" i="65"/>
  <c r="AO16" i="65"/>
  <c r="D16" i="65"/>
  <c r="P10" i="23" s="1"/>
  <c r="T10" i="24" s="1"/>
  <c r="AX16" i="65"/>
  <c r="AN16" i="65"/>
  <c r="AW16" i="65"/>
  <c r="AK16" i="65"/>
  <c r="B17" i="65"/>
  <c r="N11" i="23" s="1"/>
  <c r="Q11" i="24" s="1"/>
  <c r="A18" i="65"/>
  <c r="M12" i="23" s="1"/>
  <c r="P12" i="24" s="1"/>
  <c r="N14" i="65"/>
  <c r="BB15" i="65"/>
  <c r="BA15" i="65"/>
  <c r="N15" i="65" s="1"/>
  <c r="A18" i="64"/>
  <c r="I12" i="23" s="1"/>
  <c r="K12" i="24" s="1"/>
  <c r="B17" i="64"/>
  <c r="J11" i="23" s="1"/>
  <c r="L11" i="24" s="1"/>
  <c r="AT16" i="64"/>
  <c r="AL16" i="64"/>
  <c r="AS16" i="64"/>
  <c r="AK16" i="64"/>
  <c r="D16" i="64"/>
  <c r="L10" i="23" s="1"/>
  <c r="O10" i="24" s="1"/>
  <c r="AZ16" i="64"/>
  <c r="AR16" i="64"/>
  <c r="AJ16" i="64"/>
  <c r="AY16" i="64"/>
  <c r="AQ16" i="64"/>
  <c r="AI16" i="64"/>
  <c r="AM16" i="64"/>
  <c r="AX16" i="64"/>
  <c r="AH16" i="64"/>
  <c r="AW16" i="64"/>
  <c r="AG16" i="64"/>
  <c r="AV16" i="64"/>
  <c r="AU16" i="64"/>
  <c r="AP16" i="64"/>
  <c r="AO16" i="64"/>
  <c r="AN16" i="64"/>
  <c r="BB15" i="64"/>
  <c r="BA15" i="64"/>
  <c r="N15" i="64" s="1"/>
  <c r="N14" i="64"/>
  <c r="AV16" i="63"/>
  <c r="AN16" i="63"/>
  <c r="AU16" i="63"/>
  <c r="AM16" i="63"/>
  <c r="AS16" i="63"/>
  <c r="AI16" i="63"/>
  <c r="AR16" i="63"/>
  <c r="AH16" i="63"/>
  <c r="AQ16" i="63"/>
  <c r="AG16" i="63"/>
  <c r="AZ16" i="63"/>
  <c r="AP16" i="63"/>
  <c r="AY16" i="63"/>
  <c r="AO16" i="63"/>
  <c r="D16" i="63"/>
  <c r="H10" i="23" s="1"/>
  <c r="J10" i="24" s="1"/>
  <c r="AX16" i="63"/>
  <c r="AL16" i="63"/>
  <c r="AW16" i="63"/>
  <c r="AK16" i="63"/>
  <c r="AT16" i="63"/>
  <c r="AJ16" i="63"/>
  <c r="B17" i="63"/>
  <c r="F11" i="23" s="1"/>
  <c r="G11" i="24" s="1"/>
  <c r="A18" i="63"/>
  <c r="E12" i="23" s="1"/>
  <c r="F12" i="24" s="1"/>
  <c r="BB15" i="63"/>
  <c r="BA15" i="63"/>
  <c r="FL14" i="70" l="1"/>
  <c r="FJ14" i="70"/>
  <c r="AB10" i="23"/>
  <c r="E10" i="25" s="1"/>
  <c r="CX16" i="68"/>
  <c r="Z11" i="23"/>
  <c r="B11" i="25" s="1"/>
  <c r="CL17" i="68"/>
  <c r="CK17" i="68"/>
  <c r="CT17" i="68"/>
  <c r="BL17" i="68"/>
  <c r="BT17" i="68"/>
  <c r="CD17" i="68"/>
  <c r="CM17" i="68"/>
  <c r="CU17" i="68"/>
  <c r="BM17" i="68"/>
  <c r="BU17" i="68"/>
  <c r="CE17" i="68"/>
  <c r="CN17" i="68"/>
  <c r="CV17" i="68"/>
  <c r="BN17" i="68"/>
  <c r="BV17" i="68"/>
  <c r="CF17" i="68"/>
  <c r="CO17" i="68"/>
  <c r="CW17" i="68"/>
  <c r="BG17" i="68"/>
  <c r="BO17" i="68"/>
  <c r="BW17" i="68"/>
  <c r="CG17" i="68"/>
  <c r="CP17" i="68"/>
  <c r="BH17" i="68"/>
  <c r="BP17" i="68"/>
  <c r="BX17" i="68"/>
  <c r="CH17" i="68"/>
  <c r="CQ17" i="68"/>
  <c r="BI17" i="68"/>
  <c r="BQ17" i="68"/>
  <c r="BY17" i="68"/>
  <c r="CI17" i="68"/>
  <c r="CR17" i="68"/>
  <c r="BJ17" i="68"/>
  <c r="BR17" i="68"/>
  <c r="BZ17" i="68"/>
  <c r="CJ17" i="68"/>
  <c r="CS17" i="68"/>
  <c r="BK17" i="68"/>
  <c r="BS17" i="68"/>
  <c r="FL13" i="68"/>
  <c r="FJ13" i="68"/>
  <c r="AH10" i="23"/>
  <c r="L10" i="25" s="1"/>
  <c r="AR16" i="70"/>
  <c r="AH16" i="70"/>
  <c r="AY16" i="70"/>
  <c r="AS16" i="70"/>
  <c r="AV16" i="70"/>
  <c r="AO16" i="70"/>
  <c r="AW16" i="70"/>
  <c r="AI16" i="70"/>
  <c r="AN16" i="70"/>
  <c r="AZ16" i="70"/>
  <c r="D16" i="70"/>
  <c r="AK16" i="70"/>
  <c r="AP16" i="70"/>
  <c r="AT16" i="70"/>
  <c r="AU16" i="70"/>
  <c r="AQ16" i="70"/>
  <c r="AX16" i="70"/>
  <c r="AJ16" i="70"/>
  <c r="AL16" i="70"/>
  <c r="AM16" i="70"/>
  <c r="AG16" i="70"/>
  <c r="AG11" i="23"/>
  <c r="K11" i="25" s="1"/>
  <c r="A18" i="70"/>
  <c r="B17" i="70"/>
  <c r="BA15" i="70"/>
  <c r="N15" i="70" s="1"/>
  <c r="BB15" i="70"/>
  <c r="Q14" i="70"/>
  <c r="O9" i="25"/>
  <c r="AJ9" i="23"/>
  <c r="CA15" i="70"/>
  <c r="O15" i="70" s="1"/>
  <c r="T10" i="25"/>
  <c r="AN10" i="23"/>
  <c r="AF10" i="23"/>
  <c r="J10" i="25"/>
  <c r="BB15" i="67"/>
  <c r="BA15" i="67"/>
  <c r="N15" i="67" s="1"/>
  <c r="CA15" i="67"/>
  <c r="O15" i="67" s="1"/>
  <c r="Y9" i="25"/>
  <c r="AR9" i="23"/>
  <c r="V10" i="23"/>
  <c r="AA10" i="24" s="1"/>
  <c r="AV16" i="67"/>
  <c r="AN16" i="67"/>
  <c r="AX16" i="67"/>
  <c r="AJ16" i="67"/>
  <c r="AW16" i="67"/>
  <c r="AS16" i="67"/>
  <c r="AP16" i="67"/>
  <c r="AI16" i="67"/>
  <c r="AO16" i="67"/>
  <c r="AT16" i="67"/>
  <c r="AK16" i="67"/>
  <c r="AZ16" i="67"/>
  <c r="AY16" i="67"/>
  <c r="AH16" i="67"/>
  <c r="AM16" i="67"/>
  <c r="AG16" i="67"/>
  <c r="AU16" i="67"/>
  <c r="AL16" i="67"/>
  <c r="D16" i="67"/>
  <c r="X10" i="23" s="1"/>
  <c r="AD10" i="24" s="1"/>
  <c r="AR16" i="67"/>
  <c r="AQ16" i="67"/>
  <c r="AD10" i="25"/>
  <c r="AV10" i="23"/>
  <c r="U11" i="23"/>
  <c r="Z11" i="24" s="1"/>
  <c r="B17" i="67"/>
  <c r="A18" i="67"/>
  <c r="Q11" i="23"/>
  <c r="U11" i="24" s="1"/>
  <c r="B17" i="66"/>
  <c r="A18" i="66"/>
  <c r="R10" i="23"/>
  <c r="V10" i="24" s="1"/>
  <c r="AR16" i="66"/>
  <c r="AI16" i="66"/>
  <c r="AT16" i="66"/>
  <c r="AU16" i="66"/>
  <c r="AJ16" i="66"/>
  <c r="AV16" i="66"/>
  <c r="AN16" i="66"/>
  <c r="AK16" i="66"/>
  <c r="AW16" i="66"/>
  <c r="AS16" i="66"/>
  <c r="AL16" i="66"/>
  <c r="AO16" i="66"/>
  <c r="AX16" i="66"/>
  <c r="AG16" i="66"/>
  <c r="AM16" i="66"/>
  <c r="AY16" i="66"/>
  <c r="AP16" i="66"/>
  <c r="D16" i="66"/>
  <c r="T10" i="23" s="1"/>
  <c r="Y10" i="24" s="1"/>
  <c r="AZ16" i="66"/>
  <c r="AQ16" i="66"/>
  <c r="AH16" i="66"/>
  <c r="BA15" i="66"/>
  <c r="N15" i="66" s="1"/>
  <c r="BB15" i="66"/>
  <c r="P16" i="73"/>
  <c r="CA16" i="73"/>
  <c r="O16" i="73" s="1"/>
  <c r="BB16" i="73"/>
  <c r="BA16" i="73"/>
  <c r="N16" i="73" s="1"/>
  <c r="A19" i="73"/>
  <c r="AS13" i="23" s="1"/>
  <c r="Z13" i="25" s="1"/>
  <c r="B18" i="73"/>
  <c r="AT12" i="23" s="1"/>
  <c r="AA12" i="25" s="1"/>
  <c r="N15" i="73"/>
  <c r="AS17" i="73"/>
  <c r="AK17" i="73"/>
  <c r="D17" i="73"/>
  <c r="AZ17" i="73"/>
  <c r="AR17" i="73"/>
  <c r="AJ17" i="73"/>
  <c r="AY17" i="73"/>
  <c r="AQ17" i="73"/>
  <c r="AI17" i="73"/>
  <c r="AX17" i="73"/>
  <c r="AP17" i="73"/>
  <c r="AH17" i="73"/>
  <c r="AW17" i="73"/>
  <c r="AO17" i="73"/>
  <c r="AG17" i="73"/>
  <c r="AV17" i="73"/>
  <c r="AN17" i="73"/>
  <c r="AU17" i="73"/>
  <c r="AM17" i="73"/>
  <c r="AT17" i="73"/>
  <c r="AL17" i="73"/>
  <c r="AS16" i="72"/>
  <c r="AK16" i="72"/>
  <c r="D16" i="72"/>
  <c r="AY16" i="72"/>
  <c r="AQ16" i="72"/>
  <c r="AI16" i="72"/>
  <c r="AX16" i="72"/>
  <c r="AP16" i="72"/>
  <c r="AH16" i="72"/>
  <c r="AW16" i="72"/>
  <c r="AO16" i="72"/>
  <c r="AG16" i="72"/>
  <c r="AV16" i="72"/>
  <c r="AN16" i="72"/>
  <c r="AU16" i="72"/>
  <c r="AM16" i="72"/>
  <c r="AT16" i="72"/>
  <c r="AL16" i="72"/>
  <c r="AR16" i="72"/>
  <c r="AJ16" i="72"/>
  <c r="AZ16" i="72"/>
  <c r="N14" i="72"/>
  <c r="A18" i="72"/>
  <c r="AO12" i="23" s="1"/>
  <c r="U12" i="25" s="1"/>
  <c r="B17" i="72"/>
  <c r="AP11" i="23" s="1"/>
  <c r="V11" i="25" s="1"/>
  <c r="BB15" i="72"/>
  <c r="BA15" i="72"/>
  <c r="N15" i="72" s="1"/>
  <c r="AY17" i="71"/>
  <c r="AQ17" i="71"/>
  <c r="AI17" i="71"/>
  <c r="AX17" i="71"/>
  <c r="AP17" i="71"/>
  <c r="AH17" i="71"/>
  <c r="AT17" i="71"/>
  <c r="AJ17" i="71"/>
  <c r="AS17" i="71"/>
  <c r="AG17" i="71"/>
  <c r="AR17" i="71"/>
  <c r="AO17" i="71"/>
  <c r="AZ17" i="71"/>
  <c r="AN17" i="71"/>
  <c r="AW17" i="71"/>
  <c r="AM17" i="71"/>
  <c r="D17" i="71"/>
  <c r="AV17" i="71"/>
  <c r="AL17" i="71"/>
  <c r="AU17" i="71"/>
  <c r="AK17" i="71"/>
  <c r="A19" i="71"/>
  <c r="AK13" i="23" s="1"/>
  <c r="P13" i="25" s="1"/>
  <c r="B18" i="71"/>
  <c r="AL12" i="23" s="1"/>
  <c r="Q12" i="25" s="1"/>
  <c r="BB16" i="71"/>
  <c r="BA16" i="71"/>
  <c r="N16" i="71" s="1"/>
  <c r="O15" i="71"/>
  <c r="BB16" i="69"/>
  <c r="BA16" i="69"/>
  <c r="N16" i="69" s="1"/>
  <c r="AV17" i="69"/>
  <c r="AN17" i="69"/>
  <c r="AT17" i="69"/>
  <c r="AL17" i="69"/>
  <c r="AS17" i="69"/>
  <c r="AK17" i="69"/>
  <c r="D17" i="69"/>
  <c r="AZ17" i="69"/>
  <c r="AR17" i="69"/>
  <c r="AJ17" i="69"/>
  <c r="AM17" i="69"/>
  <c r="AY17" i="69"/>
  <c r="AI17" i="69"/>
  <c r="AX17" i="69"/>
  <c r="AH17" i="69"/>
  <c r="AW17" i="69"/>
  <c r="AG17" i="69"/>
  <c r="AU17" i="69"/>
  <c r="AQ17" i="69"/>
  <c r="AP17" i="69"/>
  <c r="AO17" i="69"/>
  <c r="A19" i="69"/>
  <c r="AC13" i="23" s="1"/>
  <c r="F13" i="25" s="1"/>
  <c r="B18" i="69"/>
  <c r="AD12" i="23" s="1"/>
  <c r="G12" i="25" s="1"/>
  <c r="BB16" i="68"/>
  <c r="BA16" i="68"/>
  <c r="N16" i="68" s="1"/>
  <c r="Y16" i="68" s="1"/>
  <c r="AU17" i="68"/>
  <c r="AM17" i="68"/>
  <c r="AT17" i="68"/>
  <c r="AL17" i="68"/>
  <c r="AS17" i="68"/>
  <c r="AI17" i="68"/>
  <c r="AR17" i="68"/>
  <c r="AH17" i="68"/>
  <c r="AZ17" i="68"/>
  <c r="AN17" i="68"/>
  <c r="AY17" i="68"/>
  <c r="AK17" i="68"/>
  <c r="AX17" i="68"/>
  <c r="AJ17" i="68"/>
  <c r="AW17" i="68"/>
  <c r="AG17" i="68"/>
  <c r="AV17" i="68"/>
  <c r="AQ17" i="68"/>
  <c r="D17" i="68"/>
  <c r="AP17" i="68"/>
  <c r="AO17" i="68"/>
  <c r="A19" i="68"/>
  <c r="Y13" i="23" s="1"/>
  <c r="A13" i="25" s="1"/>
  <c r="B18" i="68"/>
  <c r="B18" i="65"/>
  <c r="N12" i="23" s="1"/>
  <c r="Q12" i="24" s="1"/>
  <c r="A19" i="65"/>
  <c r="M13" i="23" s="1"/>
  <c r="P13" i="24" s="1"/>
  <c r="AX17" i="65"/>
  <c r="AP17" i="65"/>
  <c r="AH17" i="65"/>
  <c r="AW17" i="65"/>
  <c r="AO17" i="65"/>
  <c r="AG17" i="65"/>
  <c r="AR17" i="65"/>
  <c r="AQ17" i="65"/>
  <c r="AZ17" i="65"/>
  <c r="AN17" i="65"/>
  <c r="D17" i="65"/>
  <c r="P11" i="23" s="1"/>
  <c r="T11" i="24" s="1"/>
  <c r="AY17" i="65"/>
  <c r="AM17" i="65"/>
  <c r="AV17" i="65"/>
  <c r="AL17" i="65"/>
  <c r="AU17" i="65"/>
  <c r="AK17" i="65"/>
  <c r="AT17" i="65"/>
  <c r="AJ17" i="65"/>
  <c r="AS17" i="65"/>
  <c r="AI17" i="65"/>
  <c r="BB16" i="65"/>
  <c r="BA16" i="65"/>
  <c r="BB16" i="64"/>
  <c r="BA16" i="64"/>
  <c r="AW17" i="64"/>
  <c r="AO17" i="64"/>
  <c r="AG17" i="64"/>
  <c r="AV17" i="64"/>
  <c r="AN17" i="64"/>
  <c r="AU17" i="64"/>
  <c r="AM17" i="64"/>
  <c r="AT17" i="64"/>
  <c r="AL17" i="64"/>
  <c r="AZ17" i="64"/>
  <c r="AR17" i="64"/>
  <c r="AP17" i="64"/>
  <c r="AK17" i="64"/>
  <c r="AJ17" i="64"/>
  <c r="AI17" i="64"/>
  <c r="AY17" i="64"/>
  <c r="AH17" i="64"/>
  <c r="D17" i="64"/>
  <c r="L11" i="23" s="1"/>
  <c r="O11" i="24" s="1"/>
  <c r="AX17" i="64"/>
  <c r="AS17" i="64"/>
  <c r="AQ17" i="64"/>
  <c r="B18" i="64"/>
  <c r="J12" i="23" s="1"/>
  <c r="L12" i="24" s="1"/>
  <c r="A19" i="64"/>
  <c r="I13" i="23" s="1"/>
  <c r="K13" i="24" s="1"/>
  <c r="CA16" i="64"/>
  <c r="AY17" i="63"/>
  <c r="AQ17" i="63"/>
  <c r="AI17" i="63"/>
  <c r="AX17" i="63"/>
  <c r="AP17" i="63"/>
  <c r="AH17" i="63"/>
  <c r="AW17" i="63"/>
  <c r="AM17" i="63"/>
  <c r="D17" i="63"/>
  <c r="H11" i="23" s="1"/>
  <c r="J11" i="24" s="1"/>
  <c r="AV17" i="63"/>
  <c r="AL17" i="63"/>
  <c r="AU17" i="63"/>
  <c r="AK17" i="63"/>
  <c r="AT17" i="63"/>
  <c r="AJ17" i="63"/>
  <c r="AS17" i="63"/>
  <c r="AG17" i="63"/>
  <c r="AR17" i="63"/>
  <c r="AO17" i="63"/>
  <c r="AZ17" i="63"/>
  <c r="AN17" i="63"/>
  <c r="N15" i="63"/>
  <c r="A19" i="63"/>
  <c r="E13" i="23" s="1"/>
  <c r="F13" i="24" s="1"/>
  <c r="B18" i="63"/>
  <c r="F12" i="23" s="1"/>
  <c r="G12" i="24" s="1"/>
  <c r="BB16" i="63"/>
  <c r="BA16" i="63"/>
  <c r="N16" i="63" s="1"/>
  <c r="AB11" i="23" l="1"/>
  <c r="E11" i="25" s="1"/>
  <c r="CX17" i="68"/>
  <c r="Z12" i="23"/>
  <c r="B12" i="25" s="1"/>
  <c r="CL18" i="68"/>
  <c r="CH18" i="68"/>
  <c r="CQ18" i="68"/>
  <c r="BH18" i="68"/>
  <c r="BP18" i="68"/>
  <c r="BX18" i="68"/>
  <c r="CI18" i="68"/>
  <c r="CR18" i="68"/>
  <c r="BI18" i="68"/>
  <c r="BQ18" i="68"/>
  <c r="CJ18" i="68"/>
  <c r="CS18" i="68"/>
  <c r="BJ18" i="68"/>
  <c r="BR18" i="68"/>
  <c r="BZ18" i="68"/>
  <c r="CK18" i="68"/>
  <c r="CT18" i="68"/>
  <c r="BK18" i="68"/>
  <c r="BS18" i="68"/>
  <c r="CD18" i="68"/>
  <c r="CM18" i="68"/>
  <c r="CU18" i="68"/>
  <c r="BL18" i="68"/>
  <c r="CE18" i="68"/>
  <c r="CN18" i="68"/>
  <c r="CV18" i="68"/>
  <c r="BM18" i="68"/>
  <c r="BU18" i="68"/>
  <c r="CF18" i="68"/>
  <c r="CO18" i="68"/>
  <c r="CW18" i="68"/>
  <c r="BN18" i="68"/>
  <c r="BV18" i="68"/>
  <c r="CG18" i="68"/>
  <c r="CP18" i="68"/>
  <c r="BG18" i="68"/>
  <c r="BO18" i="68"/>
  <c r="BW18" i="68"/>
  <c r="BT18" i="68"/>
  <c r="BY18" i="68"/>
  <c r="FJ16" i="68"/>
  <c r="FL16" i="68"/>
  <c r="AH11" i="23"/>
  <c r="L11" i="25" s="1"/>
  <c r="AY17" i="70"/>
  <c r="AP17" i="70"/>
  <c r="AM17" i="70"/>
  <c r="AK17" i="70"/>
  <c r="AZ17" i="70"/>
  <c r="AQ17" i="70"/>
  <c r="AH17" i="70"/>
  <c r="AN17" i="70"/>
  <c r="AR17" i="70"/>
  <c r="AI17" i="70"/>
  <c r="AJ17" i="70"/>
  <c r="AV17" i="70"/>
  <c r="AT17" i="70"/>
  <c r="D17" i="70"/>
  <c r="AW17" i="70"/>
  <c r="AL17" i="70"/>
  <c r="AO17" i="70"/>
  <c r="AS17" i="70"/>
  <c r="AX17" i="70"/>
  <c r="AG17" i="70"/>
  <c r="AU17" i="70"/>
  <c r="AJ10" i="23"/>
  <c r="O10" i="25"/>
  <c r="CA16" i="70"/>
  <c r="O16" i="70" s="1"/>
  <c r="AG12" i="23"/>
  <c r="K12" i="25" s="1"/>
  <c r="B18" i="70"/>
  <c r="A19" i="70"/>
  <c r="BB16" i="70"/>
  <c r="BA16" i="70"/>
  <c r="N16" i="70" s="1"/>
  <c r="U12" i="23"/>
  <c r="Z12" i="24" s="1"/>
  <c r="B18" i="67"/>
  <c r="A19" i="67"/>
  <c r="BB16" i="67"/>
  <c r="BA16" i="67"/>
  <c r="N16" i="67" s="1"/>
  <c r="J11" i="25"/>
  <c r="AF11" i="23"/>
  <c r="V11" i="23"/>
  <c r="AA11" i="24" s="1"/>
  <c r="AQ17" i="67"/>
  <c r="AZ17" i="67"/>
  <c r="AI17" i="67"/>
  <c r="AN17" i="67"/>
  <c r="AS17" i="67"/>
  <c r="AY17" i="67"/>
  <c r="AR17" i="67"/>
  <c r="AK17" i="67"/>
  <c r="AJ17" i="67"/>
  <c r="AW17" i="67"/>
  <c r="AT17" i="67"/>
  <c r="D17" i="67"/>
  <c r="X11" i="23" s="1"/>
  <c r="AD11" i="24" s="1"/>
  <c r="AL17" i="67"/>
  <c r="AH17" i="67"/>
  <c r="AO17" i="67"/>
  <c r="AU17" i="67"/>
  <c r="AX17" i="67"/>
  <c r="AG17" i="67"/>
  <c r="AM17" i="67"/>
  <c r="AP17" i="67"/>
  <c r="AV17" i="67"/>
  <c r="AV11" i="23"/>
  <c r="AD11" i="25"/>
  <c r="T11" i="25"/>
  <c r="AN11" i="23"/>
  <c r="Y10" i="25"/>
  <c r="AR10" i="23"/>
  <c r="CA16" i="67"/>
  <c r="O16" i="67" s="1"/>
  <c r="BB16" i="66"/>
  <c r="BA16" i="66"/>
  <c r="N16" i="66" s="1"/>
  <c r="Q12" i="23"/>
  <c r="U12" i="24" s="1"/>
  <c r="B18" i="66"/>
  <c r="A19" i="66"/>
  <c r="R11" i="23"/>
  <c r="V11" i="24" s="1"/>
  <c r="AT17" i="66"/>
  <c r="AK17" i="66"/>
  <c r="AR17" i="66"/>
  <c r="AQ17" i="66"/>
  <c r="AH17" i="66"/>
  <c r="AV17" i="66"/>
  <c r="AL17" i="66"/>
  <c r="D17" i="66"/>
  <c r="T11" i="23" s="1"/>
  <c r="Y11" i="24" s="1"/>
  <c r="AJ17" i="66"/>
  <c r="AI17" i="66"/>
  <c r="AN17" i="66"/>
  <c r="AU17" i="66"/>
  <c r="AO17" i="66"/>
  <c r="AG17" i="66"/>
  <c r="AM17" i="66"/>
  <c r="AW17" i="66"/>
  <c r="AX17" i="66"/>
  <c r="AS17" i="66"/>
  <c r="AZ17" i="66"/>
  <c r="AY17" i="66"/>
  <c r="AP17" i="66"/>
  <c r="G35" i="50"/>
  <c r="G36" i="50" s="1"/>
  <c r="P17" i="73"/>
  <c r="Q16" i="73"/>
  <c r="CA17" i="73"/>
  <c r="O17" i="73" s="1"/>
  <c r="Q15" i="73"/>
  <c r="BB17" i="73"/>
  <c r="BA17" i="73"/>
  <c r="N17" i="73" s="1"/>
  <c r="Y16" i="73" s="1"/>
  <c r="AV18" i="73"/>
  <c r="AN18" i="73"/>
  <c r="AU18" i="73"/>
  <c r="AM18" i="73"/>
  <c r="AT18" i="73"/>
  <c r="AL18" i="73"/>
  <c r="AS18" i="73"/>
  <c r="AK18" i="73"/>
  <c r="D18" i="73"/>
  <c r="AZ18" i="73"/>
  <c r="AR18" i="73"/>
  <c r="AJ18" i="73"/>
  <c r="AY18" i="73"/>
  <c r="AQ18" i="73"/>
  <c r="AI18" i="73"/>
  <c r="AX18" i="73"/>
  <c r="AP18" i="73"/>
  <c r="AH18" i="73"/>
  <c r="AW18" i="73"/>
  <c r="AO18" i="73"/>
  <c r="AG18" i="73"/>
  <c r="A20" i="73"/>
  <c r="AS14" i="23" s="1"/>
  <c r="Z14" i="25" s="1"/>
  <c r="B19" i="73"/>
  <c r="AT13" i="23" s="1"/>
  <c r="AA13" i="25" s="1"/>
  <c r="A19" i="72"/>
  <c r="AO13" i="23" s="1"/>
  <c r="U13" i="25" s="1"/>
  <c r="B18" i="72"/>
  <c r="AP12" i="23" s="1"/>
  <c r="V12" i="25" s="1"/>
  <c r="AV17" i="72"/>
  <c r="AN17" i="72"/>
  <c r="AT17" i="72"/>
  <c r="AL17" i="72"/>
  <c r="AS17" i="72"/>
  <c r="AK17" i="72"/>
  <c r="D17" i="72"/>
  <c r="AZ17" i="72"/>
  <c r="AR17" i="72"/>
  <c r="AJ17" i="72"/>
  <c r="AY17" i="72"/>
  <c r="AQ17" i="72"/>
  <c r="AI17" i="72"/>
  <c r="AX17" i="72"/>
  <c r="AP17" i="72"/>
  <c r="AH17" i="72"/>
  <c r="AW17" i="72"/>
  <c r="AO17" i="72"/>
  <c r="AG17" i="72"/>
  <c r="AU17" i="72"/>
  <c r="AM17" i="72"/>
  <c r="BB16" i="72"/>
  <c r="BA16" i="72"/>
  <c r="N16" i="72" s="1"/>
  <c r="AT18" i="71"/>
  <c r="AL18" i="71"/>
  <c r="AS18" i="71"/>
  <c r="AK18" i="71"/>
  <c r="D18" i="71"/>
  <c r="AZ18" i="71"/>
  <c r="AP18" i="71"/>
  <c r="AY18" i="71"/>
  <c r="AO18" i="71"/>
  <c r="AX18" i="71"/>
  <c r="AN18" i="71"/>
  <c r="AW18" i="71"/>
  <c r="AM18" i="71"/>
  <c r="AV18" i="71"/>
  <c r="AJ18" i="71"/>
  <c r="AU18" i="71"/>
  <c r="AI18" i="71"/>
  <c r="AR18" i="71"/>
  <c r="AH18" i="71"/>
  <c r="AQ18" i="71"/>
  <c r="AG18" i="71"/>
  <c r="A20" i="71"/>
  <c r="AK14" i="23" s="1"/>
  <c r="P14" i="25" s="1"/>
  <c r="B19" i="71"/>
  <c r="AL13" i="23" s="1"/>
  <c r="Q13" i="25" s="1"/>
  <c r="BB17" i="71"/>
  <c r="BA17" i="71"/>
  <c r="N17" i="71" s="1"/>
  <c r="Y16" i="71" s="1"/>
  <c r="AY18" i="69"/>
  <c r="AQ18" i="69"/>
  <c r="AI18" i="69"/>
  <c r="AX18" i="69"/>
  <c r="AP18" i="69"/>
  <c r="AH18" i="69"/>
  <c r="AW18" i="69"/>
  <c r="AO18" i="69"/>
  <c r="AG18" i="69"/>
  <c r="AV18" i="69"/>
  <c r="AN18" i="69"/>
  <c r="AU18" i="69"/>
  <c r="AM18" i="69"/>
  <c r="AL18" i="69"/>
  <c r="AK18" i="69"/>
  <c r="AJ18" i="69"/>
  <c r="D18" i="69"/>
  <c r="AZ18" i="69"/>
  <c r="AT18" i="69"/>
  <c r="AS18" i="69"/>
  <c r="AR18" i="69"/>
  <c r="BB17" i="69"/>
  <c r="BA17" i="69"/>
  <c r="N17" i="69" s="1"/>
  <c r="Y16" i="69" s="1"/>
  <c r="B19" i="69"/>
  <c r="AD13" i="23" s="1"/>
  <c r="G13" i="25" s="1"/>
  <c r="A20" i="69"/>
  <c r="AC14" i="23" s="1"/>
  <c r="F14" i="25" s="1"/>
  <c r="B19" i="68"/>
  <c r="A20" i="68"/>
  <c r="Y14" i="23" s="1"/>
  <c r="A14" i="25" s="1"/>
  <c r="BB17" i="68"/>
  <c r="BA17" i="68"/>
  <c r="N17" i="68" s="1"/>
  <c r="AX18" i="68"/>
  <c r="AP18" i="68"/>
  <c r="AH18" i="68"/>
  <c r="AW18" i="68"/>
  <c r="AO18" i="68"/>
  <c r="AG18" i="68"/>
  <c r="AQ18" i="68"/>
  <c r="AZ18" i="68"/>
  <c r="AN18" i="68"/>
  <c r="D18" i="68"/>
  <c r="AR18" i="68"/>
  <c r="AM18" i="68"/>
  <c r="AL18" i="68"/>
  <c r="AY18" i="68"/>
  <c r="AK18" i="68"/>
  <c r="AV18" i="68"/>
  <c r="AJ18" i="68"/>
  <c r="AU18" i="68"/>
  <c r="AI18" i="68"/>
  <c r="AT18" i="68"/>
  <c r="AS18" i="68"/>
  <c r="BB17" i="65"/>
  <c r="BA17" i="65"/>
  <c r="N17" i="65" s="1"/>
  <c r="Y17" i="65" s="1"/>
  <c r="A20" i="65"/>
  <c r="M14" i="23" s="1"/>
  <c r="P14" i="24" s="1"/>
  <c r="B19" i="65"/>
  <c r="N13" i="23" s="1"/>
  <c r="Q13" i="24" s="1"/>
  <c r="AS18" i="65"/>
  <c r="AK18" i="65"/>
  <c r="D18" i="65"/>
  <c r="P12" i="23" s="1"/>
  <c r="T12" i="24" s="1"/>
  <c r="AZ18" i="65"/>
  <c r="AR18" i="65"/>
  <c r="AJ18" i="65"/>
  <c r="AV18" i="65"/>
  <c r="AL18" i="65"/>
  <c r="AU18" i="65"/>
  <c r="AI18" i="65"/>
  <c r="AT18" i="65"/>
  <c r="AH18" i="65"/>
  <c r="AQ18" i="65"/>
  <c r="AG18" i="65"/>
  <c r="AP18" i="65"/>
  <c r="AY18" i="65"/>
  <c r="AO18" i="65"/>
  <c r="AX18" i="65"/>
  <c r="AN18" i="65"/>
  <c r="AW18" i="65"/>
  <c r="AM18" i="65"/>
  <c r="N16" i="65"/>
  <c r="Y16" i="65" s="1"/>
  <c r="BB17" i="64"/>
  <c r="BA17" i="64"/>
  <c r="N17" i="64" s="1"/>
  <c r="Y16" i="64" s="1"/>
  <c r="B19" i="64"/>
  <c r="J13" i="23" s="1"/>
  <c r="L13" i="24" s="1"/>
  <c r="A20" i="64"/>
  <c r="I14" i="23" s="1"/>
  <c r="K14" i="24" s="1"/>
  <c r="N16" i="64"/>
  <c r="O16" i="64"/>
  <c r="AZ18" i="64"/>
  <c r="AR18" i="64"/>
  <c r="AJ18" i="64"/>
  <c r="AY18" i="64"/>
  <c r="AQ18" i="64"/>
  <c r="AI18" i="64"/>
  <c r="AX18" i="64"/>
  <c r="AP18" i="64"/>
  <c r="AH18" i="64"/>
  <c r="AW18" i="64"/>
  <c r="AO18" i="64"/>
  <c r="AG18" i="64"/>
  <c r="AV18" i="64"/>
  <c r="AN18" i="64"/>
  <c r="AU18" i="64"/>
  <c r="AM18" i="64"/>
  <c r="AL18" i="64"/>
  <c r="AK18" i="64"/>
  <c r="D18" i="64"/>
  <c r="L12" i="23" s="1"/>
  <c r="O12" i="24" s="1"/>
  <c r="AT18" i="64"/>
  <c r="AS18" i="64"/>
  <c r="CA17" i="64"/>
  <c r="O17" i="64" s="1"/>
  <c r="BB17" i="63"/>
  <c r="BA17" i="63"/>
  <c r="N17" i="63" s="1"/>
  <c r="Y15" i="63"/>
  <c r="AT18" i="63"/>
  <c r="AL18" i="63"/>
  <c r="AS18" i="63"/>
  <c r="AK18" i="63"/>
  <c r="D18" i="63"/>
  <c r="H12" i="23" s="1"/>
  <c r="J12" i="24" s="1"/>
  <c r="AU18" i="63"/>
  <c r="AI18" i="63"/>
  <c r="AR18" i="63"/>
  <c r="AH18" i="63"/>
  <c r="AQ18" i="63"/>
  <c r="AG18" i="63"/>
  <c r="AZ18" i="63"/>
  <c r="AP18" i="63"/>
  <c r="AY18" i="63"/>
  <c r="AO18" i="63"/>
  <c r="AX18" i="63"/>
  <c r="AN18" i="63"/>
  <c r="AW18" i="63"/>
  <c r="AM18" i="63"/>
  <c r="AV18" i="63"/>
  <c r="AJ18" i="63"/>
  <c r="A20" i="63"/>
  <c r="E14" i="23" s="1"/>
  <c r="F14" i="24" s="1"/>
  <c r="B19" i="63"/>
  <c r="F13" i="23" s="1"/>
  <c r="G13" i="24" s="1"/>
  <c r="FJ16" i="64" l="1"/>
  <c r="FL16" i="64"/>
  <c r="FL16" i="65"/>
  <c r="FJ16" i="65"/>
  <c r="FJ17" i="65"/>
  <c r="FL17" i="65"/>
  <c r="FL15" i="63"/>
  <c r="FJ15" i="63"/>
  <c r="FL16" i="73"/>
  <c r="FJ16" i="73"/>
  <c r="FJ16" i="71"/>
  <c r="FL16" i="71"/>
  <c r="FL16" i="69"/>
  <c r="FJ16" i="69"/>
  <c r="AB12" i="23"/>
  <c r="E12" i="25" s="1"/>
  <c r="CX18" i="68"/>
  <c r="Z13" i="23"/>
  <c r="B13" i="25" s="1"/>
  <c r="CL19" i="68"/>
  <c r="CE19" i="68"/>
  <c r="CN19" i="68"/>
  <c r="CV19" i="68"/>
  <c r="CF19" i="68"/>
  <c r="CO19" i="68"/>
  <c r="CW19" i="68"/>
  <c r="CG19" i="68"/>
  <c r="CP19" i="68"/>
  <c r="CH19" i="68"/>
  <c r="CQ19" i="68"/>
  <c r="CI19" i="68"/>
  <c r="CR19" i="68"/>
  <c r="CJ19" i="68"/>
  <c r="CS19" i="68"/>
  <c r="CK19" i="68"/>
  <c r="CT19" i="68"/>
  <c r="CD19" i="68"/>
  <c r="CM19" i="68"/>
  <c r="CU19" i="68"/>
  <c r="BH19" i="68"/>
  <c r="BP19" i="68"/>
  <c r="BX19" i="68"/>
  <c r="BI19" i="68"/>
  <c r="BQ19" i="68"/>
  <c r="BY19" i="68"/>
  <c r="BJ19" i="68"/>
  <c r="BR19" i="68"/>
  <c r="BZ19" i="68"/>
  <c r="BK19" i="68"/>
  <c r="BS19" i="68"/>
  <c r="BL19" i="68"/>
  <c r="BT19" i="68"/>
  <c r="BM19" i="68"/>
  <c r="BU19" i="68"/>
  <c r="BN19" i="68"/>
  <c r="BV19" i="68"/>
  <c r="BG19" i="68"/>
  <c r="BO19" i="68"/>
  <c r="BW19" i="68"/>
  <c r="O11" i="25"/>
  <c r="AJ11" i="23"/>
  <c r="BB17" i="70"/>
  <c r="BA17" i="70"/>
  <c r="N17" i="70" s="1"/>
  <c r="AG13" i="23"/>
  <c r="K13" i="25" s="1"/>
  <c r="A20" i="70"/>
  <c r="B19" i="70"/>
  <c r="AH12" i="23"/>
  <c r="L12" i="25" s="1"/>
  <c r="AX18" i="70"/>
  <c r="AS18" i="70"/>
  <c r="AZ18" i="70"/>
  <c r="AY18" i="70"/>
  <c r="AP18" i="70"/>
  <c r="AO18" i="70"/>
  <c r="AT18" i="70"/>
  <c r="AK18" i="70"/>
  <c r="AR18" i="70"/>
  <c r="AQ18" i="70"/>
  <c r="AH18" i="70"/>
  <c r="AL18" i="70"/>
  <c r="D18" i="70"/>
  <c r="AJ18" i="70"/>
  <c r="AI18" i="70"/>
  <c r="AN18" i="70"/>
  <c r="AU18" i="70"/>
  <c r="AG18" i="70"/>
  <c r="AM18" i="70"/>
  <c r="AW18" i="70"/>
  <c r="AV18" i="70"/>
  <c r="CA17" i="70"/>
  <c r="O17" i="70" s="1"/>
  <c r="AV12" i="23"/>
  <c r="AD12" i="25"/>
  <c r="BA17" i="67"/>
  <c r="N17" i="67" s="1"/>
  <c r="BB17" i="67"/>
  <c r="T12" i="25"/>
  <c r="AN12" i="23"/>
  <c r="Y11" i="25"/>
  <c r="AR11" i="23"/>
  <c r="U13" i="23"/>
  <c r="Z13" i="24" s="1"/>
  <c r="A20" i="67"/>
  <c r="B19" i="67"/>
  <c r="J12" i="25"/>
  <c r="AF12" i="23"/>
  <c r="V12" i="23"/>
  <c r="AA12" i="24" s="1"/>
  <c r="AZ18" i="67"/>
  <c r="AQ18" i="67"/>
  <c r="AH18" i="67"/>
  <c r="AL18" i="67"/>
  <c r="AS18" i="67"/>
  <c r="AR18" i="67"/>
  <c r="AI18" i="67"/>
  <c r="AV18" i="67"/>
  <c r="AT18" i="67"/>
  <c r="AO18" i="67"/>
  <c r="AK18" i="67"/>
  <c r="AJ18" i="67"/>
  <c r="AN18" i="67"/>
  <c r="AW18" i="67"/>
  <c r="AU18" i="67"/>
  <c r="AG18" i="67"/>
  <c r="AX18" i="67"/>
  <c r="AM18" i="67"/>
  <c r="AY18" i="67"/>
  <c r="AP18" i="67"/>
  <c r="D18" i="67"/>
  <c r="X12" i="23" s="1"/>
  <c r="AD12" i="24" s="1"/>
  <c r="Q13" i="23"/>
  <c r="U13" i="24" s="1"/>
  <c r="B19" i="66"/>
  <c r="A20" i="66"/>
  <c r="R12" i="23"/>
  <c r="V12" i="24" s="1"/>
  <c r="AP18" i="66"/>
  <c r="AM18" i="66"/>
  <c r="AJ18" i="66"/>
  <c r="AI18" i="66"/>
  <c r="AH18" i="66"/>
  <c r="AV18" i="66"/>
  <c r="AN18" i="66"/>
  <c r="AW18" i="66"/>
  <c r="AS18" i="66"/>
  <c r="AO18" i="66"/>
  <c r="AT18" i="66"/>
  <c r="AK18" i="66"/>
  <c r="AZ18" i="66"/>
  <c r="AY18" i="66"/>
  <c r="AX18" i="66"/>
  <c r="AG18" i="66"/>
  <c r="AU18" i="66"/>
  <c r="AL18" i="66"/>
  <c r="D18" i="66"/>
  <c r="T12" i="23" s="1"/>
  <c r="Y12" i="24" s="1"/>
  <c r="AR18" i="66"/>
  <c r="AQ18" i="66"/>
  <c r="BB17" i="66"/>
  <c r="BA17" i="66"/>
  <c r="N17" i="66" s="1"/>
  <c r="Q17" i="73"/>
  <c r="P18" i="73"/>
  <c r="CA18" i="73"/>
  <c r="O18" i="73" s="1"/>
  <c r="AY19" i="73"/>
  <c r="AQ19" i="73"/>
  <c r="AI19" i="73"/>
  <c r="AX19" i="73"/>
  <c r="AP19" i="73"/>
  <c r="AH19" i="73"/>
  <c r="AW19" i="73"/>
  <c r="AO19" i="73"/>
  <c r="AG19" i="73"/>
  <c r="AV19" i="73"/>
  <c r="AN19" i="73"/>
  <c r="AU19" i="73"/>
  <c r="AM19" i="73"/>
  <c r="AT19" i="73"/>
  <c r="AL19" i="73"/>
  <c r="AS19" i="73"/>
  <c r="AK19" i="73"/>
  <c r="D19" i="73"/>
  <c r="AZ19" i="73"/>
  <c r="AR19" i="73"/>
  <c r="AJ19" i="73"/>
  <c r="B20" i="73"/>
  <c r="AT14" i="23" s="1"/>
  <c r="AA14" i="25" s="1"/>
  <c r="A21" i="73"/>
  <c r="AS15" i="23" s="1"/>
  <c r="Z15" i="25" s="1"/>
  <c r="BB18" i="73"/>
  <c r="BA18" i="73"/>
  <c r="N18" i="73" s="1"/>
  <c r="Y17" i="73" s="1"/>
  <c r="BB17" i="72"/>
  <c r="BA17" i="72"/>
  <c r="N17" i="72" s="1"/>
  <c r="AY18" i="72"/>
  <c r="AQ18" i="72"/>
  <c r="AI18" i="72"/>
  <c r="AW18" i="72"/>
  <c r="AO18" i="72"/>
  <c r="AG18" i="72"/>
  <c r="AV18" i="72"/>
  <c r="AN18" i="72"/>
  <c r="AU18" i="72"/>
  <c r="AM18" i="72"/>
  <c r="AT18" i="72"/>
  <c r="AL18" i="72"/>
  <c r="AS18" i="72"/>
  <c r="AK18" i="72"/>
  <c r="D18" i="72"/>
  <c r="AZ18" i="72"/>
  <c r="AR18" i="72"/>
  <c r="AJ18" i="72"/>
  <c r="AX18" i="72"/>
  <c r="AP18" i="72"/>
  <c r="AH18" i="72"/>
  <c r="B19" i="72"/>
  <c r="AP13" i="23" s="1"/>
  <c r="V13" i="25" s="1"/>
  <c r="A20" i="72"/>
  <c r="AO14" i="23" s="1"/>
  <c r="U14" i="25" s="1"/>
  <c r="AW19" i="71"/>
  <c r="AO19" i="71"/>
  <c r="AG19" i="71"/>
  <c r="AV19" i="71"/>
  <c r="AN19" i="71"/>
  <c r="AU19" i="71"/>
  <c r="AT19" i="71"/>
  <c r="AZ19" i="71"/>
  <c r="AL19" i="71"/>
  <c r="AY19" i="71"/>
  <c r="AK19" i="71"/>
  <c r="AX19" i="71"/>
  <c r="AJ19" i="71"/>
  <c r="AS19" i="71"/>
  <c r="AI19" i="71"/>
  <c r="AR19" i="71"/>
  <c r="AH19" i="71"/>
  <c r="AQ19" i="71"/>
  <c r="AP19" i="71"/>
  <c r="AM19" i="71"/>
  <c r="D19" i="71"/>
  <c r="B20" i="71"/>
  <c r="AL14" i="23" s="1"/>
  <c r="Q14" i="25" s="1"/>
  <c r="A21" i="71"/>
  <c r="AK15" i="23" s="1"/>
  <c r="P15" i="25" s="1"/>
  <c r="BB18" i="71"/>
  <c r="BA18" i="71"/>
  <c r="N18" i="71" s="1"/>
  <c r="BB18" i="69"/>
  <c r="BA18" i="69"/>
  <c r="N18" i="69" s="1"/>
  <c r="A21" i="69"/>
  <c r="AC15" i="23" s="1"/>
  <c r="F15" i="25" s="1"/>
  <c r="B20" i="69"/>
  <c r="AD14" i="23" s="1"/>
  <c r="G14" i="25" s="1"/>
  <c r="AT19" i="69"/>
  <c r="AL19" i="69"/>
  <c r="AS19" i="69"/>
  <c r="AK19" i="69"/>
  <c r="D19" i="69"/>
  <c r="AZ19" i="69"/>
  <c r="AR19" i="69"/>
  <c r="AJ19" i="69"/>
  <c r="AY19" i="69"/>
  <c r="AQ19" i="69"/>
  <c r="AI19" i="69"/>
  <c r="AX19" i="69"/>
  <c r="AP19" i="69"/>
  <c r="AH19" i="69"/>
  <c r="AW19" i="69"/>
  <c r="AO19" i="69"/>
  <c r="AG19" i="69"/>
  <c r="AV19" i="69"/>
  <c r="AN19" i="69"/>
  <c r="AU19" i="69"/>
  <c r="AM19" i="69"/>
  <c r="BB18" i="68"/>
  <c r="BA18" i="68"/>
  <c r="N18" i="68" s="1"/>
  <c r="A21" i="68"/>
  <c r="Y15" i="23" s="1"/>
  <c r="A15" i="25" s="1"/>
  <c r="B20" i="68"/>
  <c r="AT19" i="68"/>
  <c r="AL19" i="68"/>
  <c r="AS19" i="68"/>
  <c r="AK19" i="68"/>
  <c r="D19" i="68"/>
  <c r="AZ19" i="68"/>
  <c r="AR19" i="68"/>
  <c r="AJ19" i="68"/>
  <c r="AY19" i="68"/>
  <c r="AQ19" i="68"/>
  <c r="AI19" i="68"/>
  <c r="AM19" i="68"/>
  <c r="AX19" i="68"/>
  <c r="AH19" i="68"/>
  <c r="AV19" i="68"/>
  <c r="AU19" i="68"/>
  <c r="AP19" i="68"/>
  <c r="AO19" i="68"/>
  <c r="AN19" i="68"/>
  <c r="AG19" i="68"/>
  <c r="AW19" i="68"/>
  <c r="AV19" i="65"/>
  <c r="AN19" i="65"/>
  <c r="AU19" i="65"/>
  <c r="AM19" i="65"/>
  <c r="AT19" i="65"/>
  <c r="AL19" i="65"/>
  <c r="AZ19" i="65"/>
  <c r="AR19" i="65"/>
  <c r="AJ19" i="65"/>
  <c r="AY19" i="65"/>
  <c r="AQ19" i="65"/>
  <c r="AI19" i="65"/>
  <c r="AG19" i="65"/>
  <c r="AX19" i="65"/>
  <c r="D19" i="65"/>
  <c r="P13" i="23" s="1"/>
  <c r="T13" i="24" s="1"/>
  <c r="AW19" i="65"/>
  <c r="AS19" i="65"/>
  <c r="AP19" i="65"/>
  <c r="AO19" i="65"/>
  <c r="AK19" i="65"/>
  <c r="AH19" i="65"/>
  <c r="A21" i="65"/>
  <c r="M15" i="23" s="1"/>
  <c r="P15" i="24" s="1"/>
  <c r="B20" i="65"/>
  <c r="N14" i="23" s="1"/>
  <c r="Q14" i="24" s="1"/>
  <c r="BB18" i="65"/>
  <c r="BA18" i="65"/>
  <c r="N18" i="65" s="1"/>
  <c r="A21" i="64"/>
  <c r="I15" i="23" s="1"/>
  <c r="K15" i="24" s="1"/>
  <c r="B20" i="64"/>
  <c r="J14" i="23" s="1"/>
  <c r="L14" i="24" s="1"/>
  <c r="AU19" i="64"/>
  <c r="AM19" i="64"/>
  <c r="AT19" i="64"/>
  <c r="AL19" i="64"/>
  <c r="AS19" i="64"/>
  <c r="AK19" i="64"/>
  <c r="D19" i="64"/>
  <c r="L13" i="23" s="1"/>
  <c r="O13" i="24" s="1"/>
  <c r="AZ19" i="64"/>
  <c r="AR19" i="64"/>
  <c r="AJ19" i="64"/>
  <c r="AY19" i="64"/>
  <c r="AQ19" i="64"/>
  <c r="AI19" i="64"/>
  <c r="AX19" i="64"/>
  <c r="AP19" i="64"/>
  <c r="AH19" i="64"/>
  <c r="AW19" i="64"/>
  <c r="AO19" i="64"/>
  <c r="AG19" i="64"/>
  <c r="AV19" i="64"/>
  <c r="AN19" i="64"/>
  <c r="BB18" i="64"/>
  <c r="BA18" i="64"/>
  <c r="N18" i="64" s="1"/>
  <c r="Y17" i="64" s="1"/>
  <c r="AW19" i="63"/>
  <c r="AO19" i="63"/>
  <c r="AG19" i="63"/>
  <c r="AV19" i="63"/>
  <c r="AN19" i="63"/>
  <c r="AQ19" i="63"/>
  <c r="AZ19" i="63"/>
  <c r="AP19" i="63"/>
  <c r="AY19" i="63"/>
  <c r="AM19" i="63"/>
  <c r="D19" i="63"/>
  <c r="H13" i="23" s="1"/>
  <c r="J13" i="24" s="1"/>
  <c r="AX19" i="63"/>
  <c r="AL19" i="63"/>
  <c r="AU19" i="63"/>
  <c r="AK19" i="63"/>
  <c r="AT19" i="63"/>
  <c r="AJ19" i="63"/>
  <c r="AS19" i="63"/>
  <c r="AI19" i="63"/>
  <c r="AR19" i="63"/>
  <c r="AH19" i="63"/>
  <c r="BB18" i="63"/>
  <c r="BA18" i="63"/>
  <c r="N18" i="63" s="1"/>
  <c r="Y18" i="63" s="1"/>
  <c r="CA18" i="63"/>
  <c r="O18" i="63" s="1"/>
  <c r="B20" i="63"/>
  <c r="F14" i="23" s="1"/>
  <c r="G14" i="24" s="1"/>
  <c r="A21" i="63"/>
  <c r="E15" i="23" s="1"/>
  <c r="F15" i="24" s="1"/>
  <c r="FL17" i="64" l="1"/>
  <c r="FJ17" i="64"/>
  <c r="FL18" i="63"/>
  <c r="FJ18" i="63"/>
  <c r="FL17" i="73"/>
  <c r="FL40" i="73" s="1"/>
  <c r="FJ17" i="73"/>
  <c r="FJ40" i="73" s="1"/>
  <c r="AB13" i="23"/>
  <c r="E13" i="25" s="1"/>
  <c r="Z14" i="23"/>
  <c r="B14" i="25" s="1"/>
  <c r="CL20" i="68"/>
  <c r="CJ20" i="68"/>
  <c r="CS20" i="68"/>
  <c r="CK20" i="68"/>
  <c r="CT20" i="68"/>
  <c r="CD20" i="68"/>
  <c r="CM20" i="68"/>
  <c r="CU20" i="68"/>
  <c r="CE20" i="68"/>
  <c r="CN20" i="68"/>
  <c r="CV20" i="68"/>
  <c r="CF20" i="68"/>
  <c r="CO20" i="68"/>
  <c r="CW20" i="68"/>
  <c r="CG20" i="68"/>
  <c r="CP20" i="68"/>
  <c r="CH20" i="68"/>
  <c r="CQ20" i="68"/>
  <c r="CI20" i="68"/>
  <c r="CR20" i="68"/>
  <c r="BL20" i="68"/>
  <c r="BT20" i="68"/>
  <c r="BM20" i="68"/>
  <c r="BU20" i="68"/>
  <c r="BN20" i="68"/>
  <c r="BV20" i="68"/>
  <c r="BG20" i="68"/>
  <c r="BO20" i="68"/>
  <c r="BW20" i="68"/>
  <c r="BH20" i="68"/>
  <c r="BP20" i="68"/>
  <c r="BX20" i="68"/>
  <c r="BI20" i="68"/>
  <c r="BQ20" i="68"/>
  <c r="BY20" i="68"/>
  <c r="BJ20" i="68"/>
  <c r="BR20" i="68"/>
  <c r="BZ20" i="68"/>
  <c r="BK20" i="68"/>
  <c r="BS20" i="68"/>
  <c r="CX19" i="68"/>
  <c r="P19" i="68" s="1"/>
  <c r="Y40" i="73"/>
  <c r="AH13" i="23"/>
  <c r="L13" i="25" s="1"/>
  <c r="AV19" i="70"/>
  <c r="AS19" i="70"/>
  <c r="AZ19" i="70"/>
  <c r="AI19" i="70"/>
  <c r="AN19" i="70"/>
  <c r="AK19" i="70"/>
  <c r="AR19" i="70"/>
  <c r="AW19" i="70"/>
  <c r="AT19" i="70"/>
  <c r="D19" i="70"/>
  <c r="AJ19" i="70"/>
  <c r="AO19" i="70"/>
  <c r="AL19" i="70"/>
  <c r="AX19" i="70"/>
  <c r="AG19" i="70"/>
  <c r="AU19" i="70"/>
  <c r="AP19" i="70"/>
  <c r="AM19" i="70"/>
  <c r="AH19" i="70"/>
  <c r="AY19" i="70"/>
  <c r="AQ19" i="70"/>
  <c r="BB18" i="70"/>
  <c r="BA18" i="70"/>
  <c r="N18" i="70" s="1"/>
  <c r="AG14" i="23"/>
  <c r="K14" i="25" s="1"/>
  <c r="B20" i="70"/>
  <c r="A21" i="70"/>
  <c r="CA18" i="70"/>
  <c r="O18" i="70" s="1"/>
  <c r="O12" i="25"/>
  <c r="AJ12" i="23"/>
  <c r="J13" i="25"/>
  <c r="AF13" i="23"/>
  <c r="T13" i="25"/>
  <c r="AN13" i="23"/>
  <c r="AV13" i="23"/>
  <c r="AD13" i="25"/>
  <c r="V13" i="23"/>
  <c r="AA13" i="24" s="1"/>
  <c r="AP19" i="67"/>
  <c r="AQ19" i="67"/>
  <c r="AH19" i="67"/>
  <c r="AS19" i="67"/>
  <c r="AZ19" i="67"/>
  <c r="AY19" i="67"/>
  <c r="AK19" i="67"/>
  <c r="AX19" i="67"/>
  <c r="AR19" i="67"/>
  <c r="AV19" i="67"/>
  <c r="D19" i="67"/>
  <c r="X13" i="23" s="1"/>
  <c r="AD13" i="24" s="1"/>
  <c r="AJ19" i="67"/>
  <c r="AI19" i="67"/>
  <c r="AN19" i="67"/>
  <c r="AT19" i="67"/>
  <c r="AO19" i="67"/>
  <c r="AW19" i="67"/>
  <c r="AL19" i="67"/>
  <c r="AU19" i="67"/>
  <c r="AM19" i="67"/>
  <c r="AG19" i="67"/>
  <c r="BA18" i="67"/>
  <c r="N18" i="67" s="1"/>
  <c r="BB18" i="67"/>
  <c r="U14" i="23"/>
  <c r="Z14" i="24" s="1"/>
  <c r="A21" i="67"/>
  <c r="B20" i="67"/>
  <c r="AR12" i="23"/>
  <c r="Y12" i="25"/>
  <c r="CA18" i="66"/>
  <c r="O18" i="66" s="1"/>
  <c r="BB18" i="66"/>
  <c r="BA18" i="66"/>
  <c r="N18" i="66" s="1"/>
  <c r="Q14" i="23"/>
  <c r="U14" i="24" s="1"/>
  <c r="A21" i="66"/>
  <c r="B20" i="66"/>
  <c r="R13" i="23"/>
  <c r="V13" i="24" s="1"/>
  <c r="AK19" i="66"/>
  <c r="AZ19" i="66"/>
  <c r="AY19" i="66"/>
  <c r="AH19" i="66"/>
  <c r="AN19" i="66"/>
  <c r="D19" i="66"/>
  <c r="T13" i="23" s="1"/>
  <c r="Y13" i="24" s="1"/>
  <c r="AR19" i="66"/>
  <c r="AQ19" i="66"/>
  <c r="AJ19" i="66"/>
  <c r="AI19" i="66"/>
  <c r="AV19" i="66"/>
  <c r="AW19" i="66"/>
  <c r="AO19" i="66"/>
  <c r="AT19" i="66"/>
  <c r="AL19" i="66"/>
  <c r="AM19" i="66"/>
  <c r="AX19" i="66"/>
  <c r="AG19" i="66"/>
  <c r="AU19" i="66"/>
  <c r="AS19" i="66"/>
  <c r="AP19" i="66"/>
  <c r="G42" i="50"/>
  <c r="P19" i="73"/>
  <c r="Q18" i="73"/>
  <c r="B21" i="73"/>
  <c r="AT15" i="23" s="1"/>
  <c r="AA15" i="25" s="1"/>
  <c r="A22" i="73"/>
  <c r="AS16" i="23" s="1"/>
  <c r="Z16" i="25" s="1"/>
  <c r="CA19" i="73"/>
  <c r="O19" i="73" s="1"/>
  <c r="AT20" i="73"/>
  <c r="AL20" i="73"/>
  <c r="AS20" i="73"/>
  <c r="AK20" i="73"/>
  <c r="D20" i="73"/>
  <c r="AZ20" i="73"/>
  <c r="AR20" i="73"/>
  <c r="AJ20" i="73"/>
  <c r="AY20" i="73"/>
  <c r="AQ20" i="73"/>
  <c r="AI20" i="73"/>
  <c r="AX20" i="73"/>
  <c r="AP20" i="73"/>
  <c r="AH20" i="73"/>
  <c r="AW20" i="73"/>
  <c r="AO20" i="73"/>
  <c r="AG20" i="73"/>
  <c r="AV20" i="73"/>
  <c r="AN20" i="73"/>
  <c r="AU20" i="73"/>
  <c r="AM20" i="73"/>
  <c r="BB19" i="73"/>
  <c r="BA19" i="73"/>
  <c r="N19" i="73" s="1"/>
  <c r="A21" i="72"/>
  <c r="AO15" i="23" s="1"/>
  <c r="U15" i="25" s="1"/>
  <c r="B20" i="72"/>
  <c r="AP14" i="23" s="1"/>
  <c r="V14" i="25" s="1"/>
  <c r="AT19" i="72"/>
  <c r="AL19" i="72"/>
  <c r="AZ19" i="72"/>
  <c r="AR19" i="72"/>
  <c r="AJ19" i="72"/>
  <c r="AY19" i="72"/>
  <c r="AQ19" i="72"/>
  <c r="AI19" i="72"/>
  <c r="AX19" i="72"/>
  <c r="AP19" i="72"/>
  <c r="AH19" i="72"/>
  <c r="AW19" i="72"/>
  <c r="AO19" i="72"/>
  <c r="AG19" i="72"/>
  <c r="AV19" i="72"/>
  <c r="AN19" i="72"/>
  <c r="AU19" i="72"/>
  <c r="AM19" i="72"/>
  <c r="AS19" i="72"/>
  <c r="AK19" i="72"/>
  <c r="D19" i="72"/>
  <c r="BB18" i="72"/>
  <c r="BA18" i="72"/>
  <c r="N18" i="72" s="1"/>
  <c r="Y18" i="72" s="1"/>
  <c r="CA18" i="72"/>
  <c r="O18" i="72" s="1"/>
  <c r="BB19" i="71"/>
  <c r="BA19" i="71"/>
  <c r="N19" i="71" s="1"/>
  <c r="B21" i="71"/>
  <c r="AL15" i="23" s="1"/>
  <c r="Q15" i="25" s="1"/>
  <c r="A22" i="71"/>
  <c r="AK16" i="23" s="1"/>
  <c r="P16" i="25" s="1"/>
  <c r="AX20" i="71"/>
  <c r="AP20" i="71"/>
  <c r="AH20" i="71"/>
  <c r="AW20" i="71"/>
  <c r="AO20" i="71"/>
  <c r="AG20" i="71"/>
  <c r="AV20" i="71"/>
  <c r="AL20" i="71"/>
  <c r="AU20" i="71"/>
  <c r="AK20" i="71"/>
  <c r="AT20" i="71"/>
  <c r="AJ20" i="71"/>
  <c r="AS20" i="71"/>
  <c r="AI20" i="71"/>
  <c r="AY20" i="71"/>
  <c r="D20" i="71"/>
  <c r="AR20" i="71"/>
  <c r="AQ20" i="71"/>
  <c r="AN20" i="71"/>
  <c r="AM20" i="71"/>
  <c r="AZ20" i="71"/>
  <c r="BB19" i="69"/>
  <c r="BA19" i="69"/>
  <c r="N19" i="69" s="1"/>
  <c r="AW20" i="69"/>
  <c r="AO20" i="69"/>
  <c r="AG20" i="69"/>
  <c r="AV20" i="69"/>
  <c r="AN20" i="69"/>
  <c r="AU20" i="69"/>
  <c r="AM20" i="69"/>
  <c r="AT20" i="69"/>
  <c r="AL20" i="69"/>
  <c r="AS20" i="69"/>
  <c r="AK20" i="69"/>
  <c r="D20" i="69"/>
  <c r="AZ20" i="69"/>
  <c r="AR20" i="69"/>
  <c r="AJ20" i="69"/>
  <c r="AY20" i="69"/>
  <c r="AQ20" i="69"/>
  <c r="AI20" i="69"/>
  <c r="AX20" i="69"/>
  <c r="AP20" i="69"/>
  <c r="AH20" i="69"/>
  <c r="B21" i="69"/>
  <c r="AD15" i="23" s="1"/>
  <c r="G15" i="25" s="1"/>
  <c r="A22" i="69"/>
  <c r="AC16" i="23" s="1"/>
  <c r="F16" i="25" s="1"/>
  <c r="CA19" i="69"/>
  <c r="O19" i="69" s="1"/>
  <c r="BB19" i="68"/>
  <c r="BA19" i="68"/>
  <c r="N19" i="68" s="1"/>
  <c r="AW20" i="68"/>
  <c r="AO20" i="68"/>
  <c r="AG20" i="68"/>
  <c r="AV20" i="68"/>
  <c r="AN20" i="68"/>
  <c r="AU20" i="68"/>
  <c r="AM20" i="68"/>
  <c r="AT20" i="68"/>
  <c r="AL20" i="68"/>
  <c r="AK20" i="68"/>
  <c r="AZ20" i="68"/>
  <c r="AJ20" i="68"/>
  <c r="AX20" i="68"/>
  <c r="AH20" i="68"/>
  <c r="AR20" i="68"/>
  <c r="AP20" i="68"/>
  <c r="AY20" i="68"/>
  <c r="AS20" i="68"/>
  <c r="AQ20" i="68"/>
  <c r="AI20" i="68"/>
  <c r="D20" i="68"/>
  <c r="B21" i="68"/>
  <c r="A22" i="68"/>
  <c r="Y16" i="23" s="1"/>
  <c r="A16" i="25" s="1"/>
  <c r="CA19" i="68"/>
  <c r="O19" i="68" s="1"/>
  <c r="BB19" i="65"/>
  <c r="BA19" i="65"/>
  <c r="N19" i="65" s="1"/>
  <c r="AY20" i="65"/>
  <c r="AQ20" i="65"/>
  <c r="AI20" i="65"/>
  <c r="AX20" i="65"/>
  <c r="AP20" i="65"/>
  <c r="AH20" i="65"/>
  <c r="AW20" i="65"/>
  <c r="AO20" i="65"/>
  <c r="AG20" i="65"/>
  <c r="AV20" i="65"/>
  <c r="AN20" i="65"/>
  <c r="AU20" i="65"/>
  <c r="AM20" i="65"/>
  <c r="AT20" i="65"/>
  <c r="AL20" i="65"/>
  <c r="AS20" i="65"/>
  <c r="AK20" i="65"/>
  <c r="D20" i="65"/>
  <c r="P14" i="23" s="1"/>
  <c r="T14" i="24" s="1"/>
  <c r="AZ20" i="65"/>
  <c r="AR20" i="65"/>
  <c r="AJ20" i="65"/>
  <c r="B21" i="65"/>
  <c r="N15" i="23" s="1"/>
  <c r="Q15" i="24" s="1"/>
  <c r="A22" i="65"/>
  <c r="M16" i="23" s="1"/>
  <c r="P16" i="24" s="1"/>
  <c r="AX20" i="64"/>
  <c r="AP20" i="64"/>
  <c r="AH20" i="64"/>
  <c r="AW20" i="64"/>
  <c r="AO20" i="64"/>
  <c r="AG20" i="64"/>
  <c r="AV20" i="64"/>
  <c r="AN20" i="64"/>
  <c r="AU20" i="64"/>
  <c r="AM20" i="64"/>
  <c r="AT20" i="64"/>
  <c r="AL20" i="64"/>
  <c r="AS20" i="64"/>
  <c r="AK20" i="64"/>
  <c r="D20" i="64"/>
  <c r="L14" i="23" s="1"/>
  <c r="O14" i="24" s="1"/>
  <c r="AZ20" i="64"/>
  <c r="AR20" i="64"/>
  <c r="AJ20" i="64"/>
  <c r="AY20" i="64"/>
  <c r="AQ20" i="64"/>
  <c r="AI20" i="64"/>
  <c r="B21" i="64"/>
  <c r="J15" i="23" s="1"/>
  <c r="L15" i="24" s="1"/>
  <c r="A22" i="64"/>
  <c r="I16" i="23" s="1"/>
  <c r="K16" i="24" s="1"/>
  <c r="BB19" i="64"/>
  <c r="BA19" i="64"/>
  <c r="N19" i="64" s="1"/>
  <c r="B21" i="63"/>
  <c r="F15" i="23" s="1"/>
  <c r="G15" i="24" s="1"/>
  <c r="A22" i="63"/>
  <c r="E16" i="23" s="1"/>
  <c r="F16" i="24" s="1"/>
  <c r="AZ20" i="63"/>
  <c r="AR20" i="63"/>
  <c r="AJ20" i="63"/>
  <c r="AY20" i="63"/>
  <c r="AQ20" i="63"/>
  <c r="AI20" i="63"/>
  <c r="AW20" i="63"/>
  <c r="AO20" i="63"/>
  <c r="AG20" i="63"/>
  <c r="AV20" i="63"/>
  <c r="AK20" i="63"/>
  <c r="AU20" i="63"/>
  <c r="AH20" i="63"/>
  <c r="AT20" i="63"/>
  <c r="AS20" i="63"/>
  <c r="AP20" i="63"/>
  <c r="AN20" i="63"/>
  <c r="D20" i="63"/>
  <c r="H14" i="23" s="1"/>
  <c r="J14" i="24" s="1"/>
  <c r="AM20" i="63"/>
  <c r="AX20" i="63"/>
  <c r="AL20" i="63"/>
  <c r="BB19" i="63"/>
  <c r="BA19" i="63"/>
  <c r="N19" i="63" s="1"/>
  <c r="Y19" i="63" s="1"/>
  <c r="CA19" i="63"/>
  <c r="O19" i="63" s="1"/>
  <c r="FJ19" i="63" l="1"/>
  <c r="FL19" i="63"/>
  <c r="FL18" i="72"/>
  <c r="FJ18" i="72"/>
  <c r="AB14" i="23"/>
  <c r="E14" i="25" s="1"/>
  <c r="CX20" i="68"/>
  <c r="P20" i="68" s="1"/>
  <c r="Z15" i="23"/>
  <c r="B15" i="25" s="1"/>
  <c r="CL21" i="68"/>
  <c r="CG21" i="68"/>
  <c r="CP21" i="68"/>
  <c r="CH21" i="68"/>
  <c r="CQ21" i="68"/>
  <c r="CI21" i="68"/>
  <c r="CR21" i="68"/>
  <c r="CJ21" i="68"/>
  <c r="CS21" i="68"/>
  <c r="CK21" i="68"/>
  <c r="CT21" i="68"/>
  <c r="CD21" i="68"/>
  <c r="CM21" i="68"/>
  <c r="CU21" i="68"/>
  <c r="CE21" i="68"/>
  <c r="CN21" i="68"/>
  <c r="CV21" i="68"/>
  <c r="CF21" i="68"/>
  <c r="CO21" i="68"/>
  <c r="CW21" i="68"/>
  <c r="BH21" i="68"/>
  <c r="BP21" i="68"/>
  <c r="BX21" i="68"/>
  <c r="BI21" i="68"/>
  <c r="BQ21" i="68"/>
  <c r="BY21" i="68"/>
  <c r="BJ21" i="68"/>
  <c r="BR21" i="68"/>
  <c r="BZ21" i="68"/>
  <c r="BK21" i="68"/>
  <c r="BS21" i="68"/>
  <c r="BL21" i="68"/>
  <c r="BT21" i="68"/>
  <c r="BM21" i="68"/>
  <c r="BU21" i="68"/>
  <c r="BN21" i="68"/>
  <c r="BV21" i="68"/>
  <c r="BG21" i="68"/>
  <c r="BO21" i="68"/>
  <c r="BW21" i="68"/>
  <c r="BB19" i="70"/>
  <c r="BA19" i="70"/>
  <c r="N19" i="70" s="1"/>
  <c r="Y19" i="70" s="1"/>
  <c r="O13" i="25"/>
  <c r="AJ13" i="23"/>
  <c r="AG15" i="23"/>
  <c r="K15" i="25" s="1"/>
  <c r="B21" i="70"/>
  <c r="A22" i="70"/>
  <c r="AH14" i="23"/>
  <c r="L14" i="25" s="1"/>
  <c r="AJ20" i="70"/>
  <c r="AW20" i="70"/>
  <c r="AU20" i="70"/>
  <c r="AO20" i="70"/>
  <c r="AM20" i="70"/>
  <c r="AK20" i="70"/>
  <c r="D20" i="70"/>
  <c r="AS20" i="70"/>
  <c r="AG20" i="70"/>
  <c r="AY20" i="70"/>
  <c r="AV20" i="70"/>
  <c r="AZ20" i="70"/>
  <c r="AQ20" i="70"/>
  <c r="AX20" i="70"/>
  <c r="AL20" i="70"/>
  <c r="AT20" i="70"/>
  <c r="AR20" i="70"/>
  <c r="AI20" i="70"/>
  <c r="AN20" i="70"/>
  <c r="AH20" i="70"/>
  <c r="AP20" i="70"/>
  <c r="J14" i="25"/>
  <c r="AF14" i="23"/>
  <c r="BA19" i="67"/>
  <c r="N19" i="67" s="1"/>
  <c r="Y18" i="67" s="1"/>
  <c r="BB19" i="67"/>
  <c r="V14" i="23"/>
  <c r="AA14" i="24" s="1"/>
  <c r="AO20" i="67"/>
  <c r="AG20" i="67"/>
  <c r="AQ20" i="67"/>
  <c r="AV20" i="67"/>
  <c r="D20" i="67"/>
  <c r="X14" i="23" s="1"/>
  <c r="AD14" i="24" s="1"/>
  <c r="AW20" i="67"/>
  <c r="AR20" i="67"/>
  <c r="AM20" i="67"/>
  <c r="AY20" i="67"/>
  <c r="AJ20" i="67"/>
  <c r="AN20" i="67"/>
  <c r="AZ20" i="67"/>
  <c r="AK20" i="67"/>
  <c r="AH20" i="67"/>
  <c r="AI20" i="67"/>
  <c r="AP20" i="67"/>
  <c r="AT20" i="67"/>
  <c r="AS20" i="67"/>
  <c r="AL20" i="67"/>
  <c r="AU20" i="67"/>
  <c r="AX20" i="67"/>
  <c r="AN14" i="23"/>
  <c r="T14" i="25"/>
  <c r="AV14" i="23"/>
  <c r="AD14" i="25"/>
  <c r="U15" i="23"/>
  <c r="Z15" i="24" s="1"/>
  <c r="A22" i="67"/>
  <c r="B21" i="67"/>
  <c r="AR13" i="23"/>
  <c r="Y13" i="25"/>
  <c r="CA19" i="66"/>
  <c r="O19" i="66" s="1"/>
  <c r="R14" i="23"/>
  <c r="V14" i="24" s="1"/>
  <c r="AN20" i="66"/>
  <c r="AY20" i="66"/>
  <c r="AH20" i="66"/>
  <c r="AS20" i="66"/>
  <c r="AQ20" i="66"/>
  <c r="AT20" i="66"/>
  <c r="AK20" i="66"/>
  <c r="AZ20" i="66"/>
  <c r="AI20" i="66"/>
  <c r="D20" i="66"/>
  <c r="T14" i="23" s="1"/>
  <c r="Y14" i="24" s="1"/>
  <c r="AJ20" i="66"/>
  <c r="AU20" i="66"/>
  <c r="AL20" i="66"/>
  <c r="AR20" i="66"/>
  <c r="AM20" i="66"/>
  <c r="AW20" i="66"/>
  <c r="AO20" i="66"/>
  <c r="AX20" i="66"/>
  <c r="AG20" i="66"/>
  <c r="AP20" i="66"/>
  <c r="AV20" i="66"/>
  <c r="Q15" i="23"/>
  <c r="U15" i="24" s="1"/>
  <c r="A22" i="66"/>
  <c r="B21" i="66"/>
  <c r="BB19" i="66"/>
  <c r="BA19" i="66"/>
  <c r="N19" i="66" s="1"/>
  <c r="Y18" i="66" s="1"/>
  <c r="D21" i="68"/>
  <c r="P20" i="73"/>
  <c r="Q19" i="73"/>
  <c r="Q19" i="68"/>
  <c r="A23" i="73"/>
  <c r="AS17" i="23" s="1"/>
  <c r="Z17" i="25" s="1"/>
  <c r="B22" i="73"/>
  <c r="AT16" i="23" s="1"/>
  <c r="AA16" i="25" s="1"/>
  <c r="BB20" i="73"/>
  <c r="BA20" i="73"/>
  <c r="N20" i="73" s="1"/>
  <c r="CA20" i="73"/>
  <c r="O20" i="73" s="1"/>
  <c r="AW21" i="73"/>
  <c r="AO21" i="73"/>
  <c r="AG21" i="73"/>
  <c r="AV21" i="73"/>
  <c r="AN21" i="73"/>
  <c r="AU21" i="73"/>
  <c r="AM21" i="73"/>
  <c r="AT21" i="73"/>
  <c r="AL21" i="73"/>
  <c r="AS21" i="73"/>
  <c r="AK21" i="73"/>
  <c r="D21" i="73"/>
  <c r="AZ21" i="73"/>
  <c r="AR21" i="73"/>
  <c r="AJ21" i="73"/>
  <c r="AY21" i="73"/>
  <c r="AQ21" i="73"/>
  <c r="AI21" i="73"/>
  <c r="AX21" i="73"/>
  <c r="AP21" i="73"/>
  <c r="AH21" i="73"/>
  <c r="CA19" i="72"/>
  <c r="O19" i="72" s="1"/>
  <c r="BB19" i="72"/>
  <c r="BA19" i="72"/>
  <c r="N19" i="72" s="1"/>
  <c r="Y19" i="72" s="1"/>
  <c r="AZ20" i="72"/>
  <c r="AR20" i="72"/>
  <c r="AY20" i="72"/>
  <c r="AX20" i="72"/>
  <c r="AO20" i="72"/>
  <c r="AG20" i="72"/>
  <c r="AV20" i="72"/>
  <c r="AM20" i="72"/>
  <c r="AU20" i="72"/>
  <c r="AL20" i="72"/>
  <c r="AT20" i="72"/>
  <c r="AK20" i="72"/>
  <c r="D20" i="72"/>
  <c r="AS20" i="72"/>
  <c r="AJ20" i="72"/>
  <c r="AQ20" i="72"/>
  <c r="AI20" i="72"/>
  <c r="AP20" i="72"/>
  <c r="AH20" i="72"/>
  <c r="AW20" i="72"/>
  <c r="AN20" i="72"/>
  <c r="A22" i="72"/>
  <c r="AO16" i="23" s="1"/>
  <c r="U16" i="25" s="1"/>
  <c r="B21" i="72"/>
  <c r="AP15" i="23" s="1"/>
  <c r="V15" i="25" s="1"/>
  <c r="A23" i="71"/>
  <c r="AK17" i="23" s="1"/>
  <c r="P17" i="25" s="1"/>
  <c r="B22" i="71"/>
  <c r="AL16" i="23" s="1"/>
  <c r="Q16" i="25" s="1"/>
  <c r="BB20" i="71"/>
  <c r="BA20" i="71"/>
  <c r="N20" i="71" s="1"/>
  <c r="AS21" i="71"/>
  <c r="AK21" i="71"/>
  <c r="D21" i="71"/>
  <c r="AZ21" i="71"/>
  <c r="AR21" i="71"/>
  <c r="AJ21" i="71"/>
  <c r="AP21" i="71"/>
  <c r="AY21" i="71"/>
  <c r="AO21" i="71"/>
  <c r="AX21" i="71"/>
  <c r="AN21" i="71"/>
  <c r="AW21" i="71"/>
  <c r="AM21" i="71"/>
  <c r="AQ21" i="71"/>
  <c r="AL21" i="71"/>
  <c r="AI21" i="71"/>
  <c r="AH21" i="71"/>
  <c r="AG21" i="71"/>
  <c r="AV21" i="71"/>
  <c r="AU21" i="71"/>
  <c r="AT21" i="71"/>
  <c r="B22" i="69"/>
  <c r="AD16" i="23" s="1"/>
  <c r="G16" i="25" s="1"/>
  <c r="A23" i="69"/>
  <c r="AC17" i="23" s="1"/>
  <c r="F17" i="25" s="1"/>
  <c r="CA20" i="69"/>
  <c r="O20" i="69" s="1"/>
  <c r="AZ21" i="69"/>
  <c r="AR21" i="69"/>
  <c r="AJ21" i="69"/>
  <c r="AY21" i="69"/>
  <c r="AQ21" i="69"/>
  <c r="AI21" i="69"/>
  <c r="AX21" i="69"/>
  <c r="AP21" i="69"/>
  <c r="AH21" i="69"/>
  <c r="AW21" i="69"/>
  <c r="AO21" i="69"/>
  <c r="AG21" i="69"/>
  <c r="AV21" i="69"/>
  <c r="AN21" i="69"/>
  <c r="AU21" i="69"/>
  <c r="AM21" i="69"/>
  <c r="AT21" i="69"/>
  <c r="AL21" i="69"/>
  <c r="D21" i="69"/>
  <c r="AS21" i="69"/>
  <c r="AK21" i="69"/>
  <c r="BB20" i="69"/>
  <c r="BA20" i="69"/>
  <c r="N20" i="69" s="1"/>
  <c r="AZ21" i="68"/>
  <c r="AR21" i="68"/>
  <c r="AJ21" i="68"/>
  <c r="AY21" i="68"/>
  <c r="AQ21" i="68"/>
  <c r="AI21" i="68"/>
  <c r="AX21" i="68"/>
  <c r="AP21" i="68"/>
  <c r="AH21" i="68"/>
  <c r="AW21" i="68"/>
  <c r="AO21" i="68"/>
  <c r="AG21" i="68"/>
  <c r="AT21" i="68"/>
  <c r="AS21" i="68"/>
  <c r="AM21" i="68"/>
  <c r="AK21" i="68"/>
  <c r="AV21" i="68"/>
  <c r="AU21" i="68"/>
  <c r="AL21" i="68"/>
  <c r="AN21" i="68"/>
  <c r="CA20" i="68"/>
  <c r="O20" i="68" s="1"/>
  <c r="B22" i="68"/>
  <c r="A23" i="68"/>
  <c r="Y17" i="23" s="1"/>
  <c r="A17" i="25" s="1"/>
  <c r="BB20" i="68"/>
  <c r="BA20" i="68"/>
  <c r="N20" i="68" s="1"/>
  <c r="CA20" i="65"/>
  <c r="O20" i="65" s="1"/>
  <c r="AT21" i="65"/>
  <c r="AL21" i="65"/>
  <c r="AS21" i="65"/>
  <c r="AK21" i="65"/>
  <c r="D21" i="65"/>
  <c r="P15" i="23" s="1"/>
  <c r="T15" i="24" s="1"/>
  <c r="AZ21" i="65"/>
  <c r="AR21" i="65"/>
  <c r="AJ21" i="65"/>
  <c r="AY21" i="65"/>
  <c r="AQ21" i="65"/>
  <c r="AI21" i="65"/>
  <c r="AX21" i="65"/>
  <c r="AP21" i="65"/>
  <c r="AH21" i="65"/>
  <c r="AW21" i="65"/>
  <c r="AO21" i="65"/>
  <c r="AG21" i="65"/>
  <c r="AV21" i="65"/>
  <c r="AN21" i="65"/>
  <c r="AU21" i="65"/>
  <c r="AM21" i="65"/>
  <c r="BB20" i="65"/>
  <c r="BA20" i="65"/>
  <c r="N20" i="65" s="1"/>
  <c r="Y20" i="65" s="1"/>
  <c r="A23" i="65"/>
  <c r="M17" i="23" s="1"/>
  <c r="P17" i="24" s="1"/>
  <c r="B22" i="65"/>
  <c r="N16" i="23" s="1"/>
  <c r="Q16" i="24" s="1"/>
  <c r="BB20" i="64"/>
  <c r="BA20" i="64"/>
  <c r="N20" i="64" s="1"/>
  <c r="Y19" i="64" s="1"/>
  <c r="A23" i="64"/>
  <c r="I17" i="23" s="1"/>
  <c r="K17" i="24" s="1"/>
  <c r="B22" i="64"/>
  <c r="J16" i="23" s="1"/>
  <c r="L16" i="24" s="1"/>
  <c r="AS21" i="64"/>
  <c r="AK21" i="64"/>
  <c r="D21" i="64"/>
  <c r="L15" i="23" s="1"/>
  <c r="O15" i="24" s="1"/>
  <c r="AZ21" i="64"/>
  <c r="AR21" i="64"/>
  <c r="AJ21" i="64"/>
  <c r="AY21" i="64"/>
  <c r="AQ21" i="64"/>
  <c r="AI21" i="64"/>
  <c r="AX21" i="64"/>
  <c r="AP21" i="64"/>
  <c r="AH21" i="64"/>
  <c r="AW21" i="64"/>
  <c r="AO21" i="64"/>
  <c r="AG21" i="64"/>
  <c r="AV21" i="64"/>
  <c r="AN21" i="64"/>
  <c r="AU21" i="64"/>
  <c r="AM21" i="64"/>
  <c r="AT21" i="64"/>
  <c r="AL21" i="64"/>
  <c r="BB20" i="63"/>
  <c r="BA20" i="63"/>
  <c r="N20" i="63" s="1"/>
  <c r="Y20" i="63" s="1"/>
  <c r="A23" i="63"/>
  <c r="E17" i="23" s="1"/>
  <c r="F17" i="24" s="1"/>
  <c r="B22" i="63"/>
  <c r="F16" i="23" s="1"/>
  <c r="G16" i="24" s="1"/>
  <c r="AU21" i="63"/>
  <c r="AM21" i="63"/>
  <c r="AT21" i="63"/>
  <c r="AL21" i="63"/>
  <c r="AS21" i="63"/>
  <c r="AK21" i="63"/>
  <c r="D21" i="63"/>
  <c r="H15" i="23" s="1"/>
  <c r="J15" i="24" s="1"/>
  <c r="AZ21" i="63"/>
  <c r="AR21" i="63"/>
  <c r="AJ21" i="63"/>
  <c r="AY21" i="63"/>
  <c r="AQ21" i="63"/>
  <c r="AI21" i="63"/>
  <c r="AX21" i="63"/>
  <c r="AP21" i="63"/>
  <c r="AH21" i="63"/>
  <c r="AV21" i="63"/>
  <c r="AN21" i="63"/>
  <c r="AW21" i="63"/>
  <c r="AO21" i="63"/>
  <c r="AG21" i="63"/>
  <c r="FL20" i="63" l="1"/>
  <c r="FJ20" i="63"/>
  <c r="FL18" i="66"/>
  <c r="FJ18" i="66"/>
  <c r="FJ19" i="64"/>
  <c r="FL19" i="64"/>
  <c r="FJ20" i="65"/>
  <c r="FL20" i="65"/>
  <c r="FL19" i="70"/>
  <c r="FJ19" i="70"/>
  <c r="FL19" i="72"/>
  <c r="FJ19" i="72"/>
  <c r="FL18" i="67"/>
  <c r="FJ18" i="67"/>
  <c r="AB15" i="23"/>
  <c r="E15" i="25" s="1"/>
  <c r="Z16" i="23"/>
  <c r="B16" i="25" s="1"/>
  <c r="CL22" i="68"/>
  <c r="CD22" i="68"/>
  <c r="CM22" i="68"/>
  <c r="CU22" i="68"/>
  <c r="CE22" i="68"/>
  <c r="CN22" i="68"/>
  <c r="CV22" i="68"/>
  <c r="CF22" i="68"/>
  <c r="CO22" i="68"/>
  <c r="CW22" i="68"/>
  <c r="CG22" i="68"/>
  <c r="CP22" i="68"/>
  <c r="CH22" i="68"/>
  <c r="CQ22" i="68"/>
  <c r="CI22" i="68"/>
  <c r="CR22" i="68"/>
  <c r="CJ22" i="68"/>
  <c r="CS22" i="68"/>
  <c r="CK22" i="68"/>
  <c r="CT22" i="68"/>
  <c r="BL22" i="68"/>
  <c r="BT22" i="68"/>
  <c r="BM22" i="68"/>
  <c r="BU22" i="68"/>
  <c r="BN22" i="68"/>
  <c r="BV22" i="68"/>
  <c r="BG22" i="68"/>
  <c r="BO22" i="68"/>
  <c r="BW22" i="68"/>
  <c r="BH22" i="68"/>
  <c r="BP22" i="68"/>
  <c r="BX22" i="68"/>
  <c r="BI22" i="68"/>
  <c r="BQ22" i="68"/>
  <c r="BY22" i="68"/>
  <c r="BJ22" i="68"/>
  <c r="BR22" i="68"/>
  <c r="BZ22" i="68"/>
  <c r="BK22" i="68"/>
  <c r="BS22" i="68"/>
  <c r="CX21" i="68"/>
  <c r="P21" i="68" s="1"/>
  <c r="BB20" i="70"/>
  <c r="BA20" i="70"/>
  <c r="N20" i="70" s="1"/>
  <c r="O14" i="25"/>
  <c r="AJ14" i="23"/>
  <c r="AG16" i="23"/>
  <c r="K16" i="25" s="1"/>
  <c r="A23" i="70"/>
  <c r="B22" i="70"/>
  <c r="AH15" i="23"/>
  <c r="L15" i="25" s="1"/>
  <c r="AH21" i="70"/>
  <c r="AY21" i="70"/>
  <c r="AT21" i="70"/>
  <c r="AW21" i="70"/>
  <c r="AO21" i="70"/>
  <c r="AL21" i="70"/>
  <c r="AK21" i="70"/>
  <c r="AS21" i="70"/>
  <c r="D21" i="70"/>
  <c r="AU21" i="70"/>
  <c r="AI21" i="70"/>
  <c r="AZ21" i="70"/>
  <c r="AM21" i="70"/>
  <c r="AP21" i="70"/>
  <c r="AV21" i="70"/>
  <c r="AQ21" i="70"/>
  <c r="AX21" i="70"/>
  <c r="AJ21" i="70"/>
  <c r="AG21" i="70"/>
  <c r="AN21" i="70"/>
  <c r="AR21" i="70"/>
  <c r="Y14" i="25"/>
  <c r="AR14" i="23"/>
  <c r="BA20" i="67"/>
  <c r="N20" i="67" s="1"/>
  <c r="Y19" i="67" s="1"/>
  <c r="BB20" i="67"/>
  <c r="AN15" i="23"/>
  <c r="T15" i="25"/>
  <c r="AD15" i="25"/>
  <c r="AV15" i="23"/>
  <c r="V15" i="23"/>
  <c r="AA15" i="24" s="1"/>
  <c r="AX21" i="67"/>
  <c r="AL21" i="67"/>
  <c r="D21" i="67"/>
  <c r="X15" i="23" s="1"/>
  <c r="AD15" i="24" s="1"/>
  <c r="AK21" i="67"/>
  <c r="AY21" i="67"/>
  <c r="AP21" i="67"/>
  <c r="AO21" i="67"/>
  <c r="AU21" i="67"/>
  <c r="AQ21" i="67"/>
  <c r="AH21" i="67"/>
  <c r="AS21" i="67"/>
  <c r="AW21" i="67"/>
  <c r="AM21" i="67"/>
  <c r="AI21" i="67"/>
  <c r="AG21" i="67"/>
  <c r="AR21" i="67"/>
  <c r="AZ21" i="67"/>
  <c r="AT21" i="67"/>
  <c r="AN21" i="67"/>
  <c r="AJ21" i="67"/>
  <c r="AV21" i="67"/>
  <c r="U16" i="23"/>
  <c r="Z16" i="24" s="1"/>
  <c r="A23" i="67"/>
  <c r="B22" i="67"/>
  <c r="J15" i="25"/>
  <c r="AF15" i="23"/>
  <c r="R15" i="23"/>
  <c r="V15" i="24" s="1"/>
  <c r="AW21" i="66"/>
  <c r="AS21" i="66"/>
  <c r="AR21" i="66"/>
  <c r="AO21" i="66"/>
  <c r="AT21" i="66"/>
  <c r="AK21" i="66"/>
  <c r="AJ21" i="66"/>
  <c r="AG21" i="66"/>
  <c r="AU21" i="66"/>
  <c r="AL21" i="66"/>
  <c r="D21" i="66"/>
  <c r="T15" i="23" s="1"/>
  <c r="Y15" i="24" s="1"/>
  <c r="AX21" i="66"/>
  <c r="AM21" i="66"/>
  <c r="AY21" i="66"/>
  <c r="AP21" i="66"/>
  <c r="AQ21" i="66"/>
  <c r="AH21" i="66"/>
  <c r="AI21" i="66"/>
  <c r="AV21" i="66"/>
  <c r="AN21" i="66"/>
  <c r="AZ21" i="66"/>
  <c r="Q16" i="23"/>
  <c r="U16" i="24" s="1"/>
  <c r="A23" i="66"/>
  <c r="B22" i="66"/>
  <c r="BB20" i="66"/>
  <c r="BA20" i="66"/>
  <c r="N20" i="66" s="1"/>
  <c r="Y19" i="66" s="1"/>
  <c r="P21" i="73"/>
  <c r="Q20" i="73"/>
  <c r="Q20" i="68"/>
  <c r="BB21" i="73"/>
  <c r="BA21" i="73"/>
  <c r="N21" i="73" s="1"/>
  <c r="AY22" i="73"/>
  <c r="AQ22" i="73"/>
  <c r="AX22" i="73"/>
  <c r="AP22" i="73"/>
  <c r="AH22" i="73"/>
  <c r="AV22" i="73"/>
  <c r="AN22" i="73"/>
  <c r="AT22" i="73"/>
  <c r="AI22" i="73"/>
  <c r="AS22" i="73"/>
  <c r="AG22" i="73"/>
  <c r="AR22" i="73"/>
  <c r="AO22" i="73"/>
  <c r="AM22" i="73"/>
  <c r="D22" i="73"/>
  <c r="AZ22" i="73"/>
  <c r="AL22" i="73"/>
  <c r="AW22" i="73"/>
  <c r="AK22" i="73"/>
  <c r="AU22" i="73"/>
  <c r="AJ22" i="73"/>
  <c r="CA21" i="73"/>
  <c r="O21" i="73" s="1"/>
  <c r="B23" i="73"/>
  <c r="AT17" i="23" s="1"/>
  <c r="AA17" i="25" s="1"/>
  <c r="A24" i="73"/>
  <c r="AS18" i="23" s="1"/>
  <c r="Z18" i="25" s="1"/>
  <c r="AW21" i="72"/>
  <c r="AO21" i="72"/>
  <c r="AG21" i="72"/>
  <c r="AV21" i="72"/>
  <c r="AN21" i="72"/>
  <c r="AU21" i="72"/>
  <c r="AM21" i="72"/>
  <c r="AT21" i="72"/>
  <c r="AL21" i="72"/>
  <c r="AZ21" i="72"/>
  <c r="AJ21" i="72"/>
  <c r="AX21" i="72"/>
  <c r="AH21" i="72"/>
  <c r="AS21" i="72"/>
  <c r="D21" i="72"/>
  <c r="AR21" i="72"/>
  <c r="AQ21" i="72"/>
  <c r="AP21" i="72"/>
  <c r="AK21" i="72"/>
  <c r="AY21" i="72"/>
  <c r="AI21" i="72"/>
  <c r="B22" i="72"/>
  <c r="AP16" i="23" s="1"/>
  <c r="V16" i="25" s="1"/>
  <c r="A23" i="72"/>
  <c r="AO17" i="23" s="1"/>
  <c r="U17" i="25" s="1"/>
  <c r="BB20" i="72"/>
  <c r="BA20" i="72"/>
  <c r="N20" i="72" s="1"/>
  <c r="BB21" i="71"/>
  <c r="BA21" i="71"/>
  <c r="N21" i="71" s="1"/>
  <c r="AV22" i="71"/>
  <c r="AN22" i="71"/>
  <c r="AU22" i="71"/>
  <c r="AM22" i="71"/>
  <c r="AY22" i="71"/>
  <c r="AO22" i="71"/>
  <c r="D22" i="71"/>
  <c r="AX22" i="71"/>
  <c r="AL22" i="71"/>
  <c r="AW22" i="71"/>
  <c r="AK22" i="71"/>
  <c r="AT22" i="71"/>
  <c r="AJ22" i="71"/>
  <c r="AS22" i="71"/>
  <c r="AI22" i="71"/>
  <c r="AR22" i="71"/>
  <c r="AH22" i="71"/>
  <c r="AZ22" i="71"/>
  <c r="AP22" i="71"/>
  <c r="AQ22" i="71"/>
  <c r="AG22" i="71"/>
  <c r="CA21" i="71"/>
  <c r="O21" i="71" s="1"/>
  <c r="A24" i="71"/>
  <c r="AK18" i="23" s="1"/>
  <c r="P18" i="25" s="1"/>
  <c r="B23" i="71"/>
  <c r="AL17" i="23" s="1"/>
  <c r="Q17" i="25" s="1"/>
  <c r="BB21" i="69"/>
  <c r="BA21" i="69"/>
  <c r="N21" i="69" s="1"/>
  <c r="A24" i="69"/>
  <c r="AC18" i="23" s="1"/>
  <c r="F18" i="25" s="1"/>
  <c r="B23" i="69"/>
  <c r="AD17" i="23" s="1"/>
  <c r="G17" i="25" s="1"/>
  <c r="AU22" i="69"/>
  <c r="AM22" i="69"/>
  <c r="AT22" i="69"/>
  <c r="AL22" i="69"/>
  <c r="AS22" i="69"/>
  <c r="AK22" i="69"/>
  <c r="D22" i="69"/>
  <c r="AZ22" i="69"/>
  <c r="AR22" i="69"/>
  <c r="AJ22" i="69"/>
  <c r="AY22" i="69"/>
  <c r="AQ22" i="69"/>
  <c r="AI22" i="69"/>
  <c r="AX22" i="69"/>
  <c r="AP22" i="69"/>
  <c r="AH22" i="69"/>
  <c r="AW22" i="69"/>
  <c r="AO22" i="69"/>
  <c r="AG22" i="69"/>
  <c r="AV22" i="69"/>
  <c r="AN22" i="69"/>
  <c r="A24" i="68"/>
  <c r="Y18" i="23" s="1"/>
  <c r="A18" i="25" s="1"/>
  <c r="B23" i="68"/>
  <c r="AU22" i="68"/>
  <c r="AM22" i="68"/>
  <c r="AT22" i="68"/>
  <c r="AL22" i="68"/>
  <c r="AS22" i="68"/>
  <c r="AK22" i="68"/>
  <c r="D22" i="68"/>
  <c r="AZ22" i="68"/>
  <c r="AR22" i="68"/>
  <c r="AJ22" i="68"/>
  <c r="AX22" i="68"/>
  <c r="AW22" i="68"/>
  <c r="AO22" i="68"/>
  <c r="AG22" i="68"/>
  <c r="AV22" i="68"/>
  <c r="AN22" i="68"/>
  <c r="AY22" i="68"/>
  <c r="AQ22" i="68"/>
  <c r="AP22" i="68"/>
  <c r="AI22" i="68"/>
  <c r="AH22" i="68"/>
  <c r="CA21" i="68"/>
  <c r="O21" i="68" s="1"/>
  <c r="BB21" i="68"/>
  <c r="BA21" i="68"/>
  <c r="N21" i="68" s="1"/>
  <c r="CA21" i="65"/>
  <c r="O21" i="65" s="1"/>
  <c r="AW22" i="65"/>
  <c r="AO22" i="65"/>
  <c r="AG22" i="65"/>
  <c r="AV22" i="65"/>
  <c r="AN22" i="65"/>
  <c r="AU22" i="65"/>
  <c r="AM22" i="65"/>
  <c r="AT22" i="65"/>
  <c r="AL22" i="65"/>
  <c r="AS22" i="65"/>
  <c r="AK22" i="65"/>
  <c r="D22" i="65"/>
  <c r="P16" i="23" s="1"/>
  <c r="T16" i="24" s="1"/>
  <c r="AZ22" i="65"/>
  <c r="AR22" i="65"/>
  <c r="AJ22" i="65"/>
  <c r="AY22" i="65"/>
  <c r="AQ22" i="65"/>
  <c r="AI22" i="65"/>
  <c r="AX22" i="65"/>
  <c r="AP22" i="65"/>
  <c r="AH22" i="65"/>
  <c r="B23" i="65"/>
  <c r="N17" i="23" s="1"/>
  <c r="Q17" i="24" s="1"/>
  <c r="A24" i="65"/>
  <c r="M18" i="23" s="1"/>
  <c r="P18" i="24" s="1"/>
  <c r="BB21" i="65"/>
  <c r="BA21" i="65"/>
  <c r="N21" i="65" s="1"/>
  <c r="Y21" i="65" s="1"/>
  <c r="BB21" i="64"/>
  <c r="BA21" i="64"/>
  <c r="N21" i="64" s="1"/>
  <c r="Y20" i="64" s="1"/>
  <c r="AV22" i="64"/>
  <c r="AN22" i="64"/>
  <c r="AU22" i="64"/>
  <c r="AM22" i="64"/>
  <c r="AT22" i="64"/>
  <c r="AL22" i="64"/>
  <c r="AS22" i="64"/>
  <c r="AK22" i="64"/>
  <c r="D22" i="64"/>
  <c r="L16" i="23" s="1"/>
  <c r="O16" i="24" s="1"/>
  <c r="AZ22" i="64"/>
  <c r="AR22" i="64"/>
  <c r="AJ22" i="64"/>
  <c r="AY22" i="64"/>
  <c r="AQ22" i="64"/>
  <c r="AI22" i="64"/>
  <c r="AX22" i="64"/>
  <c r="AP22" i="64"/>
  <c r="AH22" i="64"/>
  <c r="AW22" i="64"/>
  <c r="AO22" i="64"/>
  <c r="AG22" i="64"/>
  <c r="A24" i="64"/>
  <c r="I18" i="23" s="1"/>
  <c r="K18" i="24" s="1"/>
  <c r="B23" i="64"/>
  <c r="J17" i="23" s="1"/>
  <c r="L17" i="24" s="1"/>
  <c r="BB21" i="63"/>
  <c r="BA21" i="63"/>
  <c r="N21" i="63" s="1"/>
  <c r="Y21" i="63" s="1"/>
  <c r="AX22" i="63"/>
  <c r="AP22" i="63"/>
  <c r="AH22" i="63"/>
  <c r="AW22" i="63"/>
  <c r="AO22" i="63"/>
  <c r="AG22" i="63"/>
  <c r="AV22" i="63"/>
  <c r="AN22" i="63"/>
  <c r="AU22" i="63"/>
  <c r="AM22" i="63"/>
  <c r="AT22" i="63"/>
  <c r="AL22" i="63"/>
  <c r="AS22" i="63"/>
  <c r="AK22" i="63"/>
  <c r="D22" i="63"/>
  <c r="H16" i="23" s="1"/>
  <c r="J16" i="24" s="1"/>
  <c r="AZ22" i="63"/>
  <c r="AR22" i="63"/>
  <c r="AJ22" i="63"/>
  <c r="AY22" i="63"/>
  <c r="AQ22" i="63"/>
  <c r="AI22" i="63"/>
  <c r="B23" i="63"/>
  <c r="F17" i="23" s="1"/>
  <c r="G17" i="24" s="1"/>
  <c r="A24" i="63"/>
  <c r="E18" i="23" s="1"/>
  <c r="F18" i="24" s="1"/>
  <c r="FL21" i="63" l="1"/>
  <c r="FJ21" i="63"/>
  <c r="FL21" i="65"/>
  <c r="FJ21" i="65"/>
  <c r="FJ19" i="66"/>
  <c r="FL19" i="66"/>
  <c r="FL20" i="64"/>
  <c r="FL40" i="64" s="1"/>
  <c r="FJ20" i="64"/>
  <c r="FJ40" i="64" s="1"/>
  <c r="FJ19" i="67"/>
  <c r="FL19" i="67"/>
  <c r="AB16" i="23"/>
  <c r="E16" i="25" s="1"/>
  <c r="CX22" i="68"/>
  <c r="P22" i="68" s="1"/>
  <c r="Z17" i="23"/>
  <c r="B17" i="25" s="1"/>
  <c r="CL23" i="68"/>
  <c r="CI23" i="68"/>
  <c r="CR23" i="68"/>
  <c r="CJ23" i="68"/>
  <c r="CS23" i="68"/>
  <c r="CK23" i="68"/>
  <c r="CT23" i="68"/>
  <c r="CD23" i="68"/>
  <c r="CM23" i="68"/>
  <c r="CU23" i="68"/>
  <c r="CE23" i="68"/>
  <c r="CN23" i="68"/>
  <c r="CV23" i="68"/>
  <c r="CF23" i="68"/>
  <c r="CO23" i="68"/>
  <c r="CW23" i="68"/>
  <c r="CG23" i="68"/>
  <c r="CP23" i="68"/>
  <c r="CH23" i="68"/>
  <c r="CQ23" i="68"/>
  <c r="BH23" i="68"/>
  <c r="BP23" i="68"/>
  <c r="BX23" i="68"/>
  <c r="BI23" i="68"/>
  <c r="BQ23" i="68"/>
  <c r="BY23" i="68"/>
  <c r="BJ23" i="68"/>
  <c r="BR23" i="68"/>
  <c r="BZ23" i="68"/>
  <c r="BK23" i="68"/>
  <c r="BS23" i="68"/>
  <c r="BL23" i="68"/>
  <c r="BT23" i="68"/>
  <c r="BM23" i="68"/>
  <c r="BU23" i="68"/>
  <c r="BN23" i="68"/>
  <c r="BV23" i="68"/>
  <c r="BG23" i="68"/>
  <c r="BO23" i="68"/>
  <c r="BW23" i="68"/>
  <c r="Y40" i="64"/>
  <c r="AJ15" i="23"/>
  <c r="O15" i="25"/>
  <c r="AH16" i="23"/>
  <c r="L16" i="25" s="1"/>
  <c r="AJ22" i="70"/>
  <c r="AM22" i="70"/>
  <c r="AK22" i="70"/>
  <c r="AZ22" i="70"/>
  <c r="AV22" i="70"/>
  <c r="AW22" i="70"/>
  <c r="AR22" i="70"/>
  <c r="AN22" i="70"/>
  <c r="D22" i="70"/>
  <c r="AO22" i="70"/>
  <c r="AG22" i="70"/>
  <c r="AS22" i="70"/>
  <c r="AL22" i="70"/>
  <c r="AX22" i="70"/>
  <c r="AI22" i="70"/>
  <c r="AP22" i="70"/>
  <c r="AQ22" i="70"/>
  <c r="AH22" i="70"/>
  <c r="AT22" i="70"/>
  <c r="AY22" i="70"/>
  <c r="AU22" i="70"/>
  <c r="AG17" i="23"/>
  <c r="K17" i="25" s="1"/>
  <c r="B23" i="70"/>
  <c r="A24" i="70"/>
  <c r="BA21" i="70"/>
  <c r="N21" i="70" s="1"/>
  <c r="BB21" i="70"/>
  <c r="BA21" i="67"/>
  <c r="N21" i="67" s="1"/>
  <c r="BB21" i="67"/>
  <c r="AD16" i="25"/>
  <c r="AV16" i="23"/>
  <c r="T16" i="25"/>
  <c r="AN16" i="23"/>
  <c r="V16" i="23"/>
  <c r="AA16" i="24" s="1"/>
  <c r="AH22" i="67"/>
  <c r="AQ22" i="67"/>
  <c r="AV22" i="67"/>
  <c r="AR22" i="67"/>
  <c r="AP22" i="67"/>
  <c r="AN22" i="67"/>
  <c r="AY22" i="67"/>
  <c r="AW22" i="67"/>
  <c r="AU22" i="67"/>
  <c r="AS22" i="67"/>
  <c r="AO22" i="67"/>
  <c r="AM22" i="67"/>
  <c r="AI22" i="67"/>
  <c r="AJ22" i="67"/>
  <c r="AT22" i="67"/>
  <c r="AK22" i="67"/>
  <c r="AG22" i="67"/>
  <c r="D22" i="67"/>
  <c r="X16" i="23" s="1"/>
  <c r="AD16" i="24" s="1"/>
  <c r="AZ22" i="67"/>
  <c r="AX22" i="67"/>
  <c r="AL22" i="67"/>
  <c r="U17" i="23"/>
  <c r="Z17" i="24" s="1"/>
  <c r="A24" i="67"/>
  <c r="B23" i="67"/>
  <c r="J16" i="25"/>
  <c r="AF16" i="23"/>
  <c r="Y15" i="25"/>
  <c r="AR15" i="23"/>
  <c r="R16" i="23"/>
  <c r="V16" i="24" s="1"/>
  <c r="AX22" i="66"/>
  <c r="AG22" i="66"/>
  <c r="AU22" i="66"/>
  <c r="AP22" i="66"/>
  <c r="AM22" i="66"/>
  <c r="AV22" i="66"/>
  <c r="AS22" i="66"/>
  <c r="AZ22" i="66"/>
  <c r="AY22" i="66"/>
  <c r="AH22" i="66"/>
  <c r="AK22" i="66"/>
  <c r="AR22" i="66"/>
  <c r="AQ22" i="66"/>
  <c r="AT22" i="66"/>
  <c r="D22" i="66"/>
  <c r="T16" i="23" s="1"/>
  <c r="Y16" i="24" s="1"/>
  <c r="AJ22" i="66"/>
  <c r="AI22" i="66"/>
  <c r="AL22" i="66"/>
  <c r="AN22" i="66"/>
  <c r="AO22" i="66"/>
  <c r="AW22" i="66"/>
  <c r="Q17" i="23"/>
  <c r="U17" i="24" s="1"/>
  <c r="A24" i="66"/>
  <c r="B23" i="66"/>
  <c r="BB21" i="66"/>
  <c r="BA21" i="66"/>
  <c r="N21" i="66" s="1"/>
  <c r="P22" i="73"/>
  <c r="Q21" i="73"/>
  <c r="Q21" i="68"/>
  <c r="A25" i="73"/>
  <c r="AS19" i="23" s="1"/>
  <c r="Z19" i="25" s="1"/>
  <c r="B24" i="73"/>
  <c r="AT18" i="23" s="1"/>
  <c r="AA18" i="25" s="1"/>
  <c r="CA22" i="73"/>
  <c r="O22" i="73" s="1"/>
  <c r="AT23" i="73"/>
  <c r="AL23" i="73"/>
  <c r="AS23" i="73"/>
  <c r="AK23" i="73"/>
  <c r="D23" i="73"/>
  <c r="AZ23" i="73"/>
  <c r="AR23" i="73"/>
  <c r="AJ23" i="73"/>
  <c r="AY23" i="73"/>
  <c r="AQ23" i="73"/>
  <c r="AI23" i="73"/>
  <c r="AX23" i="73"/>
  <c r="AP23" i="73"/>
  <c r="AH23" i="73"/>
  <c r="AW23" i="73"/>
  <c r="AO23" i="73"/>
  <c r="AG23" i="73"/>
  <c r="AN23" i="73"/>
  <c r="AM23" i="73"/>
  <c r="AV23" i="73"/>
  <c r="AU23" i="73"/>
  <c r="BB22" i="73"/>
  <c r="BA22" i="73"/>
  <c r="N22" i="73" s="1"/>
  <c r="BB21" i="72"/>
  <c r="BA21" i="72"/>
  <c r="N21" i="72" s="1"/>
  <c r="Y21" i="72" s="1"/>
  <c r="B23" i="72"/>
  <c r="AP17" i="23" s="1"/>
  <c r="V17" i="25" s="1"/>
  <c r="A24" i="72"/>
  <c r="AO18" i="23" s="1"/>
  <c r="U18" i="25" s="1"/>
  <c r="AZ22" i="72"/>
  <c r="AR22" i="72"/>
  <c r="AJ22" i="72"/>
  <c r="AY22" i="72"/>
  <c r="AQ22" i="72"/>
  <c r="AI22" i="72"/>
  <c r="AX22" i="72"/>
  <c r="AP22" i="72"/>
  <c r="AH22" i="72"/>
  <c r="AW22" i="72"/>
  <c r="AO22" i="72"/>
  <c r="AG22" i="72"/>
  <c r="AT22" i="72"/>
  <c r="D22" i="72"/>
  <c r="AN22" i="72"/>
  <c r="AM22" i="72"/>
  <c r="AL22" i="72"/>
  <c r="AK22" i="72"/>
  <c r="AV22" i="72"/>
  <c r="AU22" i="72"/>
  <c r="AS22" i="72"/>
  <c r="AY23" i="71"/>
  <c r="AQ23" i="71"/>
  <c r="AI23" i="71"/>
  <c r="AX23" i="71"/>
  <c r="AP23" i="71"/>
  <c r="AH23" i="71"/>
  <c r="AS23" i="71"/>
  <c r="AG23" i="71"/>
  <c r="AR23" i="71"/>
  <c r="AO23" i="71"/>
  <c r="AZ23" i="71"/>
  <c r="AN23" i="71"/>
  <c r="AW23" i="71"/>
  <c r="AM23" i="71"/>
  <c r="D23" i="71"/>
  <c r="AV23" i="71"/>
  <c r="AL23" i="71"/>
  <c r="AT23" i="71"/>
  <c r="AJ23" i="71"/>
  <c r="AU23" i="71"/>
  <c r="AK23" i="71"/>
  <c r="A25" i="71"/>
  <c r="AK19" i="23" s="1"/>
  <c r="P19" i="25" s="1"/>
  <c r="B24" i="71"/>
  <c r="AL18" i="23" s="1"/>
  <c r="Q18" i="25" s="1"/>
  <c r="BB22" i="71"/>
  <c r="BA22" i="71"/>
  <c r="N22" i="71" s="1"/>
  <c r="Y21" i="71" s="1"/>
  <c r="CA22" i="71"/>
  <c r="O22" i="71" s="1"/>
  <c r="AX23" i="69"/>
  <c r="AP23" i="69"/>
  <c r="AH23" i="69"/>
  <c r="AW23" i="69"/>
  <c r="AO23" i="69"/>
  <c r="AG23" i="69"/>
  <c r="AV23" i="69"/>
  <c r="AN23" i="69"/>
  <c r="AU23" i="69"/>
  <c r="AM23" i="69"/>
  <c r="AT23" i="69"/>
  <c r="AL23" i="69"/>
  <c r="AS23" i="69"/>
  <c r="AK23" i="69"/>
  <c r="D23" i="69"/>
  <c r="AZ23" i="69"/>
  <c r="AR23" i="69"/>
  <c r="AJ23" i="69"/>
  <c r="AY23" i="69"/>
  <c r="AQ23" i="69"/>
  <c r="AI23" i="69"/>
  <c r="A25" i="69"/>
  <c r="AC19" i="23" s="1"/>
  <c r="F19" i="25" s="1"/>
  <c r="B24" i="69"/>
  <c r="AD18" i="23" s="1"/>
  <c r="G18" i="25" s="1"/>
  <c r="BB22" i="69"/>
  <c r="BA22" i="69"/>
  <c r="N22" i="69" s="1"/>
  <c r="BB22" i="68"/>
  <c r="BA22" i="68"/>
  <c r="N22" i="68" s="1"/>
  <c r="CA22" i="68"/>
  <c r="O22" i="68" s="1"/>
  <c r="AX23" i="68"/>
  <c r="AP23" i="68"/>
  <c r="AH23" i="68"/>
  <c r="AW23" i="68"/>
  <c r="AO23" i="68"/>
  <c r="AG23" i="68"/>
  <c r="AV23" i="68"/>
  <c r="AN23" i="68"/>
  <c r="AU23" i="68"/>
  <c r="AM23" i="68"/>
  <c r="AT23" i="68"/>
  <c r="AL23" i="68"/>
  <c r="AS23" i="68"/>
  <c r="AK23" i="68"/>
  <c r="D23" i="68"/>
  <c r="AZ23" i="68"/>
  <c r="AR23" i="68"/>
  <c r="AJ23" i="68"/>
  <c r="AY23" i="68"/>
  <c r="AQ23" i="68"/>
  <c r="AI23" i="68"/>
  <c r="B24" i="68"/>
  <c r="A25" i="68"/>
  <c r="Y19" i="23" s="1"/>
  <c r="A19" i="25" s="1"/>
  <c r="BB22" i="65"/>
  <c r="BA22" i="65"/>
  <c r="N22" i="65" s="1"/>
  <c r="B24" i="65"/>
  <c r="N18" i="23" s="1"/>
  <c r="Q18" i="24" s="1"/>
  <c r="A25" i="65"/>
  <c r="M19" i="23" s="1"/>
  <c r="P19" i="24" s="1"/>
  <c r="AZ23" i="65"/>
  <c r="AR23" i="65"/>
  <c r="AJ23" i="65"/>
  <c r="AY23" i="65"/>
  <c r="AQ23" i="65"/>
  <c r="AI23" i="65"/>
  <c r="AX23" i="65"/>
  <c r="AP23" i="65"/>
  <c r="AH23" i="65"/>
  <c r="AW23" i="65"/>
  <c r="AO23" i="65"/>
  <c r="AG23" i="65"/>
  <c r="AV23" i="65"/>
  <c r="AN23" i="65"/>
  <c r="AU23" i="65"/>
  <c r="AM23" i="65"/>
  <c r="AT23" i="65"/>
  <c r="AL23" i="65"/>
  <c r="AS23" i="65"/>
  <c r="AK23" i="65"/>
  <c r="D23" i="65"/>
  <c r="P17" i="23" s="1"/>
  <c r="T17" i="24" s="1"/>
  <c r="AY23" i="64"/>
  <c r="AQ23" i="64"/>
  <c r="AI23" i="64"/>
  <c r="AX23" i="64"/>
  <c r="AP23" i="64"/>
  <c r="AW23" i="64"/>
  <c r="AO23" i="64"/>
  <c r="AV23" i="64"/>
  <c r="AN23" i="64"/>
  <c r="AR23" i="64"/>
  <c r="AM23" i="64"/>
  <c r="D23" i="64"/>
  <c r="L17" i="23" s="1"/>
  <c r="O17" i="24" s="1"/>
  <c r="AL23" i="64"/>
  <c r="AK23" i="64"/>
  <c r="AZ23" i="64"/>
  <c r="AJ23" i="64"/>
  <c r="AU23" i="64"/>
  <c r="AH23" i="64"/>
  <c r="AT23" i="64"/>
  <c r="AG23" i="64"/>
  <c r="AS23" i="64"/>
  <c r="B24" i="64"/>
  <c r="J18" i="23" s="1"/>
  <c r="L18" i="24" s="1"/>
  <c r="A25" i="64"/>
  <c r="I19" i="23" s="1"/>
  <c r="K19" i="24" s="1"/>
  <c r="BB22" i="64"/>
  <c r="BA22" i="64"/>
  <c r="N22" i="64" s="1"/>
  <c r="A25" i="63"/>
  <c r="E19" i="23" s="1"/>
  <c r="F19" i="24" s="1"/>
  <c r="B24" i="63"/>
  <c r="F18" i="23" s="1"/>
  <c r="G18" i="24" s="1"/>
  <c r="AS23" i="63"/>
  <c r="AK23" i="63"/>
  <c r="D23" i="63"/>
  <c r="H17" i="23" s="1"/>
  <c r="J17" i="24" s="1"/>
  <c r="AZ23" i="63"/>
  <c r="AR23" i="63"/>
  <c r="AJ23" i="63"/>
  <c r="AY23" i="63"/>
  <c r="AQ23" i="63"/>
  <c r="AI23" i="63"/>
  <c r="AX23" i="63"/>
  <c r="AP23" i="63"/>
  <c r="AH23" i="63"/>
  <c r="AW23" i="63"/>
  <c r="AO23" i="63"/>
  <c r="AG23" i="63"/>
  <c r="AV23" i="63"/>
  <c r="AN23" i="63"/>
  <c r="AU23" i="63"/>
  <c r="AM23" i="63"/>
  <c r="AT23" i="63"/>
  <c r="AL23" i="63"/>
  <c r="BB22" i="63"/>
  <c r="BA22" i="63"/>
  <c r="N22" i="63" s="1"/>
  <c r="Y22" i="63" s="1"/>
  <c r="FJ22" i="63" l="1"/>
  <c r="FL22" i="63"/>
  <c r="FL21" i="72"/>
  <c r="FJ21" i="72"/>
  <c r="FJ21" i="71"/>
  <c r="FL21" i="71"/>
  <c r="AB17" i="23"/>
  <c r="E17" i="25" s="1"/>
  <c r="CX23" i="68"/>
  <c r="P23" i="68" s="1"/>
  <c r="Z18" i="23"/>
  <c r="B18" i="25" s="1"/>
  <c r="CL24" i="68"/>
  <c r="CF24" i="68"/>
  <c r="CO24" i="68"/>
  <c r="CW24" i="68"/>
  <c r="CG24" i="68"/>
  <c r="CP24" i="68"/>
  <c r="CH24" i="68"/>
  <c r="CQ24" i="68"/>
  <c r="CI24" i="68"/>
  <c r="CR24" i="68"/>
  <c r="CJ24" i="68"/>
  <c r="CS24" i="68"/>
  <c r="CK24" i="68"/>
  <c r="CT24" i="68"/>
  <c r="CD24" i="68"/>
  <c r="CM24" i="68"/>
  <c r="CU24" i="68"/>
  <c r="CE24" i="68"/>
  <c r="CN24" i="68"/>
  <c r="CV24" i="68"/>
  <c r="BL24" i="68"/>
  <c r="BT24" i="68"/>
  <c r="BM24" i="68"/>
  <c r="BU24" i="68"/>
  <c r="BN24" i="68"/>
  <c r="BV24" i="68"/>
  <c r="BG24" i="68"/>
  <c r="BO24" i="68"/>
  <c r="BW24" i="68"/>
  <c r="BH24" i="68"/>
  <c r="BP24" i="68"/>
  <c r="BX24" i="68"/>
  <c r="BI24" i="68"/>
  <c r="BQ24" i="68"/>
  <c r="BY24" i="68"/>
  <c r="BJ24" i="68"/>
  <c r="BR24" i="68"/>
  <c r="BZ24" i="68"/>
  <c r="BK24" i="68"/>
  <c r="BS24" i="68"/>
  <c r="AG18" i="23"/>
  <c r="K18" i="25" s="1"/>
  <c r="A25" i="70"/>
  <c r="B24" i="70"/>
  <c r="AH17" i="23"/>
  <c r="L17" i="25" s="1"/>
  <c r="AK23" i="70"/>
  <c r="AR23" i="70"/>
  <c r="AU23" i="70"/>
  <c r="AP23" i="70"/>
  <c r="D23" i="70"/>
  <c r="AJ23" i="70"/>
  <c r="AW23" i="70"/>
  <c r="AI23" i="70"/>
  <c r="AM23" i="70"/>
  <c r="AQ23" i="70"/>
  <c r="AY23" i="70"/>
  <c r="AG23" i="70"/>
  <c r="AV23" i="70"/>
  <c r="AX23" i="70"/>
  <c r="AL23" i="70"/>
  <c r="AT23" i="70"/>
  <c r="AO23" i="70"/>
  <c r="AN23" i="70"/>
  <c r="AH23" i="70"/>
  <c r="AS23" i="70"/>
  <c r="AZ23" i="70"/>
  <c r="BB22" i="70"/>
  <c r="BA22" i="70"/>
  <c r="N22" i="70" s="1"/>
  <c r="AJ16" i="23"/>
  <c r="O16" i="25"/>
  <c r="Y16" i="25"/>
  <c r="AR16" i="23"/>
  <c r="V17" i="23"/>
  <c r="AA17" i="24" s="1"/>
  <c r="AJ23" i="67"/>
  <c r="AI23" i="67"/>
  <c r="D23" i="67"/>
  <c r="X17" i="23" s="1"/>
  <c r="AD17" i="24" s="1"/>
  <c r="AK23" i="67"/>
  <c r="AR23" i="67"/>
  <c r="AM23" i="67"/>
  <c r="AY23" i="67"/>
  <c r="AO23" i="67"/>
  <c r="AV23" i="67"/>
  <c r="AL23" i="67"/>
  <c r="AU23" i="67"/>
  <c r="AQ23" i="67"/>
  <c r="AN23" i="67"/>
  <c r="AX23" i="67"/>
  <c r="AH23" i="67"/>
  <c r="AW23" i="67"/>
  <c r="AP23" i="67"/>
  <c r="AT23" i="67"/>
  <c r="AZ23" i="67"/>
  <c r="AS23" i="67"/>
  <c r="AG23" i="67"/>
  <c r="U18" i="23"/>
  <c r="Z18" i="24" s="1"/>
  <c r="A25" i="67"/>
  <c r="B24" i="67"/>
  <c r="T17" i="25"/>
  <c r="AN17" i="23"/>
  <c r="AD17" i="25"/>
  <c r="AV17" i="23"/>
  <c r="BA22" i="67"/>
  <c r="N22" i="67" s="1"/>
  <c r="BB22" i="67"/>
  <c r="AF17" i="23"/>
  <c r="J17" i="25"/>
  <c r="CA22" i="67"/>
  <c r="O22" i="67" s="1"/>
  <c r="BB22" i="66"/>
  <c r="BA22" i="66"/>
  <c r="N22" i="66" s="1"/>
  <c r="Y21" i="66" s="1"/>
  <c r="R17" i="23"/>
  <c r="V17" i="24" s="1"/>
  <c r="AU23" i="66"/>
  <c r="AQ23" i="66"/>
  <c r="AO23" i="66"/>
  <c r="AH23" i="66"/>
  <c r="AM23" i="66"/>
  <c r="AG23" i="66"/>
  <c r="AS23" i="66"/>
  <c r="AW23" i="66"/>
  <c r="AT23" i="66"/>
  <c r="AK23" i="66"/>
  <c r="AZ23" i="66"/>
  <c r="AL23" i="66"/>
  <c r="AI23" i="66"/>
  <c r="AP23" i="66"/>
  <c r="D23" i="66"/>
  <c r="T17" i="23" s="1"/>
  <c r="Y17" i="24" s="1"/>
  <c r="AX23" i="66"/>
  <c r="AN23" i="66"/>
  <c r="AV23" i="66"/>
  <c r="AR23" i="66"/>
  <c r="AY23" i="66"/>
  <c r="AJ23" i="66"/>
  <c r="Q18" i="23"/>
  <c r="U18" i="24" s="1"/>
  <c r="A25" i="66"/>
  <c r="B24" i="66"/>
  <c r="P23" i="64"/>
  <c r="P23" i="73"/>
  <c r="Q22" i="73"/>
  <c r="BB23" i="73"/>
  <c r="BA23" i="73"/>
  <c r="N23" i="73" s="1"/>
  <c r="AW24" i="73"/>
  <c r="AO24" i="73"/>
  <c r="AG24" i="73"/>
  <c r="AV24" i="73"/>
  <c r="AN24" i="73"/>
  <c r="AU24" i="73"/>
  <c r="AM24" i="73"/>
  <c r="AT24" i="73"/>
  <c r="AL24" i="73"/>
  <c r="AS24" i="73"/>
  <c r="AK24" i="73"/>
  <c r="D24" i="73"/>
  <c r="AZ24" i="73"/>
  <c r="AR24" i="73"/>
  <c r="AJ24" i="73"/>
  <c r="AX24" i="73"/>
  <c r="AP24" i="73"/>
  <c r="AH24" i="73"/>
  <c r="AY24" i="73"/>
  <c r="AQ24" i="73"/>
  <c r="AI24" i="73"/>
  <c r="CA23" i="73"/>
  <c r="O23" i="73" s="1"/>
  <c r="B25" i="73"/>
  <c r="AT19" i="23" s="1"/>
  <c r="AA19" i="25" s="1"/>
  <c r="A26" i="73"/>
  <c r="AS20" i="23" s="1"/>
  <c r="Z20" i="25" s="1"/>
  <c r="BB22" i="72"/>
  <c r="BA22" i="72"/>
  <c r="N22" i="72" s="1"/>
  <c r="Y22" i="72" s="1"/>
  <c r="A25" i="72"/>
  <c r="AO19" i="23" s="1"/>
  <c r="U19" i="25" s="1"/>
  <c r="B24" i="72"/>
  <c r="AP18" i="23" s="1"/>
  <c r="V18" i="25" s="1"/>
  <c r="AU23" i="72"/>
  <c r="AM23" i="72"/>
  <c r="AT23" i="72"/>
  <c r="AL23" i="72"/>
  <c r="AS23" i="72"/>
  <c r="AK23" i="72"/>
  <c r="D23" i="72"/>
  <c r="AZ23" i="72"/>
  <c r="AR23" i="72"/>
  <c r="AJ23" i="72"/>
  <c r="AP23" i="72"/>
  <c r="AN23" i="72"/>
  <c r="AY23" i="72"/>
  <c r="AI23" i="72"/>
  <c r="AX23" i="72"/>
  <c r="AH23" i="72"/>
  <c r="AW23" i="72"/>
  <c r="AG23" i="72"/>
  <c r="AV23" i="72"/>
  <c r="AQ23" i="72"/>
  <c r="AO23" i="72"/>
  <c r="BB23" i="71"/>
  <c r="BA23" i="71"/>
  <c r="N23" i="71" s="1"/>
  <c r="Y22" i="71" s="1"/>
  <c r="AT24" i="71"/>
  <c r="AL24" i="71"/>
  <c r="AS24" i="71"/>
  <c r="AK24" i="71"/>
  <c r="D24" i="71"/>
  <c r="AZ24" i="71"/>
  <c r="AR24" i="71"/>
  <c r="AJ24" i="71"/>
  <c r="AX24" i="71"/>
  <c r="AP24" i="71"/>
  <c r="AH24" i="71"/>
  <c r="AU24" i="71"/>
  <c r="AQ24" i="71"/>
  <c r="AO24" i="71"/>
  <c r="AN24" i="71"/>
  <c r="AM24" i="71"/>
  <c r="AY24" i="71"/>
  <c r="AI24" i="71"/>
  <c r="AW24" i="71"/>
  <c r="AG24" i="71"/>
  <c r="AV24" i="71"/>
  <c r="A26" i="71"/>
  <c r="AK20" i="23" s="1"/>
  <c r="P20" i="25" s="1"/>
  <c r="B25" i="71"/>
  <c r="AL19" i="23" s="1"/>
  <c r="Q19" i="25" s="1"/>
  <c r="BB23" i="69"/>
  <c r="BA23" i="69"/>
  <c r="N23" i="69" s="1"/>
  <c r="Y22" i="69" s="1"/>
  <c r="AU24" i="69"/>
  <c r="AM24" i="69"/>
  <c r="AT24" i="69"/>
  <c r="AL24" i="69"/>
  <c r="AS24" i="69"/>
  <c r="AK24" i="69"/>
  <c r="D24" i="69"/>
  <c r="AV24" i="69"/>
  <c r="AH24" i="69"/>
  <c r="AR24" i="69"/>
  <c r="AG24" i="69"/>
  <c r="AQ24" i="69"/>
  <c r="AP24" i="69"/>
  <c r="AZ24" i="69"/>
  <c r="AO24" i="69"/>
  <c r="AY24" i="69"/>
  <c r="AN24" i="69"/>
  <c r="AX24" i="69"/>
  <c r="AJ24" i="69"/>
  <c r="AW24" i="69"/>
  <c r="AI24" i="69"/>
  <c r="A26" i="69"/>
  <c r="AC20" i="23" s="1"/>
  <c r="F20" i="25" s="1"/>
  <c r="B25" i="69"/>
  <c r="AD19" i="23" s="1"/>
  <c r="G19" i="25" s="1"/>
  <c r="A26" i="68"/>
  <c r="Y20" i="23" s="1"/>
  <c r="A20" i="25" s="1"/>
  <c r="B25" i="68"/>
  <c r="CA23" i="68"/>
  <c r="O23" i="68" s="1"/>
  <c r="AS24" i="68"/>
  <c r="AK24" i="68"/>
  <c r="D24" i="68"/>
  <c r="AZ24" i="68"/>
  <c r="AR24" i="68"/>
  <c r="AJ24" i="68"/>
  <c r="AY24" i="68"/>
  <c r="AQ24" i="68"/>
  <c r="AI24" i="68"/>
  <c r="AX24" i="68"/>
  <c r="AP24" i="68"/>
  <c r="AH24" i="68"/>
  <c r="AW24" i="68"/>
  <c r="AO24" i="68"/>
  <c r="AG24" i="68"/>
  <c r="AV24" i="68"/>
  <c r="AN24" i="68"/>
  <c r="AU24" i="68"/>
  <c r="AM24" i="68"/>
  <c r="AT24" i="68"/>
  <c r="AL24" i="68"/>
  <c r="BB23" i="68"/>
  <c r="BA23" i="68"/>
  <c r="N23" i="68" s="1"/>
  <c r="Q22" i="68"/>
  <c r="BB23" i="65"/>
  <c r="BA23" i="65"/>
  <c r="N23" i="65" s="1"/>
  <c r="A26" i="65"/>
  <c r="M20" i="23" s="1"/>
  <c r="P20" i="24" s="1"/>
  <c r="B25" i="65"/>
  <c r="N19" i="23" s="1"/>
  <c r="Q19" i="24" s="1"/>
  <c r="AT24" i="65"/>
  <c r="AL24" i="65"/>
  <c r="AX24" i="65"/>
  <c r="AO24" i="65"/>
  <c r="AW24" i="65"/>
  <c r="AN24" i="65"/>
  <c r="AV24" i="65"/>
  <c r="AM24" i="65"/>
  <c r="D24" i="65"/>
  <c r="P18" i="23" s="1"/>
  <c r="T18" i="24" s="1"/>
  <c r="AU24" i="65"/>
  <c r="AK24" i="65"/>
  <c r="AS24" i="65"/>
  <c r="AJ24" i="65"/>
  <c r="AR24" i="65"/>
  <c r="AI24" i="65"/>
  <c r="AZ24" i="65"/>
  <c r="AQ24" i="65"/>
  <c r="AH24" i="65"/>
  <c r="AY24" i="65"/>
  <c r="AP24" i="65"/>
  <c r="AG24" i="65"/>
  <c r="BB23" i="64"/>
  <c r="BA23" i="64"/>
  <c r="N23" i="64" s="1"/>
  <c r="CA23" i="64"/>
  <c r="O23" i="64" s="1"/>
  <c r="A26" i="64"/>
  <c r="I20" i="23" s="1"/>
  <c r="K20" i="24" s="1"/>
  <c r="B25" i="64"/>
  <c r="J19" i="23" s="1"/>
  <c r="L19" i="24" s="1"/>
  <c r="AT24" i="64"/>
  <c r="AL24" i="64"/>
  <c r="AS24" i="64"/>
  <c r="AK24" i="64"/>
  <c r="D24" i="64"/>
  <c r="L18" i="23" s="1"/>
  <c r="O18" i="24" s="1"/>
  <c r="AZ24" i="64"/>
  <c r="AR24" i="64"/>
  <c r="AJ24" i="64"/>
  <c r="AY24" i="64"/>
  <c r="AQ24" i="64"/>
  <c r="AI24" i="64"/>
  <c r="AX24" i="64"/>
  <c r="AH24" i="64"/>
  <c r="AW24" i="64"/>
  <c r="AG24" i="64"/>
  <c r="AV24" i="64"/>
  <c r="AU24" i="64"/>
  <c r="AP24" i="64"/>
  <c r="AO24" i="64"/>
  <c r="AN24" i="64"/>
  <c r="AM24" i="64"/>
  <c r="BB23" i="63"/>
  <c r="BA23" i="63"/>
  <c r="N23" i="63" s="1"/>
  <c r="Y23" i="63" s="1"/>
  <c r="AZ24" i="63"/>
  <c r="AR24" i="63"/>
  <c r="AW24" i="63"/>
  <c r="AN24" i="63"/>
  <c r="AV24" i="63"/>
  <c r="AM24" i="63"/>
  <c r="AU24" i="63"/>
  <c r="AL24" i="63"/>
  <c r="AT24" i="63"/>
  <c r="AK24" i="63"/>
  <c r="D24" i="63"/>
  <c r="H18" i="23" s="1"/>
  <c r="J18" i="24" s="1"/>
  <c r="AS24" i="63"/>
  <c r="AJ24" i="63"/>
  <c r="AQ24" i="63"/>
  <c r="AI24" i="63"/>
  <c r="AY24" i="63"/>
  <c r="AP24" i="63"/>
  <c r="AH24" i="63"/>
  <c r="AX24" i="63"/>
  <c r="AO24" i="63"/>
  <c r="AG24" i="63"/>
  <c r="A26" i="63"/>
  <c r="E20" i="23" s="1"/>
  <c r="F20" i="24" s="1"/>
  <c r="B25" i="63"/>
  <c r="F19" i="23" s="1"/>
  <c r="G19" i="24" s="1"/>
  <c r="FL22" i="69" l="1"/>
  <c r="FL40" i="69" s="1"/>
  <c r="FJ22" i="69"/>
  <c r="FJ40" i="69" s="1"/>
  <c r="FJ22" i="72"/>
  <c r="FL22" i="72"/>
  <c r="FL22" i="71"/>
  <c r="FJ22" i="71"/>
  <c r="FJ23" i="63"/>
  <c r="FL23" i="63"/>
  <c r="FJ21" i="66"/>
  <c r="FL21" i="66"/>
  <c r="AB18" i="23"/>
  <c r="E18" i="25" s="1"/>
  <c r="Z19" i="23"/>
  <c r="B19" i="25" s="1"/>
  <c r="CL25" i="68"/>
  <c r="CM25" i="68"/>
  <c r="CU25" i="68"/>
  <c r="CE25" i="68"/>
  <c r="CN25" i="68"/>
  <c r="CV25" i="68"/>
  <c r="CF25" i="68"/>
  <c r="CO25" i="68"/>
  <c r="CW25" i="68"/>
  <c r="CG25" i="68"/>
  <c r="CP25" i="68"/>
  <c r="CH25" i="68"/>
  <c r="CQ25" i="68"/>
  <c r="CI25" i="68"/>
  <c r="CR25" i="68"/>
  <c r="CJ25" i="68"/>
  <c r="CS25" i="68"/>
  <c r="CK25" i="68"/>
  <c r="CT25" i="68"/>
  <c r="BI25" i="68"/>
  <c r="BR25" i="68"/>
  <c r="BZ25" i="68"/>
  <c r="BJ25" i="68"/>
  <c r="BS25" i="68"/>
  <c r="BK25" i="68"/>
  <c r="BT25" i="68"/>
  <c r="BM25" i="68"/>
  <c r="BU25" i="68"/>
  <c r="BN25" i="68"/>
  <c r="BV25" i="68"/>
  <c r="BO25" i="68"/>
  <c r="BW25" i="68"/>
  <c r="BP25" i="68"/>
  <c r="BX25" i="68"/>
  <c r="BH25" i="68"/>
  <c r="BQ25" i="68"/>
  <c r="BY25" i="68"/>
  <c r="BL25" i="68"/>
  <c r="CD25" i="68"/>
  <c r="BG25" i="68"/>
  <c r="CX24" i="68"/>
  <c r="P24" i="68" s="1"/>
  <c r="Y40" i="69"/>
  <c r="CA23" i="70"/>
  <c r="O23" i="70" s="1"/>
  <c r="O17" i="25"/>
  <c r="AJ17" i="23"/>
  <c r="AH18" i="23"/>
  <c r="L18" i="25" s="1"/>
  <c r="AK24" i="70"/>
  <c r="D24" i="70"/>
  <c r="AU24" i="70"/>
  <c r="AZ24" i="70"/>
  <c r="AM24" i="70"/>
  <c r="AS24" i="70"/>
  <c r="AP24" i="70"/>
  <c r="AI24" i="70"/>
  <c r="AX24" i="70"/>
  <c r="AT24" i="70"/>
  <c r="AQ24" i="70"/>
  <c r="AV24" i="70"/>
  <c r="AJ24" i="70"/>
  <c r="AG24" i="70"/>
  <c r="AL24" i="70"/>
  <c r="AN24" i="70"/>
  <c r="AR24" i="70"/>
  <c r="AY24" i="70"/>
  <c r="AW24" i="70"/>
  <c r="AH24" i="70"/>
  <c r="AO24" i="70"/>
  <c r="BB23" i="70"/>
  <c r="BA23" i="70"/>
  <c r="N23" i="70" s="1"/>
  <c r="Y23" i="70" s="1"/>
  <c r="AG19" i="23"/>
  <c r="K19" i="25" s="1"/>
  <c r="A26" i="70"/>
  <c r="B25" i="70"/>
  <c r="AN18" i="23"/>
  <c r="T18" i="25"/>
  <c r="Y17" i="25"/>
  <c r="AR17" i="23"/>
  <c r="AD18" i="25"/>
  <c r="AV18" i="23"/>
  <c r="CA23" i="67"/>
  <c r="O23" i="67" s="1"/>
  <c r="BB23" i="67"/>
  <c r="BA23" i="67"/>
  <c r="N23" i="67" s="1"/>
  <c r="Y22" i="67" s="1"/>
  <c r="J18" i="25"/>
  <c r="AF18" i="23"/>
  <c r="V18" i="23"/>
  <c r="AA18" i="24" s="1"/>
  <c r="AY24" i="67"/>
  <c r="AH24" i="67"/>
  <c r="AQ24" i="67"/>
  <c r="AV24" i="67"/>
  <c r="AZ24" i="67"/>
  <c r="AI24" i="67"/>
  <c r="AN24" i="67"/>
  <c r="AS24" i="67"/>
  <c r="AR24" i="67"/>
  <c r="AK24" i="67"/>
  <c r="AJ24" i="67"/>
  <c r="AW24" i="67"/>
  <c r="AT24" i="67"/>
  <c r="D24" i="67"/>
  <c r="X18" i="23" s="1"/>
  <c r="AD18" i="24" s="1"/>
  <c r="AO24" i="67"/>
  <c r="AU24" i="67"/>
  <c r="AL24" i="67"/>
  <c r="AP24" i="67"/>
  <c r="AX24" i="67"/>
  <c r="AG24" i="67"/>
  <c r="AM24" i="67"/>
  <c r="U19" i="23"/>
  <c r="Z19" i="24" s="1"/>
  <c r="B25" i="67"/>
  <c r="A26" i="67"/>
  <c r="R18" i="23"/>
  <c r="V18" i="24" s="1"/>
  <c r="AH24" i="66"/>
  <c r="AT24" i="66"/>
  <c r="AL24" i="66"/>
  <c r="AQ24" i="66"/>
  <c r="AV24" i="66"/>
  <c r="AY24" i="66"/>
  <c r="AI24" i="66"/>
  <c r="AN24" i="66"/>
  <c r="AM24" i="66"/>
  <c r="AW24" i="66"/>
  <c r="AS24" i="66"/>
  <c r="AO24" i="66"/>
  <c r="AK24" i="66"/>
  <c r="AJ24" i="66"/>
  <c r="AX24" i="66"/>
  <c r="AG24" i="66"/>
  <c r="AZ24" i="66"/>
  <c r="AU24" i="66"/>
  <c r="AP24" i="66"/>
  <c r="AR24" i="66"/>
  <c r="D24" i="66"/>
  <c r="T18" i="23" s="1"/>
  <c r="Y18" i="24" s="1"/>
  <c r="Q19" i="23"/>
  <c r="U19" i="24" s="1"/>
  <c r="A26" i="66"/>
  <c r="B25" i="66"/>
  <c r="BB23" i="66"/>
  <c r="BA23" i="66"/>
  <c r="N23" i="66" s="1"/>
  <c r="Y22" i="66" s="1"/>
  <c r="P24" i="64"/>
  <c r="P24" i="73"/>
  <c r="Q23" i="68"/>
  <c r="AZ25" i="73"/>
  <c r="AR25" i="73"/>
  <c r="AJ25" i="73"/>
  <c r="AY25" i="73"/>
  <c r="AQ25" i="73"/>
  <c r="AI25" i="73"/>
  <c r="AX25" i="73"/>
  <c r="AP25" i="73"/>
  <c r="AH25" i="73"/>
  <c r="AW25" i="73"/>
  <c r="AO25" i="73"/>
  <c r="AG25" i="73"/>
  <c r="AV25" i="73"/>
  <c r="AN25" i="73"/>
  <c r="AU25" i="73"/>
  <c r="AM25" i="73"/>
  <c r="AT25" i="73"/>
  <c r="AL25" i="73"/>
  <c r="AS25" i="73"/>
  <c r="AK25" i="73"/>
  <c r="D25" i="73"/>
  <c r="CA24" i="73"/>
  <c r="O24" i="73" s="1"/>
  <c r="Q23" i="73"/>
  <c r="B26" i="73"/>
  <c r="AT20" i="23" s="1"/>
  <c r="AA20" i="25" s="1"/>
  <c r="A27" i="73"/>
  <c r="AS21" i="23" s="1"/>
  <c r="Z21" i="25" s="1"/>
  <c r="BB24" i="73"/>
  <c r="BA24" i="73"/>
  <c r="N24" i="73" s="1"/>
  <c r="AX24" i="72"/>
  <c r="AP24" i="72"/>
  <c r="AH24" i="72"/>
  <c r="AW24" i="72"/>
  <c r="AO24" i="72"/>
  <c r="AG24" i="72"/>
  <c r="AV24" i="72"/>
  <c r="AN24" i="72"/>
  <c r="AU24" i="72"/>
  <c r="AM24" i="72"/>
  <c r="AS24" i="72"/>
  <c r="AK24" i="72"/>
  <c r="D24" i="72"/>
  <c r="AZ24" i="72"/>
  <c r="AR24" i="72"/>
  <c r="AJ24" i="72"/>
  <c r="AY24" i="72"/>
  <c r="AQ24" i="72"/>
  <c r="AI24" i="72"/>
  <c r="AT24" i="72"/>
  <c r="AL24" i="72"/>
  <c r="B25" i="72"/>
  <c r="AP19" i="23" s="1"/>
  <c r="V19" i="25" s="1"/>
  <c r="A26" i="72"/>
  <c r="AO20" i="23" s="1"/>
  <c r="U20" i="25" s="1"/>
  <c r="BB23" i="72"/>
  <c r="BA23" i="72"/>
  <c r="N23" i="72" s="1"/>
  <c r="AW25" i="71"/>
  <c r="AO25" i="71"/>
  <c r="AG25" i="71"/>
  <c r="AR25" i="71"/>
  <c r="AI25" i="71"/>
  <c r="AZ25" i="71"/>
  <c r="AQ25" i="71"/>
  <c r="AH25" i="71"/>
  <c r="AY25" i="71"/>
  <c r="AP25" i="71"/>
  <c r="AX25" i="71"/>
  <c r="AN25" i="71"/>
  <c r="AV25" i="71"/>
  <c r="AM25" i="71"/>
  <c r="D25" i="71"/>
  <c r="AJ25" i="71"/>
  <c r="AU25" i="71"/>
  <c r="AT25" i="71"/>
  <c r="AS25" i="71"/>
  <c r="AL25" i="71"/>
  <c r="AK25" i="71"/>
  <c r="B26" i="71"/>
  <c r="AL20" i="23" s="1"/>
  <c r="Q20" i="25" s="1"/>
  <c r="A27" i="71"/>
  <c r="AK21" i="23" s="1"/>
  <c r="P21" i="25" s="1"/>
  <c r="BB24" i="71"/>
  <c r="BA24" i="71"/>
  <c r="N24" i="71" s="1"/>
  <c r="AX25" i="69"/>
  <c r="AP25" i="69"/>
  <c r="AH25" i="69"/>
  <c r="AW25" i="69"/>
  <c r="AO25" i="69"/>
  <c r="AG25" i="69"/>
  <c r="AV25" i="69"/>
  <c r="AN25" i="69"/>
  <c r="AU25" i="69"/>
  <c r="AM25" i="69"/>
  <c r="AS25" i="69"/>
  <c r="AK25" i="69"/>
  <c r="D25" i="69"/>
  <c r="AZ25" i="69"/>
  <c r="AR25" i="69"/>
  <c r="AJ25" i="69"/>
  <c r="AQ25" i="69"/>
  <c r="AL25" i="69"/>
  <c r="AI25" i="69"/>
  <c r="AY25" i="69"/>
  <c r="AT25" i="69"/>
  <c r="B26" i="69"/>
  <c r="AD20" i="23" s="1"/>
  <c r="G20" i="25" s="1"/>
  <c r="A27" i="69"/>
  <c r="AC21" i="23" s="1"/>
  <c r="F21" i="25" s="1"/>
  <c r="BB24" i="69"/>
  <c r="BA24" i="69"/>
  <c r="N24" i="69" s="1"/>
  <c r="BB24" i="68"/>
  <c r="BA24" i="68"/>
  <c r="N24" i="68" s="1"/>
  <c r="Y24" i="68" s="1"/>
  <c r="CA24" i="68"/>
  <c r="O24" i="68" s="1"/>
  <c r="AY25" i="68"/>
  <c r="AQ25" i="68"/>
  <c r="AI25" i="68"/>
  <c r="AX25" i="68"/>
  <c r="AO25" i="68"/>
  <c r="AW25" i="68"/>
  <c r="AN25" i="68"/>
  <c r="AV25" i="68"/>
  <c r="AM25" i="68"/>
  <c r="AU25" i="68"/>
  <c r="AL25" i="68"/>
  <c r="D25" i="68"/>
  <c r="AT25" i="68"/>
  <c r="AK25" i="68"/>
  <c r="AS25" i="68"/>
  <c r="AJ25" i="68"/>
  <c r="AR25" i="68"/>
  <c r="AH25" i="68"/>
  <c r="AZ25" i="68"/>
  <c r="AP25" i="68"/>
  <c r="AG25" i="68"/>
  <c r="A27" i="68"/>
  <c r="Y21" i="23" s="1"/>
  <c r="A21" i="25" s="1"/>
  <c r="B26" i="68"/>
  <c r="BB24" i="65"/>
  <c r="BA24" i="65"/>
  <c r="N24" i="65" s="1"/>
  <c r="Y24" i="65" s="1"/>
  <c r="AW25" i="65"/>
  <c r="AO25" i="65"/>
  <c r="AG25" i="65"/>
  <c r="AV25" i="65"/>
  <c r="AN25" i="65"/>
  <c r="AU25" i="65"/>
  <c r="AK25" i="65"/>
  <c r="AT25" i="65"/>
  <c r="AJ25" i="65"/>
  <c r="AS25" i="65"/>
  <c r="AI25" i="65"/>
  <c r="AR25" i="65"/>
  <c r="AH25" i="65"/>
  <c r="AQ25" i="65"/>
  <c r="AZ25" i="65"/>
  <c r="AP25" i="65"/>
  <c r="D25" i="65"/>
  <c r="P19" i="23" s="1"/>
  <c r="T19" i="24" s="1"/>
  <c r="AY25" i="65"/>
  <c r="AM25" i="65"/>
  <c r="AX25" i="65"/>
  <c r="AL25" i="65"/>
  <c r="B26" i="65"/>
  <c r="N20" i="23" s="1"/>
  <c r="Q20" i="24" s="1"/>
  <c r="A27" i="65"/>
  <c r="M21" i="23" s="1"/>
  <c r="P21" i="24" s="1"/>
  <c r="AW25" i="64"/>
  <c r="AO25" i="64"/>
  <c r="AG25" i="64"/>
  <c r="AV25" i="64"/>
  <c r="AN25" i="64"/>
  <c r="AU25" i="64"/>
  <c r="AM25" i="64"/>
  <c r="AT25" i="64"/>
  <c r="AL25" i="64"/>
  <c r="AS25" i="64"/>
  <c r="AK25" i="64"/>
  <c r="AP25" i="64"/>
  <c r="AJ25" i="64"/>
  <c r="AI25" i="64"/>
  <c r="AZ25" i="64"/>
  <c r="AH25" i="64"/>
  <c r="D25" i="64"/>
  <c r="L19" i="23" s="1"/>
  <c r="O19" i="24" s="1"/>
  <c r="AY25" i="64"/>
  <c r="AX25" i="64"/>
  <c r="AR25" i="64"/>
  <c r="AQ25" i="64"/>
  <c r="B26" i="64"/>
  <c r="J20" i="23" s="1"/>
  <c r="L20" i="24" s="1"/>
  <c r="A27" i="64"/>
  <c r="I21" i="23" s="1"/>
  <c r="K21" i="24" s="1"/>
  <c r="Q23" i="64"/>
  <c r="BB24" i="64"/>
  <c r="BA24" i="64"/>
  <c r="N24" i="64" s="1"/>
  <c r="CA24" i="64"/>
  <c r="O24" i="64" s="1"/>
  <c r="AV25" i="63"/>
  <c r="AN25" i="63"/>
  <c r="AU25" i="63"/>
  <c r="AM25" i="63"/>
  <c r="AQ25" i="63"/>
  <c r="AG25" i="63"/>
  <c r="AZ25" i="63"/>
  <c r="AP25" i="63"/>
  <c r="AY25" i="63"/>
  <c r="AO25" i="63"/>
  <c r="D25" i="63"/>
  <c r="H19" i="23" s="1"/>
  <c r="J19" i="24" s="1"/>
  <c r="AX25" i="63"/>
  <c r="AL25" i="63"/>
  <c r="AW25" i="63"/>
  <c r="AK25" i="63"/>
  <c r="AT25" i="63"/>
  <c r="AJ25" i="63"/>
  <c r="AS25" i="63"/>
  <c r="AI25" i="63"/>
  <c r="AR25" i="63"/>
  <c r="AH25" i="63"/>
  <c r="A27" i="63"/>
  <c r="E21" i="23" s="1"/>
  <c r="F21" i="24" s="1"/>
  <c r="B26" i="63"/>
  <c r="F20" i="23" s="1"/>
  <c r="G20" i="24" s="1"/>
  <c r="BB24" i="63"/>
  <c r="BA24" i="63"/>
  <c r="N24" i="63" s="1"/>
  <c r="Y24" i="63" s="1"/>
  <c r="FL24" i="63" l="1"/>
  <c r="FJ24" i="63"/>
  <c r="FL23" i="70"/>
  <c r="FJ23" i="70"/>
  <c r="FL22" i="67"/>
  <c r="FJ22" i="67"/>
  <c r="FJ24" i="65"/>
  <c r="FJ40" i="65" s="1"/>
  <c r="FL24" i="65"/>
  <c r="FL40" i="65" s="1"/>
  <c r="FL22" i="66"/>
  <c r="FJ22" i="66"/>
  <c r="AB19" i="23"/>
  <c r="E19" i="25" s="1"/>
  <c r="CX25" i="68"/>
  <c r="Z20" i="23"/>
  <c r="B20" i="25" s="1"/>
  <c r="CL26" i="68"/>
  <c r="CK26" i="68"/>
  <c r="CT26" i="68"/>
  <c r="CM26" i="68"/>
  <c r="CU26" i="68"/>
  <c r="CN26" i="68"/>
  <c r="CV26" i="68"/>
  <c r="CD26" i="68"/>
  <c r="CO26" i="68"/>
  <c r="CW26" i="68"/>
  <c r="CF26" i="68"/>
  <c r="CP26" i="68"/>
  <c r="CG26" i="68"/>
  <c r="CQ26" i="68"/>
  <c r="CH26" i="68"/>
  <c r="CR26" i="68"/>
  <c r="CI26" i="68"/>
  <c r="CS26" i="68"/>
  <c r="BP26" i="68"/>
  <c r="BX26" i="68"/>
  <c r="BG26" i="68"/>
  <c r="BQ26" i="68"/>
  <c r="BY26" i="68"/>
  <c r="BI26" i="68"/>
  <c r="BR26" i="68"/>
  <c r="BZ26" i="68"/>
  <c r="BJ26" i="68"/>
  <c r="BS26" i="68"/>
  <c r="BK26" i="68"/>
  <c r="BT26" i="68"/>
  <c r="BL26" i="68"/>
  <c r="BU26" i="68"/>
  <c r="BN26" i="68"/>
  <c r="BV26" i="68"/>
  <c r="BO26" i="68"/>
  <c r="BW26" i="68"/>
  <c r="BH26" i="68"/>
  <c r="CJ26" i="68"/>
  <c r="CE26" i="68"/>
  <c r="BM26" i="68"/>
  <c r="Y39" i="65"/>
  <c r="FJ24" i="68"/>
  <c r="FL24" i="68"/>
  <c r="CA24" i="70"/>
  <c r="O24" i="70" s="1"/>
  <c r="BA24" i="70"/>
  <c r="N24" i="70" s="1"/>
  <c r="Y24" i="70" s="1"/>
  <c r="BB24" i="70"/>
  <c r="AH19" i="23"/>
  <c r="L19" i="25" s="1"/>
  <c r="AI25" i="70"/>
  <c r="AO25" i="70"/>
  <c r="AW25" i="70"/>
  <c r="AM25" i="70"/>
  <c r="AU25" i="70"/>
  <c r="D25" i="70"/>
  <c r="AK25" i="70"/>
  <c r="AX25" i="70"/>
  <c r="AS25" i="70"/>
  <c r="AP25" i="70"/>
  <c r="AZ25" i="70"/>
  <c r="AV25" i="70"/>
  <c r="AG25" i="70"/>
  <c r="AH25" i="70"/>
  <c r="AN25" i="70"/>
  <c r="AL25" i="70"/>
  <c r="AT25" i="70"/>
  <c r="AY25" i="70"/>
  <c r="AJ25" i="70"/>
  <c r="AR25" i="70"/>
  <c r="AQ25" i="70"/>
  <c r="AG20" i="23"/>
  <c r="K20" i="25" s="1"/>
  <c r="A27" i="70"/>
  <c r="B26" i="70"/>
  <c r="O18" i="25"/>
  <c r="AJ18" i="23"/>
  <c r="U20" i="23"/>
  <c r="Z20" i="24" s="1"/>
  <c r="B26" i="67"/>
  <c r="A27" i="67"/>
  <c r="AN19" i="23"/>
  <c r="T19" i="25"/>
  <c r="V19" i="23"/>
  <c r="AA19" i="24" s="1"/>
  <c r="AM25" i="67"/>
  <c r="AX25" i="67"/>
  <c r="AY25" i="67"/>
  <c r="AP25" i="67"/>
  <c r="AZ25" i="67"/>
  <c r="AQ25" i="67"/>
  <c r="AH25" i="67"/>
  <c r="AK25" i="67"/>
  <c r="AS25" i="67"/>
  <c r="AR25" i="67"/>
  <c r="AI25" i="67"/>
  <c r="AV25" i="67"/>
  <c r="AJ25" i="67"/>
  <c r="AT25" i="67"/>
  <c r="D25" i="67"/>
  <c r="X19" i="23" s="1"/>
  <c r="AD19" i="24" s="1"/>
  <c r="AW25" i="67"/>
  <c r="AG25" i="67"/>
  <c r="AL25" i="67"/>
  <c r="AO25" i="67"/>
  <c r="AN25" i="67"/>
  <c r="AU25" i="67"/>
  <c r="BB24" i="67"/>
  <c r="BA24" i="67"/>
  <c r="N24" i="67" s="1"/>
  <c r="Y23" i="67" s="1"/>
  <c r="Y18" i="25"/>
  <c r="AR18" i="23"/>
  <c r="J19" i="25"/>
  <c r="AF19" i="23"/>
  <c r="AV19" i="23"/>
  <c r="AD19" i="25"/>
  <c r="BB24" i="66"/>
  <c r="BA24" i="66"/>
  <c r="N24" i="66" s="1"/>
  <c r="R19" i="23"/>
  <c r="V19" i="24" s="1"/>
  <c r="AT25" i="66"/>
  <c r="AK25" i="66"/>
  <c r="AZ25" i="66"/>
  <c r="AY25" i="66"/>
  <c r="AP25" i="66"/>
  <c r="AL25" i="66"/>
  <c r="D25" i="66"/>
  <c r="T19" i="23" s="1"/>
  <c r="Y19" i="24" s="1"/>
  <c r="AR25" i="66"/>
  <c r="AQ25" i="66"/>
  <c r="AH25" i="66"/>
  <c r="AJ25" i="66"/>
  <c r="AI25" i="66"/>
  <c r="AV25" i="66"/>
  <c r="AW25" i="66"/>
  <c r="AU25" i="66"/>
  <c r="AO25" i="66"/>
  <c r="AM25" i="66"/>
  <c r="AS25" i="66"/>
  <c r="AX25" i="66"/>
  <c r="AG25" i="66"/>
  <c r="AN25" i="66"/>
  <c r="Q20" i="23"/>
  <c r="U20" i="24" s="1"/>
  <c r="A27" i="66"/>
  <c r="B26" i="66"/>
  <c r="P25" i="73"/>
  <c r="P25" i="64"/>
  <c r="Q24" i="64"/>
  <c r="CA25" i="64"/>
  <c r="O25" i="64" s="1"/>
  <c r="A28" i="73"/>
  <c r="AS22" i="23" s="1"/>
  <c r="Z22" i="25" s="1"/>
  <c r="B27" i="73"/>
  <c r="AT21" i="23" s="1"/>
  <c r="AA21" i="25" s="1"/>
  <c r="CA25" i="73"/>
  <c r="O25" i="73" s="1"/>
  <c r="AU26" i="73"/>
  <c r="AM26" i="73"/>
  <c r="AT26" i="73"/>
  <c r="AL26" i="73"/>
  <c r="AS26" i="73"/>
  <c r="AK26" i="73"/>
  <c r="D26" i="73"/>
  <c r="AZ26" i="73"/>
  <c r="AR26" i="73"/>
  <c r="AJ26" i="73"/>
  <c r="AY26" i="73"/>
  <c r="AQ26" i="73"/>
  <c r="AI26" i="73"/>
  <c r="AX26" i="73"/>
  <c r="AP26" i="73"/>
  <c r="AH26" i="73"/>
  <c r="AW26" i="73"/>
  <c r="AO26" i="73"/>
  <c r="AG26" i="73"/>
  <c r="AV26" i="73"/>
  <c r="AN26" i="73"/>
  <c r="Q24" i="73"/>
  <c r="BB25" i="73"/>
  <c r="BA25" i="73"/>
  <c r="N25" i="73" s="1"/>
  <c r="BB24" i="72"/>
  <c r="BA24" i="72"/>
  <c r="N24" i="72" s="1"/>
  <c r="A27" i="72"/>
  <c r="AO21" i="23" s="1"/>
  <c r="U21" i="25" s="1"/>
  <c r="B26" i="72"/>
  <c r="AP20" i="23" s="1"/>
  <c r="V20" i="25" s="1"/>
  <c r="AS25" i="72"/>
  <c r="AK25" i="72"/>
  <c r="D25" i="72"/>
  <c r="AZ25" i="72"/>
  <c r="AR25" i="72"/>
  <c r="AJ25" i="72"/>
  <c r="AY25" i="72"/>
  <c r="AQ25" i="72"/>
  <c r="AI25" i="72"/>
  <c r="AX25" i="72"/>
  <c r="AP25" i="72"/>
  <c r="AH25" i="72"/>
  <c r="AV25" i="72"/>
  <c r="AN25" i="72"/>
  <c r="AU25" i="72"/>
  <c r="AM25" i="72"/>
  <c r="AT25" i="72"/>
  <c r="AL25" i="72"/>
  <c r="AW25" i="72"/>
  <c r="AO25" i="72"/>
  <c r="AG25" i="72"/>
  <c r="BB25" i="71"/>
  <c r="BA25" i="71"/>
  <c r="N25" i="71" s="1"/>
  <c r="A28" i="71"/>
  <c r="AK22" i="23" s="1"/>
  <c r="P22" i="25" s="1"/>
  <c r="B27" i="71"/>
  <c r="AL21" i="23" s="1"/>
  <c r="Q21" i="25" s="1"/>
  <c r="AZ26" i="71"/>
  <c r="AR26" i="71"/>
  <c r="AJ26" i="71"/>
  <c r="AU26" i="71"/>
  <c r="AL26" i="71"/>
  <c r="D26" i="71"/>
  <c r="AT26" i="71"/>
  <c r="AK26" i="71"/>
  <c r="AS26" i="71"/>
  <c r="AI26" i="71"/>
  <c r="AQ26" i="71"/>
  <c r="AH26" i="71"/>
  <c r="AY26" i="71"/>
  <c r="AP26" i="71"/>
  <c r="AG26" i="71"/>
  <c r="AX26" i="71"/>
  <c r="AO26" i="71"/>
  <c r="AW26" i="71"/>
  <c r="AV26" i="71"/>
  <c r="AN26" i="71"/>
  <c r="AM26" i="71"/>
  <c r="BB25" i="69"/>
  <c r="BA25" i="69"/>
  <c r="N25" i="69" s="1"/>
  <c r="B27" i="69"/>
  <c r="AD21" i="23" s="1"/>
  <c r="G21" i="25" s="1"/>
  <c r="A28" i="69"/>
  <c r="AC22" i="23" s="1"/>
  <c r="F22" i="25" s="1"/>
  <c r="AS26" i="69"/>
  <c r="AK26" i="69"/>
  <c r="D26" i="69"/>
  <c r="AZ26" i="69"/>
  <c r="AR26" i="69"/>
  <c r="AJ26" i="69"/>
  <c r="AY26" i="69"/>
  <c r="AQ26" i="69"/>
  <c r="AI26" i="69"/>
  <c r="AX26" i="69"/>
  <c r="AP26" i="69"/>
  <c r="AH26" i="69"/>
  <c r="AW26" i="69"/>
  <c r="AO26" i="69"/>
  <c r="AG26" i="69"/>
  <c r="AV26" i="69"/>
  <c r="AN26" i="69"/>
  <c r="AU26" i="69"/>
  <c r="AM26" i="69"/>
  <c r="AT26" i="69"/>
  <c r="AL26" i="69"/>
  <c r="BB25" i="68"/>
  <c r="BA25" i="68"/>
  <c r="N25" i="68" s="1"/>
  <c r="AV26" i="68"/>
  <c r="AN26" i="68"/>
  <c r="AT26" i="68"/>
  <c r="AL26" i="68"/>
  <c r="AS26" i="68"/>
  <c r="AK26" i="68"/>
  <c r="AZ26" i="68"/>
  <c r="AO26" i="68"/>
  <c r="AY26" i="68"/>
  <c r="AM26" i="68"/>
  <c r="AX26" i="68"/>
  <c r="AJ26" i="68"/>
  <c r="AW26" i="68"/>
  <c r="AI26" i="68"/>
  <c r="AU26" i="68"/>
  <c r="AH26" i="68"/>
  <c r="AR26" i="68"/>
  <c r="AG26" i="68"/>
  <c r="AQ26" i="68"/>
  <c r="AP26" i="68"/>
  <c r="D26" i="68"/>
  <c r="Q24" i="68"/>
  <c r="A28" i="68"/>
  <c r="Y22" i="23" s="1"/>
  <c r="A22" i="25" s="1"/>
  <c r="B27" i="68"/>
  <c r="CA25" i="68"/>
  <c r="O25" i="68" s="1"/>
  <c r="AZ26" i="65"/>
  <c r="AR26" i="65"/>
  <c r="AJ26" i="65"/>
  <c r="AY26" i="65"/>
  <c r="AQ26" i="65"/>
  <c r="AI26" i="65"/>
  <c r="AX26" i="65"/>
  <c r="AN26" i="65"/>
  <c r="AW26" i="65"/>
  <c r="AM26" i="65"/>
  <c r="D26" i="65"/>
  <c r="P20" i="23" s="1"/>
  <c r="T20" i="24" s="1"/>
  <c r="AV26" i="65"/>
  <c r="AL26" i="65"/>
  <c r="AU26" i="65"/>
  <c r="AK26" i="65"/>
  <c r="AT26" i="65"/>
  <c r="AH26" i="65"/>
  <c r="AS26" i="65"/>
  <c r="AG26" i="65"/>
  <c r="AP26" i="65"/>
  <c r="AO26" i="65"/>
  <c r="B27" i="65"/>
  <c r="N21" i="23" s="1"/>
  <c r="Q21" i="24" s="1"/>
  <c r="A28" i="65"/>
  <c r="M22" i="23" s="1"/>
  <c r="P22" i="24" s="1"/>
  <c r="BB25" i="65"/>
  <c r="BA25" i="65"/>
  <c r="N25" i="65" s="1"/>
  <c r="BB25" i="64"/>
  <c r="BA25" i="64"/>
  <c r="N25" i="64" s="1"/>
  <c r="B27" i="64"/>
  <c r="J21" i="23" s="1"/>
  <c r="L21" i="24" s="1"/>
  <c r="A28" i="64"/>
  <c r="I22" i="23" s="1"/>
  <c r="K22" i="24" s="1"/>
  <c r="AZ26" i="64"/>
  <c r="AR26" i="64"/>
  <c r="AJ26" i="64"/>
  <c r="AY26" i="64"/>
  <c r="AQ26" i="64"/>
  <c r="AI26" i="64"/>
  <c r="AX26" i="64"/>
  <c r="AP26" i="64"/>
  <c r="AH26" i="64"/>
  <c r="AW26" i="64"/>
  <c r="AO26" i="64"/>
  <c r="AG26" i="64"/>
  <c r="AV26" i="64"/>
  <c r="AN26" i="64"/>
  <c r="AK26" i="64"/>
  <c r="D26" i="64"/>
  <c r="L20" i="23" s="1"/>
  <c r="O20" i="24" s="1"/>
  <c r="AU26" i="64"/>
  <c r="AT26" i="64"/>
  <c r="AS26" i="64"/>
  <c r="AM26" i="64"/>
  <c r="AL26" i="64"/>
  <c r="AY26" i="63"/>
  <c r="AQ26" i="63"/>
  <c r="AI26" i="63"/>
  <c r="AX26" i="63"/>
  <c r="AP26" i="63"/>
  <c r="AH26" i="63"/>
  <c r="AU26" i="63"/>
  <c r="AK26" i="63"/>
  <c r="AT26" i="63"/>
  <c r="AJ26" i="63"/>
  <c r="AS26" i="63"/>
  <c r="AG26" i="63"/>
  <c r="AR26" i="63"/>
  <c r="AO26" i="63"/>
  <c r="AZ26" i="63"/>
  <c r="AN26" i="63"/>
  <c r="AW26" i="63"/>
  <c r="AM26" i="63"/>
  <c r="D26" i="63"/>
  <c r="H20" i="23" s="1"/>
  <c r="J20" i="24" s="1"/>
  <c r="AV26" i="63"/>
  <c r="AL26" i="63"/>
  <c r="A28" i="63"/>
  <c r="E22" i="23" s="1"/>
  <c r="F22" i="24" s="1"/>
  <c r="B27" i="63"/>
  <c r="F21" i="23" s="1"/>
  <c r="G21" i="24" s="1"/>
  <c r="CA25" i="63"/>
  <c r="O25" i="63" s="1"/>
  <c r="BB25" i="63"/>
  <c r="BA25" i="63"/>
  <c r="N25" i="63" s="1"/>
  <c r="Y25" i="63" s="1"/>
  <c r="FL25" i="63" l="1"/>
  <c r="FJ25" i="63"/>
  <c r="FL24" i="70"/>
  <c r="FJ24" i="70"/>
  <c r="FJ23" i="67"/>
  <c r="FL23" i="67"/>
  <c r="AB20" i="23"/>
  <c r="E20" i="25" s="1"/>
  <c r="CX26" i="68"/>
  <c r="Z21" i="23"/>
  <c r="B21" i="25" s="1"/>
  <c r="CL27" i="68"/>
  <c r="CI27" i="68"/>
  <c r="CS27" i="68"/>
  <c r="CJ27" i="68"/>
  <c r="CT27" i="68"/>
  <c r="CM27" i="68"/>
  <c r="CU27" i="68"/>
  <c r="CN27" i="68"/>
  <c r="CV27" i="68"/>
  <c r="CD27" i="68"/>
  <c r="CO27" i="68"/>
  <c r="CW27" i="68"/>
  <c r="CE27" i="68"/>
  <c r="CP27" i="68"/>
  <c r="CG27" i="68"/>
  <c r="CQ27" i="68"/>
  <c r="CH27" i="68"/>
  <c r="CR27" i="68"/>
  <c r="BM27" i="68"/>
  <c r="BV27" i="68"/>
  <c r="BO27" i="68"/>
  <c r="BW27" i="68"/>
  <c r="BP27" i="68"/>
  <c r="BX27" i="68"/>
  <c r="BG27" i="68"/>
  <c r="BQ27" i="68"/>
  <c r="BY27" i="68"/>
  <c r="BH27" i="68"/>
  <c r="BR27" i="68"/>
  <c r="BZ27" i="68"/>
  <c r="BJ27" i="68"/>
  <c r="BS27" i="68"/>
  <c r="BK27" i="68"/>
  <c r="BT27" i="68"/>
  <c r="BL27" i="68"/>
  <c r="BU27" i="68"/>
  <c r="CK27" i="68"/>
  <c r="BI27" i="68"/>
  <c r="BN27" i="68"/>
  <c r="CF27" i="68"/>
  <c r="AJ19" i="23"/>
  <c r="O19" i="25"/>
  <c r="AH20" i="23"/>
  <c r="L20" i="25" s="1"/>
  <c r="D26" i="70"/>
  <c r="AM26" i="70"/>
  <c r="AI26" i="70"/>
  <c r="AX26" i="70"/>
  <c r="AZ26" i="70"/>
  <c r="AN26" i="70"/>
  <c r="AR26" i="70"/>
  <c r="AT26" i="70"/>
  <c r="AP26" i="70"/>
  <c r="AV26" i="70"/>
  <c r="AL26" i="70"/>
  <c r="AJ26" i="70"/>
  <c r="AH26" i="70"/>
  <c r="AY26" i="70"/>
  <c r="AS26" i="70"/>
  <c r="AQ26" i="70"/>
  <c r="AO26" i="70"/>
  <c r="AK26" i="70"/>
  <c r="AW26" i="70"/>
  <c r="AU26" i="70"/>
  <c r="AG26" i="70"/>
  <c r="BB25" i="70"/>
  <c r="BA25" i="70"/>
  <c r="N25" i="70" s="1"/>
  <c r="AG21" i="23"/>
  <c r="K21" i="25" s="1"/>
  <c r="B27" i="70"/>
  <c r="A28" i="70"/>
  <c r="AV20" i="23"/>
  <c r="AD20" i="25"/>
  <c r="J20" i="25"/>
  <c r="AF20" i="23"/>
  <c r="T20" i="25"/>
  <c r="AN20" i="23"/>
  <c r="BA25" i="67"/>
  <c r="N25" i="67" s="1"/>
  <c r="BB25" i="67"/>
  <c r="U21" i="23"/>
  <c r="Z21" i="24" s="1"/>
  <c r="B27" i="67"/>
  <c r="A28" i="67"/>
  <c r="Y19" i="25"/>
  <c r="AR19" i="23"/>
  <c r="V20" i="23"/>
  <c r="AA20" i="24" s="1"/>
  <c r="AW26" i="67"/>
  <c r="AL26" i="67"/>
  <c r="AR26" i="67"/>
  <c r="AO26" i="67"/>
  <c r="AU26" i="67"/>
  <c r="AY26" i="67"/>
  <c r="AQ26" i="67"/>
  <c r="D26" i="67"/>
  <c r="X20" i="23" s="1"/>
  <c r="AD20" i="24" s="1"/>
  <c r="AI26" i="67"/>
  <c r="AX26" i="67"/>
  <c r="AG26" i="67"/>
  <c r="AM26" i="67"/>
  <c r="AK26" i="67"/>
  <c r="AP26" i="67"/>
  <c r="AH26" i="67"/>
  <c r="AJ26" i="67"/>
  <c r="AS26" i="67"/>
  <c r="AZ26" i="67"/>
  <c r="AV26" i="67"/>
  <c r="AN26" i="67"/>
  <c r="AT26" i="67"/>
  <c r="CA25" i="66"/>
  <c r="O25" i="66" s="1"/>
  <c r="BB25" i="66"/>
  <c r="BA25" i="66"/>
  <c r="N25" i="66" s="1"/>
  <c r="R20" i="23"/>
  <c r="V20" i="24" s="1"/>
  <c r="AV26" i="66"/>
  <c r="AN26" i="66"/>
  <c r="AX26" i="66"/>
  <c r="AW26" i="66"/>
  <c r="AS26" i="66"/>
  <c r="AP26" i="66"/>
  <c r="AO26" i="66"/>
  <c r="AT26" i="66"/>
  <c r="AK26" i="66"/>
  <c r="AZ26" i="66"/>
  <c r="AY26" i="66"/>
  <c r="AH26" i="66"/>
  <c r="AG26" i="66"/>
  <c r="AU26" i="66"/>
  <c r="AL26" i="66"/>
  <c r="D26" i="66"/>
  <c r="T20" i="23" s="1"/>
  <c r="Y20" i="24" s="1"/>
  <c r="AR26" i="66"/>
  <c r="AQ26" i="66"/>
  <c r="AM26" i="66"/>
  <c r="AJ26" i="66"/>
  <c r="AI26" i="66"/>
  <c r="Q21" i="23"/>
  <c r="U21" i="24" s="1"/>
  <c r="A28" i="66"/>
  <c r="B27" i="66"/>
  <c r="P26" i="73"/>
  <c r="P26" i="64"/>
  <c r="P26" i="71"/>
  <c r="Q25" i="73"/>
  <c r="Q25" i="64"/>
  <c r="CA26" i="71"/>
  <c r="O26" i="71" s="1"/>
  <c r="BB26" i="73"/>
  <c r="BA26" i="73"/>
  <c r="N26" i="73" s="1"/>
  <c r="CA26" i="73"/>
  <c r="O26" i="73" s="1"/>
  <c r="AX27" i="73"/>
  <c r="AP27" i="73"/>
  <c r="AH27" i="73"/>
  <c r="AW27" i="73"/>
  <c r="AO27" i="73"/>
  <c r="AG27" i="73"/>
  <c r="AV27" i="73"/>
  <c r="AN27" i="73"/>
  <c r="AU27" i="73"/>
  <c r="AM27" i="73"/>
  <c r="AT27" i="73"/>
  <c r="AL27" i="73"/>
  <c r="AS27" i="73"/>
  <c r="AK27" i="73"/>
  <c r="D27" i="73"/>
  <c r="AZ27" i="73"/>
  <c r="AR27" i="73"/>
  <c r="AJ27" i="73"/>
  <c r="AY27" i="73"/>
  <c r="AQ27" i="73"/>
  <c r="AI27" i="73"/>
  <c r="A29" i="73"/>
  <c r="AS23" i="23" s="1"/>
  <c r="Z23" i="25" s="1"/>
  <c r="B28" i="73"/>
  <c r="AT22" i="23" s="1"/>
  <c r="AA22" i="25" s="1"/>
  <c r="BB25" i="72"/>
  <c r="BA25" i="72"/>
  <c r="N25" i="72" s="1"/>
  <c r="AV26" i="72"/>
  <c r="AN26" i="72"/>
  <c r="AU26" i="72"/>
  <c r="AM26" i="72"/>
  <c r="AT26" i="72"/>
  <c r="AL26" i="72"/>
  <c r="AS26" i="72"/>
  <c r="AK26" i="72"/>
  <c r="D26" i="72"/>
  <c r="AY26" i="72"/>
  <c r="AQ26" i="72"/>
  <c r="AI26" i="72"/>
  <c r="AX26" i="72"/>
  <c r="AP26" i="72"/>
  <c r="AH26" i="72"/>
  <c r="AW26" i="72"/>
  <c r="AO26" i="72"/>
  <c r="AG26" i="72"/>
  <c r="AR26" i="72"/>
  <c r="AZ26" i="72"/>
  <c r="AJ26" i="72"/>
  <c r="CA25" i="72"/>
  <c r="O25" i="72" s="1"/>
  <c r="A28" i="72"/>
  <c r="AO22" i="23" s="1"/>
  <c r="U22" i="25" s="1"/>
  <c r="B27" i="72"/>
  <c r="AP21" i="23" s="1"/>
  <c r="V21" i="25" s="1"/>
  <c r="AW27" i="71"/>
  <c r="AO27" i="71"/>
  <c r="AG27" i="71"/>
  <c r="AV27" i="71"/>
  <c r="AN27" i="71"/>
  <c r="AU27" i="71"/>
  <c r="AM27" i="71"/>
  <c r="AY27" i="71"/>
  <c r="AQ27" i="71"/>
  <c r="AI27" i="71"/>
  <c r="AZ27" i="71"/>
  <c r="AJ27" i="71"/>
  <c r="AX27" i="71"/>
  <c r="AH27" i="71"/>
  <c r="AT27" i="71"/>
  <c r="D27" i="71"/>
  <c r="AS27" i="71"/>
  <c r="AR27" i="71"/>
  <c r="AP27" i="71"/>
  <c r="AL27" i="71"/>
  <c r="AK27" i="71"/>
  <c r="B28" i="71"/>
  <c r="AL22" i="23" s="1"/>
  <c r="Q22" i="25" s="1"/>
  <c r="A29" i="71"/>
  <c r="AK23" i="23" s="1"/>
  <c r="P23" i="25" s="1"/>
  <c r="BB26" i="71"/>
  <c r="BA26" i="71"/>
  <c r="N26" i="71" s="1"/>
  <c r="Y25" i="71" s="1"/>
  <c r="BB26" i="69"/>
  <c r="BA26" i="69"/>
  <c r="N26" i="69" s="1"/>
  <c r="A29" i="69"/>
  <c r="AC23" i="23" s="1"/>
  <c r="F23" i="25" s="1"/>
  <c r="B28" i="69"/>
  <c r="AD22" i="23" s="1"/>
  <c r="G22" i="25" s="1"/>
  <c r="CA26" i="69"/>
  <c r="O26" i="69" s="1"/>
  <c r="AV27" i="69"/>
  <c r="AN27" i="69"/>
  <c r="AU27" i="69"/>
  <c r="AM27" i="69"/>
  <c r="AT27" i="69"/>
  <c r="AL27" i="69"/>
  <c r="AS27" i="69"/>
  <c r="AK27" i="69"/>
  <c r="D27" i="69"/>
  <c r="AZ27" i="69"/>
  <c r="AR27" i="69"/>
  <c r="AJ27" i="69"/>
  <c r="AY27" i="69"/>
  <c r="AQ27" i="69"/>
  <c r="AI27" i="69"/>
  <c r="AX27" i="69"/>
  <c r="AP27" i="69"/>
  <c r="AH27" i="69"/>
  <c r="AW27" i="69"/>
  <c r="AO27" i="69"/>
  <c r="AG27" i="69"/>
  <c r="AY27" i="68"/>
  <c r="AQ27" i="68"/>
  <c r="AI27" i="68"/>
  <c r="AX27" i="68"/>
  <c r="AP27" i="68"/>
  <c r="AH27" i="68"/>
  <c r="AW27" i="68"/>
  <c r="AO27" i="68"/>
  <c r="AG27" i="68"/>
  <c r="AV27" i="68"/>
  <c r="AN27" i="68"/>
  <c r="AU27" i="68"/>
  <c r="AT27" i="68"/>
  <c r="D27" i="68"/>
  <c r="AS27" i="68"/>
  <c r="AR27" i="68"/>
  <c r="AM27" i="68"/>
  <c r="AL27" i="68"/>
  <c r="AK27" i="68"/>
  <c r="AZ27" i="68"/>
  <c r="AJ27" i="68"/>
  <c r="B28" i="68"/>
  <c r="A29" i="68"/>
  <c r="Y23" i="23" s="1"/>
  <c r="A23" i="25" s="1"/>
  <c r="BB26" i="68"/>
  <c r="BA26" i="68"/>
  <c r="N26" i="68" s="1"/>
  <c r="CA26" i="68"/>
  <c r="O26" i="68" s="1"/>
  <c r="A29" i="65"/>
  <c r="M23" i="23" s="1"/>
  <c r="P23" i="24" s="1"/>
  <c r="B28" i="65"/>
  <c r="N22" i="23" s="1"/>
  <c r="Q22" i="24" s="1"/>
  <c r="BB26" i="65"/>
  <c r="BA26" i="65"/>
  <c r="N26" i="65" s="1"/>
  <c r="AS27" i="65"/>
  <c r="AK27" i="65"/>
  <c r="D27" i="65"/>
  <c r="P21" i="23" s="1"/>
  <c r="T21" i="24" s="1"/>
  <c r="AZ27" i="65"/>
  <c r="AR27" i="65"/>
  <c r="AJ27" i="65"/>
  <c r="AQ27" i="65"/>
  <c r="AG27" i="65"/>
  <c r="AP27" i="65"/>
  <c r="AT27" i="65"/>
  <c r="AO27" i="65"/>
  <c r="AN27" i="65"/>
  <c r="AY27" i="65"/>
  <c r="AM27" i="65"/>
  <c r="AX27" i="65"/>
  <c r="AL27" i="65"/>
  <c r="AW27" i="65"/>
  <c r="AI27" i="65"/>
  <c r="AV27" i="65"/>
  <c r="AH27" i="65"/>
  <c r="AU27" i="65"/>
  <c r="BB26" i="64"/>
  <c r="BA26" i="64"/>
  <c r="N26" i="64" s="1"/>
  <c r="B28" i="64"/>
  <c r="J22" i="23" s="1"/>
  <c r="L22" i="24" s="1"/>
  <c r="A29" i="64"/>
  <c r="I23" i="23" s="1"/>
  <c r="K23" i="24" s="1"/>
  <c r="CA26" i="64"/>
  <c r="O26" i="64" s="1"/>
  <c r="AU27" i="64"/>
  <c r="AM27" i="64"/>
  <c r="AT27" i="64"/>
  <c r="AL27" i="64"/>
  <c r="AS27" i="64"/>
  <c r="AK27" i="64"/>
  <c r="D27" i="64"/>
  <c r="L21" i="23" s="1"/>
  <c r="O21" i="24" s="1"/>
  <c r="AZ27" i="64"/>
  <c r="AR27" i="64"/>
  <c r="AJ27" i="64"/>
  <c r="AY27" i="64"/>
  <c r="AQ27" i="64"/>
  <c r="AI27" i="64"/>
  <c r="AX27" i="64"/>
  <c r="AP27" i="64"/>
  <c r="AW27" i="64"/>
  <c r="AV27" i="64"/>
  <c r="AO27" i="64"/>
  <c r="AN27" i="64"/>
  <c r="AH27" i="64"/>
  <c r="AG27" i="64"/>
  <c r="CA26" i="63"/>
  <c r="O26" i="63" s="1"/>
  <c r="AT27" i="63"/>
  <c r="AL27" i="63"/>
  <c r="AS27" i="63"/>
  <c r="AK27" i="63"/>
  <c r="D27" i="63"/>
  <c r="H21" i="23" s="1"/>
  <c r="J21" i="24" s="1"/>
  <c r="AQ27" i="63"/>
  <c r="AG27" i="63"/>
  <c r="AZ27" i="63"/>
  <c r="AP27" i="63"/>
  <c r="AY27" i="63"/>
  <c r="AO27" i="63"/>
  <c r="AX27" i="63"/>
  <c r="AN27" i="63"/>
  <c r="AW27" i="63"/>
  <c r="AM27" i="63"/>
  <c r="AV27" i="63"/>
  <c r="AJ27" i="63"/>
  <c r="AU27" i="63"/>
  <c r="AI27" i="63"/>
  <c r="AR27" i="63"/>
  <c r="AH27" i="63"/>
  <c r="B28" i="63"/>
  <c r="F22" i="23" s="1"/>
  <c r="G22" i="24" s="1"/>
  <c r="A29" i="63"/>
  <c r="E23" i="23" s="1"/>
  <c r="F23" i="24" s="1"/>
  <c r="BB26" i="63"/>
  <c r="BA26" i="63"/>
  <c r="N26" i="63" s="1"/>
  <c r="FL25" i="71" l="1"/>
  <c r="FL40" i="71" s="1"/>
  <c r="FJ25" i="71"/>
  <c r="FJ40" i="71" s="1"/>
  <c r="AB21" i="23"/>
  <c r="E21" i="25" s="1"/>
  <c r="CX27" i="68"/>
  <c r="Z22" i="23"/>
  <c r="B22" i="25" s="1"/>
  <c r="CH28" i="68"/>
  <c r="CQ28" i="68"/>
  <c r="CI28" i="68"/>
  <c r="CR28" i="68"/>
  <c r="CJ28" i="68"/>
  <c r="CS28" i="68"/>
  <c r="CK28" i="68"/>
  <c r="CT28" i="68"/>
  <c r="CM28" i="68"/>
  <c r="CU28" i="68"/>
  <c r="CD28" i="68"/>
  <c r="CN28" i="68"/>
  <c r="CV28" i="68"/>
  <c r="CE28" i="68"/>
  <c r="CO28" i="68"/>
  <c r="CW28" i="68"/>
  <c r="CF28" i="68"/>
  <c r="CP28" i="68"/>
  <c r="BK28" i="68"/>
  <c r="BT28" i="68"/>
  <c r="BL28" i="68"/>
  <c r="BU28" i="68"/>
  <c r="BM28" i="68"/>
  <c r="BV28" i="68"/>
  <c r="BN28" i="68"/>
  <c r="BW28" i="68"/>
  <c r="BP28" i="68"/>
  <c r="BX28" i="68"/>
  <c r="BG28" i="68"/>
  <c r="BQ28" i="68"/>
  <c r="BY28" i="68"/>
  <c r="BH28" i="68"/>
  <c r="BR28" i="68"/>
  <c r="BZ28" i="68"/>
  <c r="BI28" i="68"/>
  <c r="BS28" i="68"/>
  <c r="CG28" i="68"/>
  <c r="BO28" i="68"/>
  <c r="BJ28" i="68"/>
  <c r="CL28" i="68"/>
  <c r="Y40" i="71"/>
  <c r="BA26" i="70"/>
  <c r="N26" i="70" s="1"/>
  <c r="BB26" i="70"/>
  <c r="AG22" i="23"/>
  <c r="K22" i="25" s="1"/>
  <c r="B28" i="70"/>
  <c r="A29" i="70"/>
  <c r="AJ20" i="23"/>
  <c r="O20" i="25"/>
  <c r="AH21" i="23"/>
  <c r="L21" i="25" s="1"/>
  <c r="AZ27" i="70"/>
  <c r="D27" i="70"/>
  <c r="AK27" i="70"/>
  <c r="AH27" i="70"/>
  <c r="AR27" i="70"/>
  <c r="AG27" i="70"/>
  <c r="AU27" i="70"/>
  <c r="AJ27" i="70"/>
  <c r="AY27" i="70"/>
  <c r="AM27" i="70"/>
  <c r="AO27" i="70"/>
  <c r="AW27" i="70"/>
  <c r="AL27" i="70"/>
  <c r="AS27" i="70"/>
  <c r="AP27" i="70"/>
  <c r="AX27" i="70"/>
  <c r="AQ27" i="70"/>
  <c r="AT27" i="70"/>
  <c r="AN27" i="70"/>
  <c r="AV27" i="70"/>
  <c r="AI27" i="70"/>
  <c r="BB26" i="67"/>
  <c r="BA26" i="67"/>
  <c r="N26" i="67" s="1"/>
  <c r="T21" i="25"/>
  <c r="AN21" i="23"/>
  <c r="AR20" i="23"/>
  <c r="Y20" i="25"/>
  <c r="U22" i="23"/>
  <c r="Z22" i="24" s="1"/>
  <c r="A29" i="67"/>
  <c r="B28" i="67"/>
  <c r="J21" i="25"/>
  <c r="AF21" i="23"/>
  <c r="V21" i="23"/>
  <c r="AA21" i="24" s="1"/>
  <c r="AQ27" i="67"/>
  <c r="AT27" i="67"/>
  <c r="AI27" i="67"/>
  <c r="AH27" i="67"/>
  <c r="AZ27" i="67"/>
  <c r="AL27" i="67"/>
  <c r="AY27" i="67"/>
  <c r="AS27" i="67"/>
  <c r="AR27" i="67"/>
  <c r="AV27" i="67"/>
  <c r="AP27" i="67"/>
  <c r="AK27" i="67"/>
  <c r="AJ27" i="67"/>
  <c r="AW27" i="67"/>
  <c r="AN27" i="67"/>
  <c r="AM27" i="67"/>
  <c r="D27" i="67"/>
  <c r="X21" i="23" s="1"/>
  <c r="AD21" i="24" s="1"/>
  <c r="AO27" i="67"/>
  <c r="AX27" i="67"/>
  <c r="AU27" i="67"/>
  <c r="AG27" i="67"/>
  <c r="AV21" i="23"/>
  <c r="AD21" i="25"/>
  <c r="Q22" i="23"/>
  <c r="U22" i="24" s="1"/>
  <c r="B28" i="66"/>
  <c r="A29" i="66"/>
  <c r="BB26" i="66"/>
  <c r="BA26" i="66"/>
  <c r="N26" i="66" s="1"/>
  <c r="R21" i="23"/>
  <c r="V21" i="24" s="1"/>
  <c r="AO27" i="66"/>
  <c r="AU27" i="66"/>
  <c r="AL27" i="66"/>
  <c r="D27" i="66"/>
  <c r="T21" i="23" s="1"/>
  <c r="Y21" i="24" s="1"/>
  <c r="AH27" i="66"/>
  <c r="AX27" i="66"/>
  <c r="AG27" i="66"/>
  <c r="AM27" i="66"/>
  <c r="AP27" i="66"/>
  <c r="AY27" i="66"/>
  <c r="AQ27" i="66"/>
  <c r="AV27" i="66"/>
  <c r="AZ27" i="66"/>
  <c r="AI27" i="66"/>
  <c r="AN27" i="66"/>
  <c r="AS27" i="66"/>
  <c r="AR27" i="66"/>
  <c r="AJ27" i="66"/>
  <c r="AW27" i="66"/>
  <c r="AT27" i="66"/>
  <c r="AK27" i="66"/>
  <c r="CA26" i="66"/>
  <c r="O26" i="66" s="1"/>
  <c r="P27" i="64"/>
  <c r="Q26" i="71"/>
  <c r="P27" i="73"/>
  <c r="Q26" i="73"/>
  <c r="AY28" i="73"/>
  <c r="AQ28" i="73"/>
  <c r="AI28" i="73"/>
  <c r="AX28" i="73"/>
  <c r="AO28" i="73"/>
  <c r="AW28" i="73"/>
  <c r="AN28" i="73"/>
  <c r="AV28" i="73"/>
  <c r="AM28" i="73"/>
  <c r="AU28" i="73"/>
  <c r="AL28" i="73"/>
  <c r="D28" i="73"/>
  <c r="AT28" i="73"/>
  <c r="AK28" i="73"/>
  <c r="AS28" i="73"/>
  <c r="AJ28" i="73"/>
  <c r="AR28" i="73"/>
  <c r="AH28" i="73"/>
  <c r="AZ28" i="73"/>
  <c r="AP28" i="73"/>
  <c r="AG28" i="73"/>
  <c r="B29" i="73"/>
  <c r="AT23" i="23" s="1"/>
  <c r="AA23" i="25" s="1"/>
  <c r="A30" i="73"/>
  <c r="AS24" i="23" s="1"/>
  <c r="Z24" i="25" s="1"/>
  <c r="BB27" i="73"/>
  <c r="BA27" i="73"/>
  <c r="N27" i="73" s="1"/>
  <c r="CA27" i="73"/>
  <c r="O27" i="73" s="1"/>
  <c r="AS27" i="72"/>
  <c r="AK27" i="72"/>
  <c r="D27" i="72"/>
  <c r="AU27" i="72"/>
  <c r="AL27" i="72"/>
  <c r="AT27" i="72"/>
  <c r="AJ27" i="72"/>
  <c r="AR27" i="72"/>
  <c r="AI27" i="72"/>
  <c r="AZ27" i="72"/>
  <c r="AQ27" i="72"/>
  <c r="AH27" i="72"/>
  <c r="AY27" i="72"/>
  <c r="AP27" i="72"/>
  <c r="AG27" i="72"/>
  <c r="AX27" i="72"/>
  <c r="AO27" i="72"/>
  <c r="AW27" i="72"/>
  <c r="AN27" i="72"/>
  <c r="AV27" i="72"/>
  <c r="AM27" i="72"/>
  <c r="A29" i="72"/>
  <c r="AO23" i="23" s="1"/>
  <c r="U23" i="25" s="1"/>
  <c r="B28" i="72"/>
  <c r="AP22" i="23" s="1"/>
  <c r="V22" i="25" s="1"/>
  <c r="BB26" i="72"/>
  <c r="BA26" i="72"/>
  <c r="N26" i="72" s="1"/>
  <c r="CA26" i="72"/>
  <c r="O26" i="72" s="1"/>
  <c r="BB27" i="71"/>
  <c r="BA27" i="71"/>
  <c r="N27" i="71" s="1"/>
  <c r="A30" i="71"/>
  <c r="AK24" i="23" s="1"/>
  <c r="P24" i="25" s="1"/>
  <c r="B29" i="71"/>
  <c r="AL23" i="23" s="1"/>
  <c r="Q23" i="25" s="1"/>
  <c r="AZ28" i="71"/>
  <c r="AR28" i="71"/>
  <c r="AJ28" i="71"/>
  <c r="AY28" i="71"/>
  <c r="AQ28" i="71"/>
  <c r="AI28" i="71"/>
  <c r="AX28" i="71"/>
  <c r="AP28" i="71"/>
  <c r="AH28" i="71"/>
  <c r="AV28" i="71"/>
  <c r="AN28" i="71"/>
  <c r="AT28" i="71"/>
  <c r="AL28" i="71"/>
  <c r="AW28" i="71"/>
  <c r="D28" i="71"/>
  <c r="AU28" i="71"/>
  <c r="AS28" i="71"/>
  <c r="AO28" i="71"/>
  <c r="AM28" i="71"/>
  <c r="AK28" i="71"/>
  <c r="AG28" i="71"/>
  <c r="BB27" i="69"/>
  <c r="BA27" i="69"/>
  <c r="N27" i="69" s="1"/>
  <c r="AW28" i="69"/>
  <c r="AO28" i="69"/>
  <c r="AG28" i="69"/>
  <c r="AZ28" i="69"/>
  <c r="AQ28" i="69"/>
  <c r="AH28" i="69"/>
  <c r="AY28" i="69"/>
  <c r="AP28" i="69"/>
  <c r="AX28" i="69"/>
  <c r="AN28" i="69"/>
  <c r="AV28" i="69"/>
  <c r="AM28" i="69"/>
  <c r="D28" i="69"/>
  <c r="AU28" i="69"/>
  <c r="AL28" i="69"/>
  <c r="AT28" i="69"/>
  <c r="AK28" i="69"/>
  <c r="AS28" i="69"/>
  <c r="AJ28" i="69"/>
  <c r="AR28" i="69"/>
  <c r="AI28" i="69"/>
  <c r="B29" i="69"/>
  <c r="AD23" i="23" s="1"/>
  <c r="G23" i="25" s="1"/>
  <c r="A30" i="69"/>
  <c r="AC24" i="23" s="1"/>
  <c r="F24" i="25" s="1"/>
  <c r="CA27" i="69"/>
  <c r="O27" i="69" s="1"/>
  <c r="BB27" i="68"/>
  <c r="BA27" i="68"/>
  <c r="N27" i="68" s="1"/>
  <c r="CA27" i="68"/>
  <c r="O27" i="68" s="1"/>
  <c r="A30" i="68"/>
  <c r="Y24" i="23" s="1"/>
  <c r="A24" i="25" s="1"/>
  <c r="B29" i="68"/>
  <c r="AT28" i="68"/>
  <c r="AL28" i="68"/>
  <c r="AS28" i="68"/>
  <c r="AK28" i="68"/>
  <c r="D28" i="68"/>
  <c r="AZ28" i="68"/>
  <c r="AR28" i="68"/>
  <c r="AJ28" i="68"/>
  <c r="AY28" i="68"/>
  <c r="AQ28" i="68"/>
  <c r="AI28" i="68"/>
  <c r="AO28" i="68"/>
  <c r="AN28" i="68"/>
  <c r="AM28" i="68"/>
  <c r="AX28" i="68"/>
  <c r="AH28" i="68"/>
  <c r="AW28" i="68"/>
  <c r="AG28" i="68"/>
  <c r="AV28" i="68"/>
  <c r="AU28" i="68"/>
  <c r="AP28" i="68"/>
  <c r="BB27" i="65"/>
  <c r="BA27" i="65"/>
  <c r="N27" i="65" s="1"/>
  <c r="CA27" i="65"/>
  <c r="O27" i="65" s="1"/>
  <c r="AV28" i="65"/>
  <c r="AN28" i="65"/>
  <c r="AU28" i="65"/>
  <c r="AM28" i="65"/>
  <c r="AZ28" i="65"/>
  <c r="AP28" i="65"/>
  <c r="AY28" i="65"/>
  <c r="AO28" i="65"/>
  <c r="D28" i="65"/>
  <c r="P22" i="23" s="1"/>
  <c r="T22" i="24" s="1"/>
  <c r="AX28" i="65"/>
  <c r="AJ28" i="65"/>
  <c r="AW28" i="65"/>
  <c r="AI28" i="65"/>
  <c r="AT28" i="65"/>
  <c r="AH28" i="65"/>
  <c r="AS28" i="65"/>
  <c r="AG28" i="65"/>
  <c r="AR28" i="65"/>
  <c r="AQ28" i="65"/>
  <c r="AL28" i="65"/>
  <c r="AK28" i="65"/>
  <c r="A30" i="65"/>
  <c r="M24" i="23" s="1"/>
  <c r="P24" i="24" s="1"/>
  <c r="B29" i="65"/>
  <c r="N23" i="23" s="1"/>
  <c r="Q23" i="24" s="1"/>
  <c r="CA27" i="64"/>
  <c r="O27" i="64" s="1"/>
  <c r="A30" i="64"/>
  <c r="I24" i="23" s="1"/>
  <c r="K24" i="24" s="1"/>
  <c r="B29" i="64"/>
  <c r="J23" i="23" s="1"/>
  <c r="L23" i="24" s="1"/>
  <c r="AX28" i="64"/>
  <c r="AP28" i="64"/>
  <c r="AH28" i="64"/>
  <c r="AW28" i="64"/>
  <c r="AO28" i="64"/>
  <c r="AG28" i="64"/>
  <c r="AV28" i="64"/>
  <c r="AN28" i="64"/>
  <c r="AU28" i="64"/>
  <c r="AM28" i="64"/>
  <c r="AT28" i="64"/>
  <c r="AL28" i="64"/>
  <c r="AS28" i="64"/>
  <c r="AK28" i="64"/>
  <c r="D28" i="64"/>
  <c r="L22" i="23" s="1"/>
  <c r="O22" i="24" s="1"/>
  <c r="AZ28" i="64"/>
  <c r="AR28" i="64"/>
  <c r="AJ28" i="64"/>
  <c r="AY28" i="64"/>
  <c r="AQ28" i="64"/>
  <c r="AI28" i="64"/>
  <c r="Q26" i="64"/>
  <c r="BB27" i="64"/>
  <c r="BA27" i="64"/>
  <c r="N27" i="64" s="1"/>
  <c r="B29" i="63"/>
  <c r="F23" i="23" s="1"/>
  <c r="G23" i="24" s="1"/>
  <c r="A30" i="63"/>
  <c r="E24" i="23" s="1"/>
  <c r="F24" i="24" s="1"/>
  <c r="BB27" i="63"/>
  <c r="BA27" i="63"/>
  <c r="N27" i="63" s="1"/>
  <c r="AW28" i="63"/>
  <c r="AO28" i="63"/>
  <c r="AY28" i="63"/>
  <c r="AP28" i="63"/>
  <c r="AG28" i="63"/>
  <c r="AX28" i="63"/>
  <c r="AN28" i="63"/>
  <c r="AQ28" i="63"/>
  <c r="D28" i="63"/>
  <c r="H22" i="23" s="1"/>
  <c r="J22" i="24" s="1"/>
  <c r="AM28" i="63"/>
  <c r="AZ28" i="63"/>
  <c r="AL28" i="63"/>
  <c r="AV28" i="63"/>
  <c r="AK28" i="63"/>
  <c r="AU28" i="63"/>
  <c r="AJ28" i="63"/>
  <c r="AT28" i="63"/>
  <c r="AI28" i="63"/>
  <c r="AS28" i="63"/>
  <c r="AH28" i="63"/>
  <c r="AR28" i="63"/>
  <c r="AB22" i="23" l="1"/>
  <c r="E22" i="25" s="1"/>
  <c r="CX28" i="68"/>
  <c r="Z23" i="23"/>
  <c r="B23" i="25" s="1"/>
  <c r="CL29" i="68"/>
  <c r="CE29" i="68"/>
  <c r="CP29" i="68"/>
  <c r="CF29" i="68"/>
  <c r="CQ29" i="68"/>
  <c r="CG29" i="68"/>
  <c r="CR29" i="68"/>
  <c r="CI29" i="68"/>
  <c r="CS29" i="68"/>
  <c r="CJ29" i="68"/>
  <c r="CT29" i="68"/>
  <c r="CK29" i="68"/>
  <c r="CU29" i="68"/>
  <c r="CN29" i="68"/>
  <c r="CV29" i="68"/>
  <c r="CD29" i="68"/>
  <c r="CO29" i="68"/>
  <c r="CW29" i="68"/>
  <c r="BH29" i="68"/>
  <c r="BR29" i="68"/>
  <c r="BZ29" i="68"/>
  <c r="BI29" i="68"/>
  <c r="BS29" i="68"/>
  <c r="BJ29" i="68"/>
  <c r="BT29" i="68"/>
  <c r="BL29" i="68"/>
  <c r="BU29" i="68"/>
  <c r="BM29" i="68"/>
  <c r="BV29" i="68"/>
  <c r="BN29" i="68"/>
  <c r="BW29" i="68"/>
  <c r="BO29" i="68"/>
  <c r="BX29" i="68"/>
  <c r="BG29" i="68"/>
  <c r="BQ29" i="68"/>
  <c r="BY29" i="68"/>
  <c r="BP29" i="68"/>
  <c r="BK29" i="68"/>
  <c r="CH29" i="68"/>
  <c r="CM29" i="68"/>
  <c r="BB27" i="70"/>
  <c r="BA27" i="70"/>
  <c r="N27" i="70" s="1"/>
  <c r="Y27" i="70" s="1"/>
  <c r="AG23" i="23"/>
  <c r="K23" i="25" s="1"/>
  <c r="B29" i="70"/>
  <c r="A30" i="70"/>
  <c r="O21" i="25"/>
  <c r="AJ21" i="23"/>
  <c r="AH22" i="23"/>
  <c r="L22" i="25" s="1"/>
  <c r="AP28" i="70"/>
  <c r="AW28" i="70"/>
  <c r="AI28" i="70"/>
  <c r="AH28" i="70"/>
  <c r="AL28" i="70"/>
  <c r="AQ28" i="70"/>
  <c r="AT28" i="70"/>
  <c r="AN28" i="70"/>
  <c r="D28" i="70"/>
  <c r="AJ28" i="70"/>
  <c r="AZ28" i="70"/>
  <c r="AU28" i="70"/>
  <c r="AV28" i="70"/>
  <c r="AR28" i="70"/>
  <c r="AM28" i="70"/>
  <c r="AK28" i="70"/>
  <c r="AG28" i="70"/>
  <c r="AY28" i="70"/>
  <c r="AX28" i="70"/>
  <c r="AS28" i="70"/>
  <c r="AO28" i="70"/>
  <c r="BA27" i="67"/>
  <c r="N27" i="67" s="1"/>
  <c r="Y26" i="67" s="1"/>
  <c r="BB27" i="67"/>
  <c r="AV22" i="23"/>
  <c r="AD22" i="25"/>
  <c r="J22" i="25"/>
  <c r="AF22" i="23"/>
  <c r="AN22" i="23"/>
  <c r="T22" i="25"/>
  <c r="AR21" i="23"/>
  <c r="Y21" i="25"/>
  <c r="V22" i="23"/>
  <c r="AA22" i="24" s="1"/>
  <c r="AV28" i="67"/>
  <c r="AR28" i="67"/>
  <c r="AP28" i="67"/>
  <c r="AH28" i="67"/>
  <c r="AN28" i="67"/>
  <c r="AL28" i="67"/>
  <c r="AS28" i="67"/>
  <c r="AY28" i="67"/>
  <c r="AX28" i="67"/>
  <c r="AW28" i="67"/>
  <c r="AU28" i="67"/>
  <c r="AK28" i="67"/>
  <c r="AI28" i="67"/>
  <c r="AT28" i="67"/>
  <c r="AQ28" i="67"/>
  <c r="AM28" i="67"/>
  <c r="AZ28" i="67"/>
  <c r="AO28" i="67"/>
  <c r="D28" i="67"/>
  <c r="X22" i="23" s="1"/>
  <c r="AD22" i="24" s="1"/>
  <c r="AG28" i="67"/>
  <c r="AJ28" i="67"/>
  <c r="U23" i="23"/>
  <c r="Z23" i="24" s="1"/>
  <c r="B29" i="67"/>
  <c r="A30" i="67"/>
  <c r="BB27" i="66"/>
  <c r="BA27" i="66"/>
  <c r="N27" i="66" s="1"/>
  <c r="Q23" i="23"/>
  <c r="U23" i="24" s="1"/>
  <c r="A30" i="66"/>
  <c r="B29" i="66"/>
  <c r="R22" i="23"/>
  <c r="V22" i="24" s="1"/>
  <c r="AI28" i="66"/>
  <c r="AX28" i="66"/>
  <c r="AV28" i="66"/>
  <c r="AY28" i="66"/>
  <c r="AO28" i="66"/>
  <c r="AM28" i="66"/>
  <c r="AP28" i="66"/>
  <c r="AZ28" i="66"/>
  <c r="AT28" i="66"/>
  <c r="AG28" i="66"/>
  <c r="AJ28" i="66"/>
  <c r="AS28" i="66"/>
  <c r="AU28" i="66"/>
  <c r="AQ28" i="66"/>
  <c r="AK28" i="66"/>
  <c r="AW28" i="66"/>
  <c r="AL28" i="66"/>
  <c r="AH28" i="66"/>
  <c r="AN28" i="66"/>
  <c r="D28" i="66"/>
  <c r="T22" i="23" s="1"/>
  <c r="Y22" i="24" s="1"/>
  <c r="AR28" i="66"/>
  <c r="Q27" i="64"/>
  <c r="P28" i="64"/>
  <c r="P28" i="73"/>
  <c r="Q27" i="73"/>
  <c r="CA28" i="73"/>
  <c r="O28" i="73" s="1"/>
  <c r="B30" i="73"/>
  <c r="AT24" i="23" s="1"/>
  <c r="AA24" i="25" s="1"/>
  <c r="A31" i="73"/>
  <c r="AS25" i="23" s="1"/>
  <c r="Z25" i="25" s="1"/>
  <c r="AU29" i="73"/>
  <c r="AM29" i="73"/>
  <c r="AT29" i="73"/>
  <c r="AL29" i="73"/>
  <c r="AX29" i="73"/>
  <c r="AN29" i="73"/>
  <c r="AW29" i="73"/>
  <c r="AK29" i="73"/>
  <c r="AV29" i="73"/>
  <c r="AJ29" i="73"/>
  <c r="AS29" i="73"/>
  <c r="AI29" i="73"/>
  <c r="AR29" i="73"/>
  <c r="AH29" i="73"/>
  <c r="AQ29" i="73"/>
  <c r="AG29" i="73"/>
  <c r="AZ29" i="73"/>
  <c r="AP29" i="73"/>
  <c r="AY29" i="73"/>
  <c r="AO29" i="73"/>
  <c r="D29" i="73"/>
  <c r="BB28" i="73"/>
  <c r="BA28" i="73"/>
  <c r="N28" i="73" s="1"/>
  <c r="AY28" i="72"/>
  <c r="AQ28" i="72"/>
  <c r="AI28" i="72"/>
  <c r="AW28" i="72"/>
  <c r="AV28" i="72"/>
  <c r="AN28" i="72"/>
  <c r="AT28" i="72"/>
  <c r="AJ28" i="72"/>
  <c r="AS28" i="72"/>
  <c r="AH28" i="72"/>
  <c r="AR28" i="72"/>
  <c r="AG28" i="72"/>
  <c r="AP28" i="72"/>
  <c r="AO28" i="72"/>
  <c r="AZ28" i="72"/>
  <c r="AM28" i="72"/>
  <c r="D28" i="72"/>
  <c r="AX28" i="72"/>
  <c r="AL28" i="72"/>
  <c r="AU28" i="72"/>
  <c r="AK28" i="72"/>
  <c r="B29" i="72"/>
  <c r="AP23" i="23" s="1"/>
  <c r="V23" i="25" s="1"/>
  <c r="A30" i="72"/>
  <c r="AO24" i="23" s="1"/>
  <c r="U24" i="25" s="1"/>
  <c r="BB27" i="72"/>
  <c r="BA27" i="72"/>
  <c r="N27" i="72" s="1"/>
  <c r="BB28" i="71"/>
  <c r="BA28" i="71"/>
  <c r="N28" i="71" s="1"/>
  <c r="AU29" i="71"/>
  <c r="AM29" i="71"/>
  <c r="AT29" i="71"/>
  <c r="AL29" i="71"/>
  <c r="AS29" i="71"/>
  <c r="AK29" i="71"/>
  <c r="D29" i="71"/>
  <c r="AY29" i="71"/>
  <c r="AQ29" i="71"/>
  <c r="AI29" i="71"/>
  <c r="AW29" i="71"/>
  <c r="AO29" i="71"/>
  <c r="AG29" i="71"/>
  <c r="AX29" i="71"/>
  <c r="AV29" i="71"/>
  <c r="AR29" i="71"/>
  <c r="AP29" i="71"/>
  <c r="AN29" i="71"/>
  <c r="AJ29" i="71"/>
  <c r="AZ29" i="71"/>
  <c r="AH29" i="71"/>
  <c r="CA28" i="71"/>
  <c r="O28" i="71" s="1"/>
  <c r="A31" i="71"/>
  <c r="AK25" i="23" s="1"/>
  <c r="P25" i="25" s="1"/>
  <c r="B30" i="71"/>
  <c r="AL24" i="23" s="1"/>
  <c r="Q24" i="25" s="1"/>
  <c r="A31" i="69"/>
  <c r="AC25" i="23" s="1"/>
  <c r="F25" i="25" s="1"/>
  <c r="B30" i="69"/>
  <c r="AD24" i="23" s="1"/>
  <c r="G24" i="25" s="1"/>
  <c r="AZ29" i="69"/>
  <c r="AR29" i="69"/>
  <c r="AJ29" i="69"/>
  <c r="AY29" i="69"/>
  <c r="AQ29" i="69"/>
  <c r="AI29" i="69"/>
  <c r="AV29" i="69"/>
  <c r="AL29" i="69"/>
  <c r="AU29" i="69"/>
  <c r="AK29" i="69"/>
  <c r="AT29" i="69"/>
  <c r="AH29" i="69"/>
  <c r="AS29" i="69"/>
  <c r="AG29" i="69"/>
  <c r="AP29" i="69"/>
  <c r="AO29" i="69"/>
  <c r="AX29" i="69"/>
  <c r="AN29" i="69"/>
  <c r="AW29" i="69"/>
  <c r="AM29" i="69"/>
  <c r="D29" i="69"/>
  <c r="BB28" i="69"/>
  <c r="BA28" i="69"/>
  <c r="N28" i="69" s="1"/>
  <c r="BB28" i="68"/>
  <c r="BA28" i="68"/>
  <c r="N28" i="68" s="1"/>
  <c r="AW29" i="68"/>
  <c r="AO29" i="68"/>
  <c r="AG29" i="68"/>
  <c r="AV29" i="68"/>
  <c r="AN29" i="68"/>
  <c r="AU29" i="68"/>
  <c r="AM29" i="68"/>
  <c r="AT29" i="68"/>
  <c r="AL29" i="68"/>
  <c r="AR29" i="68"/>
  <c r="AQ29" i="68"/>
  <c r="AP29" i="68"/>
  <c r="AK29" i="68"/>
  <c r="AZ29" i="68"/>
  <c r="AJ29" i="68"/>
  <c r="AY29" i="68"/>
  <c r="AI29" i="68"/>
  <c r="AX29" i="68"/>
  <c r="AH29" i="68"/>
  <c r="D29" i="68"/>
  <c r="AS29" i="68"/>
  <c r="B30" i="68"/>
  <c r="A31" i="68"/>
  <c r="Y25" i="23" s="1"/>
  <c r="A25" i="25" s="1"/>
  <c r="BB28" i="65"/>
  <c r="BA28" i="65"/>
  <c r="N28" i="65" s="1"/>
  <c r="CA28" i="65"/>
  <c r="O28" i="65" s="1"/>
  <c r="AY29" i="65"/>
  <c r="AQ29" i="65"/>
  <c r="AI29" i="65"/>
  <c r="AX29" i="65"/>
  <c r="AP29" i="65"/>
  <c r="AH29" i="65"/>
  <c r="AT29" i="65"/>
  <c r="AJ29" i="65"/>
  <c r="AS29" i="65"/>
  <c r="AG29" i="65"/>
  <c r="AR29" i="65"/>
  <c r="AO29" i="65"/>
  <c r="AN29" i="65"/>
  <c r="AM29" i="65"/>
  <c r="AL29" i="65"/>
  <c r="AK29" i="65"/>
  <c r="AZ29" i="65"/>
  <c r="AW29" i="65"/>
  <c r="D29" i="65"/>
  <c r="P23" i="23" s="1"/>
  <c r="T23" i="24" s="1"/>
  <c r="AV29" i="65"/>
  <c r="AU29" i="65"/>
  <c r="B30" i="65"/>
  <c r="N24" i="23" s="1"/>
  <c r="Q24" i="24" s="1"/>
  <c r="A31" i="65"/>
  <c r="M25" i="23" s="1"/>
  <c r="P25" i="24" s="1"/>
  <c r="BB28" i="64"/>
  <c r="BA28" i="64"/>
  <c r="N28" i="64" s="1"/>
  <c r="AX29" i="64"/>
  <c r="AP29" i="64"/>
  <c r="AH29" i="64"/>
  <c r="AR29" i="64"/>
  <c r="AI29" i="64"/>
  <c r="AZ29" i="64"/>
  <c r="AQ29" i="64"/>
  <c r="AG29" i="64"/>
  <c r="AY29" i="64"/>
  <c r="AO29" i="64"/>
  <c r="AW29" i="64"/>
  <c r="AN29" i="64"/>
  <c r="AV29" i="64"/>
  <c r="AM29" i="64"/>
  <c r="AU29" i="64"/>
  <c r="AL29" i="64"/>
  <c r="D29" i="64"/>
  <c r="L23" i="23" s="1"/>
  <c r="O23" i="24" s="1"/>
  <c r="AT29" i="64"/>
  <c r="AK29" i="64"/>
  <c r="AS29" i="64"/>
  <c r="AJ29" i="64"/>
  <c r="A31" i="64"/>
  <c r="I25" i="23" s="1"/>
  <c r="K25" i="24" s="1"/>
  <c r="B30" i="64"/>
  <c r="J24" i="23" s="1"/>
  <c r="L24" i="24" s="1"/>
  <c r="CA28" i="64"/>
  <c r="O28" i="64" s="1"/>
  <c r="A31" i="63"/>
  <c r="E25" i="23" s="1"/>
  <c r="F25" i="24" s="1"/>
  <c r="B30" i="63"/>
  <c r="F24" i="23" s="1"/>
  <c r="G24" i="24" s="1"/>
  <c r="BB28" i="63"/>
  <c r="BA28" i="63"/>
  <c r="N28" i="63" s="1"/>
  <c r="Y28" i="63" s="1"/>
  <c r="AZ29" i="63"/>
  <c r="AR29" i="63"/>
  <c r="AJ29" i="63"/>
  <c r="AS29" i="63"/>
  <c r="AI29" i="63"/>
  <c r="AQ29" i="63"/>
  <c r="AH29" i="63"/>
  <c r="AX29" i="63"/>
  <c r="AO29" i="63"/>
  <c r="AV29" i="63"/>
  <c r="AG29" i="63"/>
  <c r="AU29" i="63"/>
  <c r="AT29" i="63"/>
  <c r="AP29" i="63"/>
  <c r="D29" i="63"/>
  <c r="H23" i="23" s="1"/>
  <c r="J23" i="24" s="1"/>
  <c r="AN29" i="63"/>
  <c r="AM29" i="63"/>
  <c r="AY29" i="63"/>
  <c r="AL29" i="63"/>
  <c r="AW29" i="63"/>
  <c r="AK29" i="63"/>
  <c r="FL27" i="70" l="1"/>
  <c r="FJ27" i="70"/>
  <c r="FL28" i="63"/>
  <c r="FJ28" i="63"/>
  <c r="FJ26" i="67"/>
  <c r="FL26" i="67"/>
  <c r="AB23" i="23"/>
  <c r="E23" i="25" s="1"/>
  <c r="Z24" i="23"/>
  <c r="B24" i="25" s="1"/>
  <c r="CL30" i="68"/>
  <c r="CD30" i="68"/>
  <c r="CM30" i="68"/>
  <c r="CU30" i="68"/>
  <c r="CE30" i="68"/>
  <c r="CN30" i="68"/>
  <c r="CV30" i="68"/>
  <c r="CF30" i="68"/>
  <c r="CO30" i="68"/>
  <c r="CW30" i="68"/>
  <c r="CG30" i="68"/>
  <c r="CP30" i="68"/>
  <c r="CH30" i="68"/>
  <c r="CQ30" i="68"/>
  <c r="CI30" i="68"/>
  <c r="CR30" i="68"/>
  <c r="CJ30" i="68"/>
  <c r="CS30" i="68"/>
  <c r="CK30" i="68"/>
  <c r="CT30" i="68"/>
  <c r="BN30" i="68"/>
  <c r="BV30" i="68"/>
  <c r="BG30" i="68"/>
  <c r="BO30" i="68"/>
  <c r="BW30" i="68"/>
  <c r="BH30" i="68"/>
  <c r="BP30" i="68"/>
  <c r="BX30" i="68"/>
  <c r="BI30" i="68"/>
  <c r="BQ30" i="68"/>
  <c r="BY30" i="68"/>
  <c r="BJ30" i="68"/>
  <c r="BR30" i="68"/>
  <c r="BZ30" i="68"/>
  <c r="BK30" i="68"/>
  <c r="BS30" i="68"/>
  <c r="BL30" i="68"/>
  <c r="BT30" i="68"/>
  <c r="BM30" i="68"/>
  <c r="BU30" i="68"/>
  <c r="CX29" i="68"/>
  <c r="AJ22" i="23"/>
  <c r="O22" i="25"/>
  <c r="AG24" i="23"/>
  <c r="K24" i="25" s="1"/>
  <c r="B30" i="70"/>
  <c r="A31" i="70"/>
  <c r="AH23" i="23"/>
  <c r="L23" i="25" s="1"/>
  <c r="AS29" i="70"/>
  <c r="AP29" i="70"/>
  <c r="AT29" i="70"/>
  <c r="AK29" i="70"/>
  <c r="AH29" i="70"/>
  <c r="AI29" i="70"/>
  <c r="D29" i="70"/>
  <c r="AY29" i="70"/>
  <c r="AV29" i="70"/>
  <c r="AN29" i="70"/>
  <c r="AL29" i="70"/>
  <c r="AZ29" i="70"/>
  <c r="AR29" i="70"/>
  <c r="AO29" i="70"/>
  <c r="AG29" i="70"/>
  <c r="AW29" i="70"/>
  <c r="AU29" i="70"/>
  <c r="AX29" i="70"/>
  <c r="AQ29" i="70"/>
  <c r="AM29" i="70"/>
  <c r="AJ29" i="70"/>
  <c r="BB28" i="70"/>
  <c r="BA28" i="70"/>
  <c r="N28" i="70" s="1"/>
  <c r="J23" i="25"/>
  <c r="AF23" i="23"/>
  <c r="U24" i="23"/>
  <c r="Z24" i="24" s="1"/>
  <c r="B30" i="67"/>
  <c r="A31" i="67"/>
  <c r="AD23" i="25"/>
  <c r="AV23" i="23"/>
  <c r="V23" i="23"/>
  <c r="AA23" i="24" s="1"/>
  <c r="AX29" i="67"/>
  <c r="AG29" i="67"/>
  <c r="AZ29" i="67"/>
  <c r="AY29" i="67"/>
  <c r="AP29" i="67"/>
  <c r="D29" i="67"/>
  <c r="X23" i="23" s="1"/>
  <c r="AD23" i="24" s="1"/>
  <c r="AM29" i="67"/>
  <c r="AV29" i="67"/>
  <c r="AR29" i="67"/>
  <c r="AQ29" i="67"/>
  <c r="AH29" i="67"/>
  <c r="AJ29" i="67"/>
  <c r="AI29" i="67"/>
  <c r="AU29" i="67"/>
  <c r="AL29" i="67"/>
  <c r="AN29" i="67"/>
  <c r="AT29" i="67"/>
  <c r="AK29" i="67"/>
  <c r="AW29" i="67"/>
  <c r="AO29" i="67"/>
  <c r="AS29" i="67"/>
  <c r="BA28" i="67"/>
  <c r="N28" i="67" s="1"/>
  <c r="Y27" i="67" s="1"/>
  <c r="BB28" i="67"/>
  <c r="AN23" i="23"/>
  <c r="T23" i="25"/>
  <c r="Y22" i="25"/>
  <c r="AR22" i="23"/>
  <c r="BB28" i="66"/>
  <c r="BA28" i="66"/>
  <c r="N28" i="66" s="1"/>
  <c r="R23" i="23"/>
  <c r="V23" i="24" s="1"/>
  <c r="AY29" i="66"/>
  <c r="AW29" i="66"/>
  <c r="AR29" i="66"/>
  <c r="AO29" i="66"/>
  <c r="AU29" i="66"/>
  <c r="AH29" i="66"/>
  <c r="D29" i="66"/>
  <c r="T23" i="23" s="1"/>
  <c r="Y23" i="24" s="1"/>
  <c r="AM29" i="66"/>
  <c r="AS29" i="66"/>
  <c r="AZ29" i="66"/>
  <c r="AI29" i="66"/>
  <c r="AP29" i="66"/>
  <c r="AK29" i="66"/>
  <c r="AV29" i="66"/>
  <c r="AT29" i="66"/>
  <c r="AQ29" i="66"/>
  <c r="AX29" i="66"/>
  <c r="AN29" i="66"/>
  <c r="AJ29" i="66"/>
  <c r="AG29" i="66"/>
  <c r="AL29" i="66"/>
  <c r="Q24" i="23"/>
  <c r="U24" i="24" s="1"/>
  <c r="B30" i="66"/>
  <c r="A31" i="66"/>
  <c r="P29" i="73"/>
  <c r="Q28" i="73"/>
  <c r="CA29" i="73"/>
  <c r="O29" i="73" s="1"/>
  <c r="A32" i="73"/>
  <c r="AS26" i="23" s="1"/>
  <c r="Z26" i="25" s="1"/>
  <c r="B31" i="73"/>
  <c r="AT25" i="23" s="1"/>
  <c r="AA25" i="25" s="1"/>
  <c r="AX30" i="73"/>
  <c r="AP30" i="73"/>
  <c r="AH30" i="73"/>
  <c r="AW30" i="73"/>
  <c r="AO30" i="73"/>
  <c r="AG30" i="73"/>
  <c r="AT30" i="73"/>
  <c r="AJ30" i="73"/>
  <c r="AS30" i="73"/>
  <c r="AI30" i="73"/>
  <c r="AR30" i="73"/>
  <c r="AQ30" i="73"/>
  <c r="AZ30" i="73"/>
  <c r="AN30" i="73"/>
  <c r="D30" i="73"/>
  <c r="AY30" i="73"/>
  <c r="AM30" i="73"/>
  <c r="AV30" i="73"/>
  <c r="AL30" i="73"/>
  <c r="AU30" i="73"/>
  <c r="AK30" i="73"/>
  <c r="BB29" i="73"/>
  <c r="BA29" i="73"/>
  <c r="N29" i="73" s="1"/>
  <c r="B30" i="72"/>
  <c r="AP24" i="23" s="1"/>
  <c r="V24" i="25" s="1"/>
  <c r="A31" i="72"/>
  <c r="AO25" i="23" s="1"/>
  <c r="U25" i="25" s="1"/>
  <c r="AT29" i="72"/>
  <c r="AL29" i="72"/>
  <c r="AZ29" i="72"/>
  <c r="AR29" i="72"/>
  <c r="AJ29" i="72"/>
  <c r="AY29" i="72"/>
  <c r="AQ29" i="72"/>
  <c r="AI29" i="72"/>
  <c r="AX29" i="72"/>
  <c r="AP29" i="72"/>
  <c r="AH29" i="72"/>
  <c r="AW29" i="72"/>
  <c r="AO29" i="72"/>
  <c r="AG29" i="72"/>
  <c r="AM29" i="72"/>
  <c r="AK29" i="72"/>
  <c r="D29" i="72"/>
  <c r="AV29" i="72"/>
  <c r="AU29" i="72"/>
  <c r="AS29" i="72"/>
  <c r="AN29" i="72"/>
  <c r="BB28" i="72"/>
  <c r="BA28" i="72"/>
  <c r="N28" i="72" s="1"/>
  <c r="Y28" i="72" s="1"/>
  <c r="AX30" i="71"/>
  <c r="AP30" i="71"/>
  <c r="AH30" i="71"/>
  <c r="AW30" i="71"/>
  <c r="AO30" i="71"/>
  <c r="AG30" i="71"/>
  <c r="AV30" i="71"/>
  <c r="AN30" i="71"/>
  <c r="AT30" i="71"/>
  <c r="AL30" i="71"/>
  <c r="AZ30" i="71"/>
  <c r="AR30" i="71"/>
  <c r="AJ30" i="71"/>
  <c r="AY30" i="71"/>
  <c r="AU30" i="71"/>
  <c r="AS30" i="71"/>
  <c r="AQ30" i="71"/>
  <c r="AM30" i="71"/>
  <c r="AK30" i="71"/>
  <c r="AI30" i="71"/>
  <c r="D30" i="71"/>
  <c r="A32" i="71"/>
  <c r="AK26" i="23" s="1"/>
  <c r="P26" i="25" s="1"/>
  <c r="B31" i="71"/>
  <c r="AL25" i="23" s="1"/>
  <c r="Q25" i="25" s="1"/>
  <c r="BB29" i="71"/>
  <c r="BA29" i="71"/>
  <c r="N29" i="71" s="1"/>
  <c r="CA29" i="71"/>
  <c r="O29" i="71" s="1"/>
  <c r="AU30" i="69"/>
  <c r="AM30" i="69"/>
  <c r="AT30" i="69"/>
  <c r="AL30" i="69"/>
  <c r="AS30" i="69"/>
  <c r="AI30" i="69"/>
  <c r="AR30" i="69"/>
  <c r="AH30" i="69"/>
  <c r="AQ30" i="69"/>
  <c r="AG30" i="69"/>
  <c r="AZ30" i="69"/>
  <c r="AP30" i="69"/>
  <c r="AY30" i="69"/>
  <c r="AO30" i="69"/>
  <c r="D30" i="69"/>
  <c r="AX30" i="69"/>
  <c r="AN30" i="69"/>
  <c r="AW30" i="69"/>
  <c r="AK30" i="69"/>
  <c r="AV30" i="69"/>
  <c r="AJ30" i="69"/>
  <c r="BB29" i="69"/>
  <c r="BA29" i="69"/>
  <c r="N29" i="69" s="1"/>
  <c r="A32" i="69"/>
  <c r="AC26" i="23" s="1"/>
  <c r="F26" i="25" s="1"/>
  <c r="B31" i="69"/>
  <c r="AD25" i="23" s="1"/>
  <c r="G25" i="25" s="1"/>
  <c r="B31" i="68"/>
  <c r="A32" i="68"/>
  <c r="Y26" i="23" s="1"/>
  <c r="A26" i="25" s="1"/>
  <c r="AZ30" i="68"/>
  <c r="AR30" i="68"/>
  <c r="AJ30" i="68"/>
  <c r="AY30" i="68"/>
  <c r="AQ30" i="68"/>
  <c r="AI30" i="68"/>
  <c r="AX30" i="68"/>
  <c r="AP30" i="68"/>
  <c r="AH30" i="68"/>
  <c r="AW30" i="68"/>
  <c r="AO30" i="68"/>
  <c r="AG30" i="68"/>
  <c r="AV30" i="68"/>
  <c r="AN30" i="68"/>
  <c r="AU30" i="68"/>
  <c r="AM30" i="68"/>
  <c r="AT30" i="68"/>
  <c r="AS30" i="68"/>
  <c r="AL30" i="68"/>
  <c r="AK30" i="68"/>
  <c r="D30" i="68"/>
  <c r="BB29" i="68"/>
  <c r="BA29" i="68"/>
  <c r="N29" i="68" s="1"/>
  <c r="BB29" i="65"/>
  <c r="BA29" i="65"/>
  <c r="N29" i="65" s="1"/>
  <c r="AT30" i="65"/>
  <c r="AL30" i="65"/>
  <c r="AS30" i="65"/>
  <c r="AK30" i="65"/>
  <c r="D30" i="65"/>
  <c r="P24" i="23" s="1"/>
  <c r="T24" i="24" s="1"/>
  <c r="AZ30" i="65"/>
  <c r="AP30" i="65"/>
  <c r="AY30" i="65"/>
  <c r="AO30" i="65"/>
  <c r="AX30" i="65"/>
  <c r="AN30" i="65"/>
  <c r="AW30" i="65"/>
  <c r="AM30" i="65"/>
  <c r="AU30" i="65"/>
  <c r="AI30" i="65"/>
  <c r="AV30" i="65"/>
  <c r="AR30" i="65"/>
  <c r="AQ30" i="65"/>
  <c r="AJ30" i="65"/>
  <c r="AH30" i="65"/>
  <c r="AG30" i="65"/>
  <c r="B31" i="65"/>
  <c r="N25" i="23" s="1"/>
  <c r="Q25" i="24" s="1"/>
  <c r="A32" i="65"/>
  <c r="M26" i="23" s="1"/>
  <c r="P26" i="24" s="1"/>
  <c r="BB29" i="64"/>
  <c r="BA29" i="64"/>
  <c r="N29" i="64" s="1"/>
  <c r="A32" i="64"/>
  <c r="I26" i="23" s="1"/>
  <c r="K26" i="24" s="1"/>
  <c r="B31" i="64"/>
  <c r="J25" i="23" s="1"/>
  <c r="L25" i="24" s="1"/>
  <c r="CA29" i="64"/>
  <c r="O29" i="64" s="1"/>
  <c r="AS30" i="64"/>
  <c r="AK30" i="64"/>
  <c r="D30" i="64"/>
  <c r="L24" i="23" s="1"/>
  <c r="O24" i="24" s="1"/>
  <c r="AZ30" i="64"/>
  <c r="AR30" i="64"/>
  <c r="AJ30" i="64"/>
  <c r="AY30" i="64"/>
  <c r="AQ30" i="64"/>
  <c r="AI30" i="64"/>
  <c r="AO30" i="64"/>
  <c r="AN30" i="64"/>
  <c r="AX30" i="64"/>
  <c r="AM30" i="64"/>
  <c r="AW30" i="64"/>
  <c r="AL30" i="64"/>
  <c r="AV30" i="64"/>
  <c r="AH30" i="64"/>
  <c r="AU30" i="64"/>
  <c r="AG30" i="64"/>
  <c r="AT30" i="64"/>
  <c r="AP30" i="64"/>
  <c r="Q28" i="64"/>
  <c r="AV30" i="63"/>
  <c r="AN30" i="63"/>
  <c r="AU30" i="63"/>
  <c r="AM30" i="63"/>
  <c r="AS30" i="63"/>
  <c r="AK30" i="63"/>
  <c r="D30" i="63"/>
  <c r="H24" i="23" s="1"/>
  <c r="J24" i="24" s="1"/>
  <c r="AY30" i="63"/>
  <c r="AL30" i="63"/>
  <c r="AX30" i="63"/>
  <c r="AJ30" i="63"/>
  <c r="AW30" i="63"/>
  <c r="AI30" i="63"/>
  <c r="AT30" i="63"/>
  <c r="AH30" i="63"/>
  <c r="AO30" i="63"/>
  <c r="AG30" i="63"/>
  <c r="AZ30" i="63"/>
  <c r="AR30" i="63"/>
  <c r="AQ30" i="63"/>
  <c r="AP30" i="63"/>
  <c r="A32" i="63"/>
  <c r="E26" i="23" s="1"/>
  <c r="F26" i="24" s="1"/>
  <c r="B31" i="63"/>
  <c r="F25" i="23" s="1"/>
  <c r="G25" i="24" s="1"/>
  <c r="BB29" i="63"/>
  <c r="BA29" i="63"/>
  <c r="N29" i="63" s="1"/>
  <c r="Y29" i="63" s="1"/>
  <c r="FL27" i="67" l="1"/>
  <c r="FL40" i="67" s="1"/>
  <c r="FJ27" i="67"/>
  <c r="FJ40" i="67" s="1"/>
  <c r="Y40" i="67"/>
  <c r="FJ29" i="63"/>
  <c r="FL29" i="63"/>
  <c r="FL28" i="72"/>
  <c r="FJ28" i="72"/>
  <c r="DW40" i="68"/>
  <c r="Y29" i="68"/>
  <c r="AB24" i="23"/>
  <c r="E24" i="25" s="1"/>
  <c r="Z25" i="23"/>
  <c r="B25" i="25" s="1"/>
  <c r="CL31" i="68"/>
  <c r="CI31" i="68"/>
  <c r="CR31" i="68"/>
  <c r="CJ31" i="68"/>
  <c r="CS31" i="68"/>
  <c r="CK31" i="68"/>
  <c r="CT31" i="68"/>
  <c r="CD31" i="68"/>
  <c r="CM31" i="68"/>
  <c r="CU31" i="68"/>
  <c r="CE31" i="68"/>
  <c r="CN31" i="68"/>
  <c r="CV31" i="68"/>
  <c r="CF31" i="68"/>
  <c r="CO31" i="68"/>
  <c r="CW31" i="68"/>
  <c r="CG31" i="68"/>
  <c r="CP31" i="68"/>
  <c r="CH31" i="68"/>
  <c r="CQ31" i="68"/>
  <c r="BJ31" i="68"/>
  <c r="BR31" i="68"/>
  <c r="BZ31" i="68"/>
  <c r="BK31" i="68"/>
  <c r="BS31" i="68"/>
  <c r="BL31" i="68"/>
  <c r="BT31" i="68"/>
  <c r="BM31" i="68"/>
  <c r="BU31" i="68"/>
  <c r="BN31" i="68"/>
  <c r="BV31" i="68"/>
  <c r="BG31" i="68"/>
  <c r="BO31" i="68"/>
  <c r="BW31" i="68"/>
  <c r="BH31" i="68"/>
  <c r="BP31" i="68"/>
  <c r="BX31" i="68"/>
  <c r="BI31" i="68"/>
  <c r="BQ31" i="68"/>
  <c r="BY31" i="68"/>
  <c r="CX30" i="68"/>
  <c r="AJ23" i="23"/>
  <c r="O23" i="25"/>
  <c r="AG25" i="23"/>
  <c r="K25" i="25" s="1"/>
  <c r="B31" i="70"/>
  <c r="A32" i="70"/>
  <c r="AH24" i="23"/>
  <c r="L24" i="25" s="1"/>
  <c r="AM30" i="70"/>
  <c r="AZ30" i="70"/>
  <c r="AQ30" i="70"/>
  <c r="AS30" i="70"/>
  <c r="AR30" i="70"/>
  <c r="AI30" i="70"/>
  <c r="AV30" i="70"/>
  <c r="AK30" i="70"/>
  <c r="AJ30" i="70"/>
  <c r="AN30" i="70"/>
  <c r="D30" i="70"/>
  <c r="AT30" i="70"/>
  <c r="AW30" i="70"/>
  <c r="AL30" i="70"/>
  <c r="AX30" i="70"/>
  <c r="AO30" i="70"/>
  <c r="AP30" i="70"/>
  <c r="AG30" i="70"/>
  <c r="AU30" i="70"/>
  <c r="AY30" i="70"/>
  <c r="AH30" i="70"/>
  <c r="BA29" i="70"/>
  <c r="N29" i="70" s="1"/>
  <c r="BB29" i="70"/>
  <c r="J24" i="25"/>
  <c r="AF24" i="23"/>
  <c r="T24" i="25"/>
  <c r="AN24" i="23"/>
  <c r="AD24" i="25"/>
  <c r="AV24" i="23"/>
  <c r="BB29" i="67"/>
  <c r="BA29" i="67"/>
  <c r="N29" i="67" s="1"/>
  <c r="U25" i="23"/>
  <c r="Z25" i="24" s="1"/>
  <c r="A32" i="67"/>
  <c r="B31" i="67"/>
  <c r="V24" i="23"/>
  <c r="AA24" i="24" s="1"/>
  <c r="AS30" i="67"/>
  <c r="AT30" i="67"/>
  <c r="AK30" i="67"/>
  <c r="AZ30" i="67"/>
  <c r="AY30" i="67"/>
  <c r="AX30" i="67"/>
  <c r="AU30" i="67"/>
  <c r="AL30" i="67"/>
  <c r="D30" i="67"/>
  <c r="X24" i="23" s="1"/>
  <c r="AD24" i="24" s="1"/>
  <c r="AR30" i="67"/>
  <c r="AQ30" i="67"/>
  <c r="AM30" i="67"/>
  <c r="AJ30" i="67"/>
  <c r="AI30" i="67"/>
  <c r="AW30" i="67"/>
  <c r="AO30" i="67"/>
  <c r="AV30" i="67"/>
  <c r="AH30" i="67"/>
  <c r="AN30" i="67"/>
  <c r="AG30" i="67"/>
  <c r="AP30" i="67"/>
  <c r="CA29" i="67"/>
  <c r="O29" i="67" s="1"/>
  <c r="Y23" i="25"/>
  <c r="AR23" i="23"/>
  <c r="Q25" i="23"/>
  <c r="U25" i="24" s="1"/>
  <c r="A32" i="66"/>
  <c r="B31" i="66"/>
  <c r="R24" i="23"/>
  <c r="V24" i="24" s="1"/>
  <c r="AO30" i="66"/>
  <c r="D30" i="66"/>
  <c r="T24" i="23" s="1"/>
  <c r="Y24" i="24" s="1"/>
  <c r="AK30" i="66"/>
  <c r="AX30" i="66"/>
  <c r="AG30" i="66"/>
  <c r="AM30" i="66"/>
  <c r="AY30" i="66"/>
  <c r="AP30" i="66"/>
  <c r="AV30" i="66"/>
  <c r="AT30" i="66"/>
  <c r="AQ30" i="66"/>
  <c r="AH30" i="66"/>
  <c r="AI30" i="66"/>
  <c r="AS30" i="66"/>
  <c r="AN30" i="66"/>
  <c r="AZ30" i="66"/>
  <c r="AU30" i="66"/>
  <c r="AL30" i="66"/>
  <c r="AW30" i="66"/>
  <c r="AR30" i="66"/>
  <c r="AJ30" i="66"/>
  <c r="BB29" i="66"/>
  <c r="BA29" i="66"/>
  <c r="N29" i="66" s="1"/>
  <c r="P30" i="73"/>
  <c r="Q29" i="73"/>
  <c r="CA30" i="73"/>
  <c r="O30" i="73" s="1"/>
  <c r="AS31" i="73"/>
  <c r="AK31" i="73"/>
  <c r="D31" i="73"/>
  <c r="AZ31" i="73"/>
  <c r="AR31" i="73"/>
  <c r="AJ31" i="73"/>
  <c r="AX31" i="73"/>
  <c r="AP31" i="73"/>
  <c r="AH31" i="73"/>
  <c r="AY31" i="73"/>
  <c r="AM31" i="73"/>
  <c r="AW31" i="73"/>
  <c r="AL31" i="73"/>
  <c r="AV31" i="73"/>
  <c r="AI31" i="73"/>
  <c r="AU31" i="73"/>
  <c r="AG31" i="73"/>
  <c r="AT31" i="73"/>
  <c r="AQ31" i="73"/>
  <c r="AO31" i="73"/>
  <c r="AN31" i="73"/>
  <c r="BB30" i="73"/>
  <c r="BA30" i="73"/>
  <c r="N30" i="73" s="1"/>
  <c r="A33" i="73"/>
  <c r="AS27" i="23" s="1"/>
  <c r="Z27" i="25" s="1"/>
  <c r="B32" i="73"/>
  <c r="AT26" i="23" s="1"/>
  <c r="AA26" i="25" s="1"/>
  <c r="BB29" i="72"/>
  <c r="BA29" i="72"/>
  <c r="N29" i="72" s="1"/>
  <c r="Y29" i="72" s="1"/>
  <c r="B31" i="72"/>
  <c r="AP25" i="23" s="1"/>
  <c r="V25" i="25" s="1"/>
  <c r="A32" i="72"/>
  <c r="AO26" i="23" s="1"/>
  <c r="U26" i="25" s="1"/>
  <c r="AW30" i="72"/>
  <c r="AO30" i="72"/>
  <c r="AG30" i="72"/>
  <c r="AU30" i="72"/>
  <c r="AM30" i="72"/>
  <c r="AT30" i="72"/>
  <c r="AL30" i="72"/>
  <c r="AS30" i="72"/>
  <c r="AK30" i="72"/>
  <c r="D30" i="72"/>
  <c r="AZ30" i="72"/>
  <c r="AR30" i="72"/>
  <c r="AJ30" i="72"/>
  <c r="AN30" i="72"/>
  <c r="AI30" i="72"/>
  <c r="AH30" i="72"/>
  <c r="AY30" i="72"/>
  <c r="AX30" i="72"/>
  <c r="AV30" i="72"/>
  <c r="AQ30" i="72"/>
  <c r="AP30" i="72"/>
  <c r="BB30" i="71"/>
  <c r="BA30" i="71"/>
  <c r="N30" i="71" s="1"/>
  <c r="AS31" i="71"/>
  <c r="AK31" i="71"/>
  <c r="D31" i="71"/>
  <c r="AZ31" i="71"/>
  <c r="AR31" i="71"/>
  <c r="AJ31" i="71"/>
  <c r="AY31" i="71"/>
  <c r="AQ31" i="71"/>
  <c r="AI31" i="71"/>
  <c r="AW31" i="71"/>
  <c r="AO31" i="71"/>
  <c r="AG31" i="71"/>
  <c r="AU31" i="71"/>
  <c r="AM31" i="71"/>
  <c r="AT31" i="71"/>
  <c r="AP31" i="71"/>
  <c r="AN31" i="71"/>
  <c r="AL31" i="71"/>
  <c r="AH31" i="71"/>
  <c r="AX31" i="71"/>
  <c r="AV31" i="71"/>
  <c r="B32" i="71"/>
  <c r="AL26" i="23" s="1"/>
  <c r="Q26" i="25" s="1"/>
  <c r="A33" i="71"/>
  <c r="AK27" i="23" s="1"/>
  <c r="P27" i="25" s="1"/>
  <c r="B32" i="69"/>
  <c r="AD26" i="23" s="1"/>
  <c r="G26" i="25" s="1"/>
  <c r="A33" i="69"/>
  <c r="AC27" i="23" s="1"/>
  <c r="F27" i="25" s="1"/>
  <c r="BB30" i="69"/>
  <c r="BA30" i="69"/>
  <c r="N30" i="69" s="1"/>
  <c r="AX31" i="69"/>
  <c r="AP31" i="69"/>
  <c r="AH31" i="69"/>
  <c r="AW31" i="69"/>
  <c r="AO31" i="69"/>
  <c r="AG31" i="69"/>
  <c r="AQ31" i="69"/>
  <c r="AZ31" i="69"/>
  <c r="AN31" i="69"/>
  <c r="D31" i="69"/>
  <c r="AY31" i="69"/>
  <c r="AM31" i="69"/>
  <c r="AV31" i="69"/>
  <c r="AL31" i="69"/>
  <c r="AU31" i="69"/>
  <c r="AK31" i="69"/>
  <c r="AT31" i="69"/>
  <c r="AJ31" i="69"/>
  <c r="AS31" i="69"/>
  <c r="AI31" i="69"/>
  <c r="AR31" i="69"/>
  <c r="BB30" i="68"/>
  <c r="BA30" i="68"/>
  <c r="N30" i="68" s="1"/>
  <c r="Y30" i="68" s="1"/>
  <c r="B32" i="68"/>
  <c r="A33" i="68"/>
  <c r="Y27" i="23" s="1"/>
  <c r="A27" i="25" s="1"/>
  <c r="AU31" i="68"/>
  <c r="AM31" i="68"/>
  <c r="AZ31" i="68"/>
  <c r="AR31" i="68"/>
  <c r="AJ31" i="68"/>
  <c r="AP31" i="68"/>
  <c r="AY31" i="68"/>
  <c r="AO31" i="68"/>
  <c r="AX31" i="68"/>
  <c r="AN31" i="68"/>
  <c r="D31" i="68"/>
  <c r="AW31" i="68"/>
  <c r="AL31" i="68"/>
  <c r="AV31" i="68"/>
  <c r="AK31" i="68"/>
  <c r="AT31" i="68"/>
  <c r="AI31" i="68"/>
  <c r="AS31" i="68"/>
  <c r="AH31" i="68"/>
  <c r="AQ31" i="68"/>
  <c r="AG31" i="68"/>
  <c r="BB30" i="65"/>
  <c r="BA30" i="65"/>
  <c r="N30" i="65" s="1"/>
  <c r="A33" i="65"/>
  <c r="M27" i="23" s="1"/>
  <c r="P27" i="24" s="1"/>
  <c r="B32" i="65"/>
  <c r="N26" i="23" s="1"/>
  <c r="Q26" i="24" s="1"/>
  <c r="AU31" i="65"/>
  <c r="AM31" i="65"/>
  <c r="AZ31" i="65"/>
  <c r="AR31" i="65"/>
  <c r="AJ31" i="65"/>
  <c r="AP31" i="65"/>
  <c r="AY31" i="65"/>
  <c r="AO31" i="65"/>
  <c r="AV31" i="65"/>
  <c r="AH31" i="65"/>
  <c r="AT31" i="65"/>
  <c r="AG31" i="65"/>
  <c r="AS31" i="65"/>
  <c r="D31" i="65"/>
  <c r="P25" i="23" s="1"/>
  <c r="T25" i="24" s="1"/>
  <c r="AQ31" i="65"/>
  <c r="AL31" i="65"/>
  <c r="AX31" i="65"/>
  <c r="AK31" i="65"/>
  <c r="AW31" i="65"/>
  <c r="AI31" i="65"/>
  <c r="AN31" i="65"/>
  <c r="CA30" i="64"/>
  <c r="O30" i="64" s="1"/>
  <c r="AV31" i="64"/>
  <c r="AN31" i="64"/>
  <c r="AU31" i="64"/>
  <c r="AM31" i="64"/>
  <c r="AT31" i="64"/>
  <c r="AL31" i="64"/>
  <c r="AP31" i="64"/>
  <c r="AZ31" i="64"/>
  <c r="AO31" i="64"/>
  <c r="AY31" i="64"/>
  <c r="AK31" i="64"/>
  <c r="AX31" i="64"/>
  <c r="AJ31" i="64"/>
  <c r="AW31" i="64"/>
  <c r="AI31" i="64"/>
  <c r="AS31" i="64"/>
  <c r="AH31" i="64"/>
  <c r="AR31" i="64"/>
  <c r="AG31" i="64"/>
  <c r="AQ31" i="64"/>
  <c r="D31" i="64"/>
  <c r="L25" i="23" s="1"/>
  <c r="O25" i="24" s="1"/>
  <c r="B32" i="64"/>
  <c r="J26" i="23" s="1"/>
  <c r="L26" i="24" s="1"/>
  <c r="A33" i="64"/>
  <c r="I27" i="23" s="1"/>
  <c r="K27" i="24" s="1"/>
  <c r="BB30" i="64"/>
  <c r="BA30" i="64"/>
  <c r="N30" i="64" s="1"/>
  <c r="AY31" i="63"/>
  <c r="AQ31" i="63"/>
  <c r="AI31" i="63"/>
  <c r="AX31" i="63"/>
  <c r="AP31" i="63"/>
  <c r="AH31" i="63"/>
  <c r="AV31" i="63"/>
  <c r="AN31" i="63"/>
  <c r="AT31" i="63"/>
  <c r="AG31" i="63"/>
  <c r="AS31" i="63"/>
  <c r="AR31" i="63"/>
  <c r="AO31" i="63"/>
  <c r="D31" i="63"/>
  <c r="H25" i="23" s="1"/>
  <c r="J25" i="24" s="1"/>
  <c r="AM31" i="63"/>
  <c r="AZ31" i="63"/>
  <c r="AW31" i="63"/>
  <c r="AU31" i="63"/>
  <c r="AL31" i="63"/>
  <c r="AK31" i="63"/>
  <c r="AJ31" i="63"/>
  <c r="BB30" i="63"/>
  <c r="BA30" i="63"/>
  <c r="N30" i="63" s="1"/>
  <c r="B32" i="63"/>
  <c r="F26" i="23" s="1"/>
  <c r="G26" i="24" s="1"/>
  <c r="A33" i="63"/>
  <c r="E27" i="23" s="1"/>
  <c r="F27" i="24" s="1"/>
  <c r="FL29" i="72" l="1"/>
  <c r="FL40" i="72" s="1"/>
  <c r="FJ29" i="72"/>
  <c r="FJ40" i="72" s="1"/>
  <c r="Y39" i="72"/>
  <c r="DU40" i="68"/>
  <c r="P63" i="68" s="1"/>
  <c r="FJ29" i="68"/>
  <c r="FL29" i="68"/>
  <c r="AB25" i="23"/>
  <c r="E25" i="25" s="1"/>
  <c r="Z26" i="23"/>
  <c r="B26" i="25" s="1"/>
  <c r="CL32" i="68"/>
  <c r="CG32" i="68"/>
  <c r="CP32" i="68"/>
  <c r="CH32" i="68"/>
  <c r="CQ32" i="68"/>
  <c r="CI32" i="68"/>
  <c r="CR32" i="68"/>
  <c r="CJ32" i="68"/>
  <c r="CS32" i="68"/>
  <c r="CK32" i="68"/>
  <c r="CT32" i="68"/>
  <c r="CM32" i="68"/>
  <c r="CU32" i="68"/>
  <c r="CE32" i="68"/>
  <c r="CN32" i="68"/>
  <c r="CV32" i="68"/>
  <c r="CF32" i="68"/>
  <c r="CO32" i="68"/>
  <c r="CW32" i="68"/>
  <c r="BP32" i="68"/>
  <c r="BX32" i="68"/>
  <c r="BH32" i="68"/>
  <c r="BQ32" i="68"/>
  <c r="BY32" i="68"/>
  <c r="BI32" i="68"/>
  <c r="BR32" i="68"/>
  <c r="BZ32" i="68"/>
  <c r="BJ32" i="68"/>
  <c r="BS32" i="68"/>
  <c r="BK32" i="68"/>
  <c r="BT32" i="68"/>
  <c r="BM32" i="68"/>
  <c r="BU32" i="68"/>
  <c r="BN32" i="68"/>
  <c r="BV32" i="68"/>
  <c r="BO32" i="68"/>
  <c r="BW32" i="68"/>
  <c r="BL32" i="68"/>
  <c r="CD32" i="68"/>
  <c r="BG32" i="68"/>
  <c r="CX31" i="68"/>
  <c r="FJ30" i="68"/>
  <c r="FL30" i="68"/>
  <c r="Y38" i="68"/>
  <c r="CA30" i="70"/>
  <c r="O30" i="70" s="1"/>
  <c r="AJ24" i="23"/>
  <c r="O24" i="25"/>
  <c r="AG26" i="23"/>
  <c r="K26" i="25" s="1"/>
  <c r="A33" i="70"/>
  <c r="B32" i="70"/>
  <c r="AH25" i="23"/>
  <c r="L25" i="25" s="1"/>
  <c r="AG31" i="70"/>
  <c r="AY31" i="70"/>
  <c r="AO31" i="70"/>
  <c r="AW31" i="70"/>
  <c r="AS31" i="70"/>
  <c r="AL31" i="70"/>
  <c r="AU31" i="70"/>
  <c r="AZ31" i="70"/>
  <c r="AH31" i="70"/>
  <c r="AT31" i="70"/>
  <c r="AM31" i="70"/>
  <c r="AR31" i="70"/>
  <c r="AP31" i="70"/>
  <c r="AX31" i="70"/>
  <c r="AI31" i="70"/>
  <c r="AJ31" i="70"/>
  <c r="AN31" i="70"/>
  <c r="D31" i="70"/>
  <c r="AV31" i="70"/>
  <c r="AQ31" i="70"/>
  <c r="AK31" i="70"/>
  <c r="BB30" i="70"/>
  <c r="BA30" i="70"/>
  <c r="N30" i="70" s="1"/>
  <c r="AF25" i="23"/>
  <c r="J25" i="25"/>
  <c r="T25" i="25"/>
  <c r="AN25" i="23"/>
  <c r="AD25" i="25"/>
  <c r="AV25" i="23"/>
  <c r="V25" i="23"/>
  <c r="AA25" i="24" s="1"/>
  <c r="AW31" i="67"/>
  <c r="AJ31" i="67"/>
  <c r="AO31" i="67"/>
  <c r="AT31" i="67"/>
  <c r="AG31" i="67"/>
  <c r="AL31" i="67"/>
  <c r="AX31" i="67"/>
  <c r="AU31" i="67"/>
  <c r="AS31" i="67"/>
  <c r="AP31" i="67"/>
  <c r="AM31" i="67"/>
  <c r="AK31" i="67"/>
  <c r="AY31" i="67"/>
  <c r="AH31" i="67"/>
  <c r="D31" i="67"/>
  <c r="X25" i="23" s="1"/>
  <c r="AD25" i="24" s="1"/>
  <c r="AQ31" i="67"/>
  <c r="AV31" i="67"/>
  <c r="AZ31" i="67"/>
  <c r="AI31" i="67"/>
  <c r="AN31" i="67"/>
  <c r="AR31" i="67"/>
  <c r="CA30" i="67"/>
  <c r="O30" i="67" s="1"/>
  <c r="U26" i="23"/>
  <c r="Z26" i="24" s="1"/>
  <c r="B32" i="67"/>
  <c r="A33" i="67"/>
  <c r="Y24" i="25"/>
  <c r="AR24" i="23"/>
  <c r="BB30" i="67"/>
  <c r="BA30" i="67"/>
  <c r="N30" i="67" s="1"/>
  <c r="CA30" i="66"/>
  <c r="O30" i="66" s="1"/>
  <c r="R25" i="23"/>
  <c r="V25" i="24" s="1"/>
  <c r="AK31" i="66"/>
  <c r="AR31" i="66"/>
  <c r="AM31" i="66"/>
  <c r="AH31" i="66"/>
  <c r="AI31" i="66"/>
  <c r="D31" i="66"/>
  <c r="T25" i="23" s="1"/>
  <c r="Y25" i="24" s="1"/>
  <c r="AJ31" i="66"/>
  <c r="AQ31" i="66"/>
  <c r="AT31" i="66"/>
  <c r="AL31" i="66"/>
  <c r="AY31" i="66"/>
  <c r="AW31" i="66"/>
  <c r="AU31" i="66"/>
  <c r="AN31" i="66"/>
  <c r="AP31" i="66"/>
  <c r="AG31" i="66"/>
  <c r="AV31" i="66"/>
  <c r="AS31" i="66"/>
  <c r="AZ31" i="66"/>
  <c r="AX31" i="66"/>
  <c r="AO31" i="66"/>
  <c r="Q26" i="23"/>
  <c r="U26" i="24" s="1"/>
  <c r="B32" i="66"/>
  <c r="A33" i="66"/>
  <c r="BA30" i="66"/>
  <c r="N30" i="66" s="1"/>
  <c r="Y29" i="66" s="1"/>
  <c r="BB30" i="66"/>
  <c r="P31" i="73"/>
  <c r="Q30" i="73"/>
  <c r="AU32" i="73"/>
  <c r="AM32" i="73"/>
  <c r="AT32" i="73"/>
  <c r="AL32" i="73"/>
  <c r="AZ32" i="73"/>
  <c r="AR32" i="73"/>
  <c r="AJ32" i="73"/>
  <c r="AY32" i="73"/>
  <c r="AN32" i="73"/>
  <c r="AX32" i="73"/>
  <c r="AK32" i="73"/>
  <c r="AV32" i="73"/>
  <c r="AH32" i="73"/>
  <c r="AQ32" i="73"/>
  <c r="AO32" i="73"/>
  <c r="D32" i="73"/>
  <c r="AW32" i="73"/>
  <c r="AS32" i="73"/>
  <c r="AP32" i="73"/>
  <c r="AI32" i="73"/>
  <c r="AG32" i="73"/>
  <c r="CA31" i="73"/>
  <c r="O31" i="73" s="1"/>
  <c r="A34" i="73"/>
  <c r="AS28" i="23" s="1"/>
  <c r="Z28" i="25" s="1"/>
  <c r="B33" i="73"/>
  <c r="AT27" i="23" s="1"/>
  <c r="AA27" i="25" s="1"/>
  <c r="BB31" i="73"/>
  <c r="BA31" i="73"/>
  <c r="N31" i="73" s="1"/>
  <c r="A33" i="72"/>
  <c r="AO27" i="23" s="1"/>
  <c r="U27" i="25" s="1"/>
  <c r="B32" i="72"/>
  <c r="AP26" i="23" s="1"/>
  <c r="V26" i="25" s="1"/>
  <c r="AU31" i="72"/>
  <c r="AM31" i="72"/>
  <c r="AT31" i="72"/>
  <c r="AL31" i="72"/>
  <c r="AZ31" i="72"/>
  <c r="AR31" i="72"/>
  <c r="AJ31" i="72"/>
  <c r="AO31" i="72"/>
  <c r="D31" i="72"/>
  <c r="AX31" i="72"/>
  <c r="AK31" i="72"/>
  <c r="AW31" i="72"/>
  <c r="AI31" i="72"/>
  <c r="AV31" i="72"/>
  <c r="AH31" i="72"/>
  <c r="AS31" i="72"/>
  <c r="AG31" i="72"/>
  <c r="AY31" i="72"/>
  <c r="AQ31" i="72"/>
  <c r="AP31" i="72"/>
  <c r="AN31" i="72"/>
  <c r="BB30" i="72"/>
  <c r="BA30" i="72"/>
  <c r="N30" i="72" s="1"/>
  <c r="A34" i="71"/>
  <c r="AK28" i="23" s="1"/>
  <c r="P28" i="25" s="1"/>
  <c r="B33" i="71"/>
  <c r="AL27" i="23" s="1"/>
  <c r="Q27" i="25" s="1"/>
  <c r="AU32" i="71"/>
  <c r="AM32" i="71"/>
  <c r="AT32" i="71"/>
  <c r="AL32" i="71"/>
  <c r="AZ32" i="71"/>
  <c r="AR32" i="71"/>
  <c r="AJ32" i="71"/>
  <c r="AY32" i="71"/>
  <c r="AN32" i="71"/>
  <c r="AX32" i="71"/>
  <c r="AK32" i="71"/>
  <c r="AW32" i="71"/>
  <c r="AI32" i="71"/>
  <c r="AS32" i="71"/>
  <c r="AG32" i="71"/>
  <c r="AP32" i="71"/>
  <c r="AV32" i="71"/>
  <c r="AQ32" i="71"/>
  <c r="AO32" i="71"/>
  <c r="AH32" i="71"/>
  <c r="D32" i="71"/>
  <c r="BB31" i="71"/>
  <c r="BA31" i="71"/>
  <c r="N31" i="71" s="1"/>
  <c r="BB31" i="69"/>
  <c r="BA31" i="69"/>
  <c r="N31" i="69" s="1"/>
  <c r="A34" i="69"/>
  <c r="AC28" i="23" s="1"/>
  <c r="F28" i="25" s="1"/>
  <c r="B33" i="69"/>
  <c r="AD27" i="23" s="1"/>
  <c r="G27" i="25" s="1"/>
  <c r="AU32" i="69"/>
  <c r="AM32" i="69"/>
  <c r="AZ32" i="69"/>
  <c r="AR32" i="69"/>
  <c r="AJ32" i="69"/>
  <c r="AV32" i="69"/>
  <c r="AK32" i="69"/>
  <c r="AT32" i="69"/>
  <c r="AI32" i="69"/>
  <c r="AQ32" i="69"/>
  <c r="AP32" i="69"/>
  <c r="D32" i="69"/>
  <c r="AO32" i="69"/>
  <c r="AN32" i="69"/>
  <c r="AY32" i="69"/>
  <c r="AL32" i="69"/>
  <c r="AX32" i="69"/>
  <c r="AH32" i="69"/>
  <c r="AW32" i="69"/>
  <c r="AG32" i="69"/>
  <c r="AS32" i="69"/>
  <c r="BB31" i="68"/>
  <c r="BA31" i="68"/>
  <c r="N31" i="68" s="1"/>
  <c r="B33" i="68"/>
  <c r="A34" i="68"/>
  <c r="Y28" i="23" s="1"/>
  <c r="A28" i="25" s="1"/>
  <c r="AX32" i="68"/>
  <c r="AP32" i="68"/>
  <c r="AH32" i="68"/>
  <c r="AW32" i="68"/>
  <c r="AO32" i="68"/>
  <c r="AG32" i="68"/>
  <c r="AU32" i="68"/>
  <c r="AM32" i="68"/>
  <c r="AQ32" i="68"/>
  <c r="AN32" i="68"/>
  <c r="AZ32" i="68"/>
  <c r="AL32" i="68"/>
  <c r="AY32" i="68"/>
  <c r="AK32" i="68"/>
  <c r="AV32" i="68"/>
  <c r="AJ32" i="68"/>
  <c r="AT32" i="68"/>
  <c r="AI32" i="68"/>
  <c r="AS32" i="68"/>
  <c r="AR32" i="68"/>
  <c r="D32" i="68"/>
  <c r="AX32" i="65"/>
  <c r="AP32" i="65"/>
  <c r="AH32" i="65"/>
  <c r="AW32" i="65"/>
  <c r="AO32" i="65"/>
  <c r="AG32" i="65"/>
  <c r="AU32" i="65"/>
  <c r="AM32" i="65"/>
  <c r="AY32" i="65"/>
  <c r="AK32" i="65"/>
  <c r="AV32" i="65"/>
  <c r="AJ32" i="65"/>
  <c r="AI32" i="65"/>
  <c r="AZ32" i="65"/>
  <c r="AT32" i="65"/>
  <c r="D32" i="65"/>
  <c r="P26" i="23" s="1"/>
  <c r="T26" i="24" s="1"/>
  <c r="AS32" i="65"/>
  <c r="AR32" i="65"/>
  <c r="AQ32" i="65"/>
  <c r="AN32" i="65"/>
  <c r="AL32" i="65"/>
  <c r="BB31" i="65"/>
  <c r="BA31" i="65"/>
  <c r="N31" i="65" s="1"/>
  <c r="B33" i="65"/>
  <c r="N27" i="23" s="1"/>
  <c r="Q27" i="24" s="1"/>
  <c r="A34" i="65"/>
  <c r="M28" i="23" s="1"/>
  <c r="P28" i="24" s="1"/>
  <c r="CA31" i="64"/>
  <c r="O31" i="64" s="1"/>
  <c r="BB31" i="64"/>
  <c r="BA31" i="64"/>
  <c r="N31" i="64" s="1"/>
  <c r="AU32" i="64"/>
  <c r="AM32" i="64"/>
  <c r="AV32" i="64"/>
  <c r="AL32" i="64"/>
  <c r="D32" i="64"/>
  <c r="L26" i="23" s="1"/>
  <c r="O26" i="24" s="1"/>
  <c r="AT32" i="64"/>
  <c r="AK32" i="64"/>
  <c r="AS32" i="64"/>
  <c r="AJ32" i="64"/>
  <c r="AZ32" i="64"/>
  <c r="AQ32" i="64"/>
  <c r="AH32" i="64"/>
  <c r="AP32" i="64"/>
  <c r="AO32" i="64"/>
  <c r="AN32" i="64"/>
  <c r="AI32" i="64"/>
  <c r="AY32" i="64"/>
  <c r="AG32" i="64"/>
  <c r="AX32" i="64"/>
  <c r="AW32" i="64"/>
  <c r="AR32" i="64"/>
  <c r="A34" i="64"/>
  <c r="I28" i="23" s="1"/>
  <c r="K28" i="24" s="1"/>
  <c r="B33" i="64"/>
  <c r="J27" i="23" s="1"/>
  <c r="L27" i="24" s="1"/>
  <c r="A34" i="63"/>
  <c r="E28" i="23" s="1"/>
  <c r="F28" i="24" s="1"/>
  <c r="B33" i="63"/>
  <c r="F27" i="23" s="1"/>
  <c r="G27" i="24" s="1"/>
  <c r="AU32" i="63"/>
  <c r="AM32" i="63"/>
  <c r="AZ32" i="63"/>
  <c r="AR32" i="63"/>
  <c r="AJ32" i="63"/>
  <c r="AV32" i="63"/>
  <c r="AK32" i="63"/>
  <c r="AT32" i="63"/>
  <c r="AI32" i="63"/>
  <c r="AQ32" i="63"/>
  <c r="AG32" i="63"/>
  <c r="AY32" i="63"/>
  <c r="AH32" i="63"/>
  <c r="AX32" i="63"/>
  <c r="AW32" i="63"/>
  <c r="D32" i="63"/>
  <c r="H26" i="23" s="1"/>
  <c r="J26" i="24" s="1"/>
  <c r="AS32" i="63"/>
  <c r="AP32" i="63"/>
  <c r="AO32" i="63"/>
  <c r="AN32" i="63"/>
  <c r="AL32" i="63"/>
  <c r="BB31" i="63"/>
  <c r="BA31" i="63"/>
  <c r="N31" i="63" s="1"/>
  <c r="FL29" i="66" l="1"/>
  <c r="FL40" i="66" s="1"/>
  <c r="FJ29" i="66"/>
  <c r="FJ40" i="66" s="1"/>
  <c r="FJ40" i="68"/>
  <c r="FL40" i="68"/>
  <c r="AB26" i="23"/>
  <c r="E26" i="25" s="1"/>
  <c r="CX32" i="68"/>
  <c r="Z27" i="23"/>
  <c r="B27" i="25" s="1"/>
  <c r="CL33" i="68"/>
  <c r="CD33" i="68"/>
  <c r="CO33" i="68"/>
  <c r="CW33" i="68"/>
  <c r="CF33" i="68"/>
  <c r="CP33" i="68"/>
  <c r="CG33" i="68"/>
  <c r="CQ33" i="68"/>
  <c r="CH33" i="68"/>
  <c r="CR33" i="68"/>
  <c r="CI33" i="68"/>
  <c r="CS33" i="68"/>
  <c r="CK33" i="68"/>
  <c r="CT33" i="68"/>
  <c r="CM33" i="68"/>
  <c r="CU33" i="68"/>
  <c r="CN33" i="68"/>
  <c r="CV33" i="68"/>
  <c r="BN33" i="68"/>
  <c r="BV33" i="68"/>
  <c r="BO33" i="68"/>
  <c r="BW33" i="68"/>
  <c r="BP33" i="68"/>
  <c r="BX33" i="68"/>
  <c r="BG33" i="68"/>
  <c r="BQ33" i="68"/>
  <c r="BY33" i="68"/>
  <c r="BI33" i="68"/>
  <c r="BR33" i="68"/>
  <c r="BZ33" i="68"/>
  <c r="BJ33" i="68"/>
  <c r="BS33" i="68"/>
  <c r="BK33" i="68"/>
  <c r="BT33" i="68"/>
  <c r="BL33" i="68"/>
  <c r="BU33" i="68"/>
  <c r="CE33" i="68"/>
  <c r="BM33" i="68"/>
  <c r="CJ33" i="68"/>
  <c r="BH33" i="68"/>
  <c r="Y40" i="66"/>
  <c r="AH26" i="23"/>
  <c r="L26" i="25" s="1"/>
  <c r="AW32" i="70"/>
  <c r="AK32" i="70"/>
  <c r="AO32" i="70"/>
  <c r="AS32" i="70"/>
  <c r="AG32" i="70"/>
  <c r="AV32" i="70"/>
  <c r="AX32" i="70"/>
  <c r="AQ32" i="70"/>
  <c r="AZ32" i="70"/>
  <c r="AJ32" i="70"/>
  <c r="AP32" i="70"/>
  <c r="AL32" i="70"/>
  <c r="AH32" i="70"/>
  <c r="AU32" i="70"/>
  <c r="AR32" i="70"/>
  <c r="AT32" i="70"/>
  <c r="AM32" i="70"/>
  <c r="D32" i="70"/>
  <c r="AI32" i="70"/>
  <c r="AN32" i="70"/>
  <c r="AY32" i="70"/>
  <c r="AG27" i="23"/>
  <c r="K27" i="25" s="1"/>
  <c r="B33" i="70"/>
  <c r="A34" i="70"/>
  <c r="CA31" i="70"/>
  <c r="O31" i="70" s="1"/>
  <c r="BB31" i="70"/>
  <c r="BA31" i="70"/>
  <c r="N31" i="70" s="1"/>
  <c r="O25" i="25"/>
  <c r="AJ25" i="23"/>
  <c r="AD26" i="25"/>
  <c r="AV26" i="23"/>
  <c r="Y25" i="25"/>
  <c r="AR25" i="23"/>
  <c r="T26" i="25"/>
  <c r="AN26" i="23"/>
  <c r="U27" i="23"/>
  <c r="Z27" i="24" s="1"/>
  <c r="A34" i="67"/>
  <c r="B33" i="67"/>
  <c r="V26" i="23"/>
  <c r="AA26" i="24" s="1"/>
  <c r="AQ32" i="67"/>
  <c r="AX32" i="67"/>
  <c r="D32" i="67"/>
  <c r="X26" i="23" s="1"/>
  <c r="AD26" i="24" s="1"/>
  <c r="AU32" i="67"/>
  <c r="AW32" i="67"/>
  <c r="AG32" i="67"/>
  <c r="AN32" i="67"/>
  <c r="AM32" i="67"/>
  <c r="AL32" i="67"/>
  <c r="AT32" i="67"/>
  <c r="AZ32" i="67"/>
  <c r="AI32" i="67"/>
  <c r="AR32" i="67"/>
  <c r="AP32" i="67"/>
  <c r="AY32" i="67"/>
  <c r="AO32" i="67"/>
  <c r="AJ32" i="67"/>
  <c r="AV32" i="67"/>
  <c r="AS32" i="67"/>
  <c r="AK32" i="67"/>
  <c r="AH32" i="67"/>
  <c r="J26" i="25"/>
  <c r="AF26" i="23"/>
  <c r="BB31" i="67"/>
  <c r="BA31" i="67"/>
  <c r="N31" i="67" s="1"/>
  <c r="BB31" i="66"/>
  <c r="BA31" i="66"/>
  <c r="N31" i="66" s="1"/>
  <c r="CA31" i="66"/>
  <c r="O31" i="66" s="1"/>
  <c r="Q27" i="23"/>
  <c r="U27" i="24" s="1"/>
  <c r="B33" i="66"/>
  <c r="A34" i="66"/>
  <c r="R26" i="23"/>
  <c r="V26" i="24" s="1"/>
  <c r="AQ32" i="66"/>
  <c r="AY32" i="66"/>
  <c r="AO32" i="66"/>
  <c r="AW32" i="66"/>
  <c r="AV32" i="66"/>
  <c r="AS32" i="66"/>
  <c r="AL32" i="66"/>
  <c r="AP32" i="66"/>
  <c r="AU32" i="66"/>
  <c r="AZ32" i="66"/>
  <c r="AH32" i="66"/>
  <c r="AM32" i="66"/>
  <c r="AR32" i="66"/>
  <c r="AX32" i="66"/>
  <c r="AG32" i="66"/>
  <c r="AT32" i="66"/>
  <c r="AK32" i="66"/>
  <c r="AJ32" i="66"/>
  <c r="AN32" i="66"/>
  <c r="D32" i="66"/>
  <c r="T26" i="23" s="1"/>
  <c r="Y26" i="24" s="1"/>
  <c r="AI32" i="66"/>
  <c r="P32" i="73"/>
  <c r="Q31" i="73"/>
  <c r="AX33" i="73"/>
  <c r="AP33" i="73"/>
  <c r="AH33" i="73"/>
  <c r="AW33" i="73"/>
  <c r="AO33" i="73"/>
  <c r="AG33" i="73"/>
  <c r="AU33" i="73"/>
  <c r="AM33" i="73"/>
  <c r="AY33" i="73"/>
  <c r="AK33" i="73"/>
  <c r="AV33" i="73"/>
  <c r="AJ33" i="73"/>
  <c r="AT33" i="73"/>
  <c r="AI33" i="73"/>
  <c r="AS33" i="73"/>
  <c r="AQ33" i="73"/>
  <c r="AN33" i="73"/>
  <c r="AZ33" i="73"/>
  <c r="AL33" i="73"/>
  <c r="AR33" i="73"/>
  <c r="D33" i="73"/>
  <c r="B34" i="73"/>
  <c r="AT28" i="23" s="1"/>
  <c r="AA28" i="25" s="1"/>
  <c r="A35" i="73"/>
  <c r="AS29" i="23" s="1"/>
  <c r="Z29" i="25" s="1"/>
  <c r="BB32" i="73"/>
  <c r="BA32" i="73"/>
  <c r="N32" i="73" s="1"/>
  <c r="CA32" i="73"/>
  <c r="O32" i="73" s="1"/>
  <c r="AX32" i="72"/>
  <c r="AP32" i="72"/>
  <c r="AH32" i="72"/>
  <c r="AW32" i="72"/>
  <c r="AO32" i="72"/>
  <c r="AG32" i="72"/>
  <c r="AU32" i="72"/>
  <c r="AM32" i="72"/>
  <c r="AZ32" i="72"/>
  <c r="AL32" i="72"/>
  <c r="AV32" i="72"/>
  <c r="AJ32" i="72"/>
  <c r="AT32" i="72"/>
  <c r="AI32" i="72"/>
  <c r="AS32" i="72"/>
  <c r="AR32" i="72"/>
  <c r="D32" i="72"/>
  <c r="AK32" i="72"/>
  <c r="AY32" i="72"/>
  <c r="AQ32" i="72"/>
  <c r="AN32" i="72"/>
  <c r="BB31" i="72"/>
  <c r="BA31" i="72"/>
  <c r="N31" i="72" s="1"/>
  <c r="B33" i="72"/>
  <c r="AP27" i="23" s="1"/>
  <c r="V27" i="25" s="1"/>
  <c r="A34" i="72"/>
  <c r="AO28" i="23" s="1"/>
  <c r="U28" i="25" s="1"/>
  <c r="BB32" i="71"/>
  <c r="BA32" i="71"/>
  <c r="N32" i="71" s="1"/>
  <c r="AX33" i="71"/>
  <c r="AP33" i="71"/>
  <c r="AH33" i="71"/>
  <c r="AW33" i="71"/>
  <c r="AO33" i="71"/>
  <c r="AG33" i="71"/>
  <c r="AU33" i="71"/>
  <c r="AM33" i="71"/>
  <c r="AY33" i="71"/>
  <c r="AK33" i="71"/>
  <c r="AV33" i="71"/>
  <c r="AJ33" i="71"/>
  <c r="AT33" i="71"/>
  <c r="AI33" i="71"/>
  <c r="AR33" i="71"/>
  <c r="D33" i="71"/>
  <c r="AQ33" i="71"/>
  <c r="AN33" i="71"/>
  <c r="AZ33" i="71"/>
  <c r="AS33" i="71"/>
  <c r="AL33" i="71"/>
  <c r="B34" i="71"/>
  <c r="AL28" i="23" s="1"/>
  <c r="Q28" i="25" s="1"/>
  <c r="A35" i="71"/>
  <c r="AK29" i="23" s="1"/>
  <c r="P29" i="25" s="1"/>
  <c r="AX33" i="69"/>
  <c r="AP33" i="69"/>
  <c r="AH33" i="69"/>
  <c r="AW33" i="69"/>
  <c r="AO33" i="69"/>
  <c r="AG33" i="69"/>
  <c r="AU33" i="69"/>
  <c r="AM33" i="69"/>
  <c r="AZ33" i="69"/>
  <c r="AL33" i="69"/>
  <c r="AV33" i="69"/>
  <c r="AJ33" i="69"/>
  <c r="AT33" i="69"/>
  <c r="AI33" i="69"/>
  <c r="AN33" i="69"/>
  <c r="AK33" i="69"/>
  <c r="D33" i="69"/>
  <c r="AY33" i="69"/>
  <c r="AS33" i="69"/>
  <c r="AR33" i="69"/>
  <c r="AQ33" i="69"/>
  <c r="BB32" i="69"/>
  <c r="BA32" i="69"/>
  <c r="N32" i="69" s="1"/>
  <c r="B34" i="69"/>
  <c r="AD28" i="23" s="1"/>
  <c r="G28" i="25" s="1"/>
  <c r="A35" i="69"/>
  <c r="AC29" i="23" s="1"/>
  <c r="F29" i="25" s="1"/>
  <c r="A35" i="68"/>
  <c r="Y29" i="23" s="1"/>
  <c r="A29" i="25" s="1"/>
  <c r="B34" i="68"/>
  <c r="BB32" i="68"/>
  <c r="BA32" i="68"/>
  <c r="N32" i="68" s="1"/>
  <c r="AS33" i="68"/>
  <c r="AK33" i="68"/>
  <c r="D33" i="68"/>
  <c r="AZ33" i="68"/>
  <c r="AR33" i="68"/>
  <c r="AJ33" i="68"/>
  <c r="AX33" i="68"/>
  <c r="AP33" i="68"/>
  <c r="AH33" i="68"/>
  <c r="AV33" i="68"/>
  <c r="AI33" i="68"/>
  <c r="AU33" i="68"/>
  <c r="AG33" i="68"/>
  <c r="AT33" i="68"/>
  <c r="AQ33" i="68"/>
  <c r="AO33" i="68"/>
  <c r="AN33" i="68"/>
  <c r="AY33" i="68"/>
  <c r="AM33" i="68"/>
  <c r="AW33" i="68"/>
  <c r="AL33" i="68"/>
  <c r="BB32" i="65"/>
  <c r="BA32" i="65"/>
  <c r="N32" i="65" s="1"/>
  <c r="A35" i="65"/>
  <c r="M29" i="23" s="1"/>
  <c r="P29" i="24" s="1"/>
  <c r="B34" i="65"/>
  <c r="N28" i="23" s="1"/>
  <c r="Q28" i="24" s="1"/>
  <c r="AS33" i="65"/>
  <c r="AK33" i="65"/>
  <c r="D33" i="65"/>
  <c r="P27" i="23" s="1"/>
  <c r="T27" i="24" s="1"/>
  <c r="AZ33" i="65"/>
  <c r="AR33" i="65"/>
  <c r="AJ33" i="65"/>
  <c r="AX33" i="65"/>
  <c r="AP33" i="65"/>
  <c r="AH33" i="65"/>
  <c r="AQ33" i="65"/>
  <c r="AO33" i="65"/>
  <c r="AW33" i="65"/>
  <c r="AG33" i="65"/>
  <c r="AV33" i="65"/>
  <c r="AU33" i="65"/>
  <c r="AT33" i="65"/>
  <c r="AN33" i="65"/>
  <c r="AM33" i="65"/>
  <c r="AL33" i="65"/>
  <c r="AY33" i="65"/>
  <c r="AI33" i="65"/>
  <c r="A35" i="64"/>
  <c r="I29" i="23" s="1"/>
  <c r="K29" i="24" s="1"/>
  <c r="B34" i="64"/>
  <c r="J28" i="23" s="1"/>
  <c r="L28" i="24" s="1"/>
  <c r="AX33" i="64"/>
  <c r="AP33" i="64"/>
  <c r="AH33" i="64"/>
  <c r="AZ33" i="64"/>
  <c r="AQ33" i="64"/>
  <c r="AG33" i="64"/>
  <c r="AY33" i="64"/>
  <c r="AO33" i="64"/>
  <c r="AW33" i="64"/>
  <c r="AN33" i="64"/>
  <c r="AU33" i="64"/>
  <c r="AL33" i="64"/>
  <c r="D33" i="64"/>
  <c r="L27" i="23" s="1"/>
  <c r="O27" i="24" s="1"/>
  <c r="AI33" i="64"/>
  <c r="AV33" i="64"/>
  <c r="AT33" i="64"/>
  <c r="AS33" i="64"/>
  <c r="AR33" i="64"/>
  <c r="AM33" i="64"/>
  <c r="AK33" i="64"/>
  <c r="AJ33" i="64"/>
  <c r="BB32" i="64"/>
  <c r="BA32" i="64"/>
  <c r="N32" i="64" s="1"/>
  <c r="CA32" i="63"/>
  <c r="O32" i="63" s="1"/>
  <c r="AX33" i="63"/>
  <c r="AP33" i="63"/>
  <c r="AH33" i="63"/>
  <c r="AU33" i="63"/>
  <c r="AM33" i="63"/>
  <c r="AR33" i="63"/>
  <c r="AG33" i="63"/>
  <c r="AQ33" i="63"/>
  <c r="AY33" i="63"/>
  <c r="AN33" i="63"/>
  <c r="D33" i="63"/>
  <c r="H27" i="23" s="1"/>
  <c r="J27" i="24" s="1"/>
  <c r="AL33" i="63"/>
  <c r="AK33" i="63"/>
  <c r="AZ33" i="63"/>
  <c r="AJ33" i="63"/>
  <c r="AW33" i="63"/>
  <c r="AI33" i="63"/>
  <c r="AV33" i="63"/>
  <c r="AT33" i="63"/>
  <c r="AS33" i="63"/>
  <c r="AO33" i="63"/>
  <c r="BB32" i="63"/>
  <c r="BA32" i="63"/>
  <c r="N32" i="63" s="1"/>
  <c r="Y32" i="63" s="1"/>
  <c r="B34" i="63"/>
  <c r="F28" i="23" s="1"/>
  <c r="G28" i="24" s="1"/>
  <c r="A35" i="63"/>
  <c r="E29" i="23" s="1"/>
  <c r="F29" i="24" s="1"/>
  <c r="FL32" i="63" l="1"/>
  <c r="FL40" i="63" s="1"/>
  <c r="FJ32" i="63"/>
  <c r="FJ40" i="63" s="1"/>
  <c r="AB27" i="23"/>
  <c r="E27" i="25" s="1"/>
  <c r="CX33" i="68"/>
  <c r="Z28" i="23"/>
  <c r="B28" i="25" s="1"/>
  <c r="CL34" i="68"/>
  <c r="CN34" i="68"/>
  <c r="CV34" i="68"/>
  <c r="CD34" i="68"/>
  <c r="CO34" i="68"/>
  <c r="CW34" i="68"/>
  <c r="CE34" i="68"/>
  <c r="CP34" i="68"/>
  <c r="CG34" i="68"/>
  <c r="CQ34" i="68"/>
  <c r="CH34" i="68"/>
  <c r="CR34" i="68"/>
  <c r="CI34" i="68"/>
  <c r="CS34" i="68"/>
  <c r="CJ34" i="68"/>
  <c r="CT34" i="68"/>
  <c r="CM34" i="68"/>
  <c r="CU34" i="68"/>
  <c r="BK34" i="68"/>
  <c r="BT34" i="68"/>
  <c r="BL34" i="68"/>
  <c r="BU34" i="68"/>
  <c r="BM34" i="68"/>
  <c r="BV34" i="68"/>
  <c r="BO34" i="68"/>
  <c r="BW34" i="68"/>
  <c r="BP34" i="68"/>
  <c r="BX34" i="68"/>
  <c r="BG34" i="68"/>
  <c r="BQ34" i="68"/>
  <c r="BY34" i="68"/>
  <c r="BH34" i="68"/>
  <c r="BR34" i="68"/>
  <c r="BZ34" i="68"/>
  <c r="BJ34" i="68"/>
  <c r="BS34" i="68"/>
  <c r="BI34" i="68"/>
  <c r="CF34" i="68"/>
  <c r="CK34" i="68"/>
  <c r="BN34" i="68"/>
  <c r="Y39" i="63"/>
  <c r="AH27" i="23"/>
  <c r="L27" i="25" s="1"/>
  <c r="AV33" i="70"/>
  <c r="AX33" i="70"/>
  <c r="AI33" i="70"/>
  <c r="AQ33" i="70"/>
  <c r="AP33" i="70"/>
  <c r="AW33" i="70"/>
  <c r="AS33" i="70"/>
  <c r="AZ33" i="70"/>
  <c r="AH33" i="70"/>
  <c r="AL33" i="70"/>
  <c r="AO33" i="70"/>
  <c r="AK33" i="70"/>
  <c r="AR33" i="70"/>
  <c r="AU33" i="70"/>
  <c r="D33" i="70"/>
  <c r="AJ33" i="70"/>
  <c r="AY33" i="70"/>
  <c r="AG33" i="70"/>
  <c r="AM33" i="70"/>
  <c r="AT33" i="70"/>
  <c r="AN33" i="70"/>
  <c r="AJ26" i="23"/>
  <c r="O26" i="25"/>
  <c r="AG28" i="23"/>
  <c r="K28" i="25" s="1"/>
  <c r="A35" i="70"/>
  <c r="B34" i="70"/>
  <c r="BB32" i="70"/>
  <c r="BA32" i="70"/>
  <c r="N32" i="70" s="1"/>
  <c r="BA32" i="67"/>
  <c r="N32" i="67" s="1"/>
  <c r="BB32" i="67"/>
  <c r="AV27" i="23"/>
  <c r="AD27" i="25"/>
  <c r="AN27" i="23"/>
  <c r="T27" i="25"/>
  <c r="Y26" i="25"/>
  <c r="AR26" i="23"/>
  <c r="V27" i="23"/>
  <c r="AA27" i="24" s="1"/>
  <c r="AP33" i="67"/>
  <c r="AY33" i="67"/>
  <c r="AH33" i="67"/>
  <c r="AU33" i="67"/>
  <c r="AS33" i="67"/>
  <c r="AK33" i="67"/>
  <c r="AM33" i="67"/>
  <c r="AZ33" i="67"/>
  <c r="AQ33" i="67"/>
  <c r="AL33" i="67"/>
  <c r="AW33" i="67"/>
  <c r="AT33" i="67"/>
  <c r="AR33" i="67"/>
  <c r="AN33" i="67"/>
  <c r="AJ33" i="67"/>
  <c r="AO33" i="67"/>
  <c r="AI33" i="67"/>
  <c r="D33" i="67"/>
  <c r="X27" i="23" s="1"/>
  <c r="AD27" i="24" s="1"/>
  <c r="AV33" i="67"/>
  <c r="AX33" i="67"/>
  <c r="AG33" i="67"/>
  <c r="U28" i="23"/>
  <c r="Z28" i="24" s="1"/>
  <c r="B34" i="67"/>
  <c r="A35" i="67"/>
  <c r="J27" i="25"/>
  <c r="AF27" i="23"/>
  <c r="Q28" i="23"/>
  <c r="U28" i="24" s="1"/>
  <c r="B34" i="66"/>
  <c r="A35" i="66"/>
  <c r="CA32" i="66"/>
  <c r="O32" i="66" s="1"/>
  <c r="R27" i="23"/>
  <c r="V27" i="24" s="1"/>
  <c r="AP33" i="66"/>
  <c r="AL33" i="66"/>
  <c r="AR33" i="66"/>
  <c r="D33" i="66"/>
  <c r="T27" i="23" s="1"/>
  <c r="Y27" i="24" s="1"/>
  <c r="AH33" i="66"/>
  <c r="AQ33" i="66"/>
  <c r="AU33" i="66"/>
  <c r="AN33" i="66"/>
  <c r="AJ33" i="66"/>
  <c r="AV33" i="66"/>
  <c r="AM33" i="66"/>
  <c r="AW33" i="66"/>
  <c r="AY33" i="66"/>
  <c r="AT33" i="66"/>
  <c r="AI33" i="66"/>
  <c r="AO33" i="66"/>
  <c r="AS33" i="66"/>
  <c r="AK33" i="66"/>
  <c r="AX33" i="66"/>
  <c r="AG33" i="66"/>
  <c r="AZ33" i="66"/>
  <c r="BB32" i="66"/>
  <c r="BA32" i="66"/>
  <c r="N32" i="66" s="1"/>
  <c r="P33" i="73"/>
  <c r="Q32" i="73"/>
  <c r="CA33" i="73"/>
  <c r="O33" i="73" s="1"/>
  <c r="BB33" i="73"/>
  <c r="BA33" i="73"/>
  <c r="N33" i="73" s="1"/>
  <c r="A36" i="73"/>
  <c r="AS30" i="23" s="1"/>
  <c r="Z30" i="25" s="1"/>
  <c r="B35" i="73"/>
  <c r="AT29" i="23" s="1"/>
  <c r="AA29" i="25" s="1"/>
  <c r="AS34" i="73"/>
  <c r="AK34" i="73"/>
  <c r="D34" i="73"/>
  <c r="AZ34" i="73"/>
  <c r="AR34" i="73"/>
  <c r="AJ34" i="73"/>
  <c r="AX34" i="73"/>
  <c r="AP34" i="73"/>
  <c r="AH34" i="73"/>
  <c r="AQ34" i="73"/>
  <c r="AO34" i="73"/>
  <c r="AN34" i="73"/>
  <c r="AY34" i="73"/>
  <c r="AM34" i="73"/>
  <c r="AV34" i="73"/>
  <c r="AI34" i="73"/>
  <c r="AU34" i="73"/>
  <c r="AG34" i="73"/>
  <c r="AT34" i="73"/>
  <c r="AW34" i="73"/>
  <c r="AL34" i="73"/>
  <c r="A35" i="72"/>
  <c r="AO29" i="23" s="1"/>
  <c r="U29" i="25" s="1"/>
  <c r="B34" i="72"/>
  <c r="AP28" i="23" s="1"/>
  <c r="V28" i="25" s="1"/>
  <c r="BB32" i="72"/>
  <c r="BA32" i="72"/>
  <c r="N32" i="72" s="1"/>
  <c r="AS33" i="72"/>
  <c r="AK33" i="72"/>
  <c r="D33" i="72"/>
  <c r="AZ33" i="72"/>
  <c r="AR33" i="72"/>
  <c r="AJ33" i="72"/>
  <c r="AX33" i="72"/>
  <c r="AP33" i="72"/>
  <c r="AH33" i="72"/>
  <c r="AT33" i="72"/>
  <c r="AO33" i="72"/>
  <c r="AN33" i="72"/>
  <c r="AY33" i="72"/>
  <c r="AM33" i="72"/>
  <c r="AW33" i="72"/>
  <c r="AL33" i="72"/>
  <c r="AV33" i="72"/>
  <c r="AU33" i="72"/>
  <c r="AQ33" i="72"/>
  <c r="AI33" i="72"/>
  <c r="AG33" i="72"/>
  <c r="CA32" i="72"/>
  <c r="O32" i="72" s="1"/>
  <c r="A36" i="71"/>
  <c r="AK30" i="23" s="1"/>
  <c r="P30" i="25" s="1"/>
  <c r="B35" i="71"/>
  <c r="AL29" i="23" s="1"/>
  <c r="Q29" i="25" s="1"/>
  <c r="AS34" i="71"/>
  <c r="AK34" i="71"/>
  <c r="D34" i="71"/>
  <c r="AZ34" i="71"/>
  <c r="AR34" i="71"/>
  <c r="AJ34" i="71"/>
  <c r="AX34" i="71"/>
  <c r="AP34" i="71"/>
  <c r="AH34" i="71"/>
  <c r="AQ34" i="71"/>
  <c r="AO34" i="71"/>
  <c r="AN34" i="71"/>
  <c r="AY34" i="71"/>
  <c r="AM34" i="71"/>
  <c r="AW34" i="71"/>
  <c r="AL34" i="71"/>
  <c r="AV34" i="71"/>
  <c r="AI34" i="71"/>
  <c r="AU34" i="71"/>
  <c r="AG34" i="71"/>
  <c r="AT34" i="71"/>
  <c r="BB33" i="71"/>
  <c r="BA33" i="71"/>
  <c r="N33" i="71" s="1"/>
  <c r="A36" i="69"/>
  <c r="AC30" i="23" s="1"/>
  <c r="F30" i="25" s="1"/>
  <c r="B35" i="69"/>
  <c r="AD29" i="23" s="1"/>
  <c r="G29" i="25" s="1"/>
  <c r="AS34" i="69"/>
  <c r="AK34" i="69"/>
  <c r="D34" i="69"/>
  <c r="AZ34" i="69"/>
  <c r="AR34" i="69"/>
  <c r="AJ34" i="69"/>
  <c r="AX34" i="69"/>
  <c r="AP34" i="69"/>
  <c r="AH34" i="69"/>
  <c r="AT34" i="69"/>
  <c r="AO34" i="69"/>
  <c r="AN34" i="69"/>
  <c r="AY34" i="69"/>
  <c r="AM34" i="69"/>
  <c r="AW34" i="69"/>
  <c r="AL34" i="69"/>
  <c r="AQ34" i="69"/>
  <c r="AI34" i="69"/>
  <c r="AG34" i="69"/>
  <c r="AV34" i="69"/>
  <c r="AU34" i="69"/>
  <c r="BB33" i="69"/>
  <c r="BA33" i="69"/>
  <c r="N33" i="69" s="1"/>
  <c r="CA33" i="69"/>
  <c r="O33" i="69" s="1"/>
  <c r="CA33" i="68"/>
  <c r="O33" i="68" s="1"/>
  <c r="AV34" i="68"/>
  <c r="AN34" i="68"/>
  <c r="AU34" i="68"/>
  <c r="AM34" i="68"/>
  <c r="AS34" i="68"/>
  <c r="AK34" i="68"/>
  <c r="D34" i="68"/>
  <c r="AT34" i="68"/>
  <c r="AH34" i="68"/>
  <c r="AR34" i="68"/>
  <c r="AG34" i="68"/>
  <c r="AQ34" i="68"/>
  <c r="AP34" i="68"/>
  <c r="AZ34" i="68"/>
  <c r="AO34" i="68"/>
  <c r="AY34" i="68"/>
  <c r="AL34" i="68"/>
  <c r="AX34" i="68"/>
  <c r="AJ34" i="68"/>
  <c r="AW34" i="68"/>
  <c r="AI34" i="68"/>
  <c r="BB33" i="68"/>
  <c r="BA33" i="68"/>
  <c r="N33" i="68" s="1"/>
  <c r="A36" i="68"/>
  <c r="B35" i="68"/>
  <c r="BB33" i="65"/>
  <c r="BA33" i="65"/>
  <c r="N33" i="65" s="1"/>
  <c r="AV34" i="65"/>
  <c r="AN34" i="65"/>
  <c r="AU34" i="65"/>
  <c r="AM34" i="65"/>
  <c r="AS34" i="65"/>
  <c r="AK34" i="65"/>
  <c r="D34" i="65"/>
  <c r="P28" i="23" s="1"/>
  <c r="T28" i="24" s="1"/>
  <c r="AP34" i="65"/>
  <c r="AZ34" i="65"/>
  <c r="AO34" i="65"/>
  <c r="AT34" i="65"/>
  <c r="AY34" i="65"/>
  <c r="AH34" i="65"/>
  <c r="AX34" i="65"/>
  <c r="AG34" i="65"/>
  <c r="AW34" i="65"/>
  <c r="AR34" i="65"/>
  <c r="AQ34" i="65"/>
  <c r="AL34" i="65"/>
  <c r="AJ34" i="65"/>
  <c r="AI34" i="65"/>
  <c r="A36" i="65"/>
  <c r="M30" i="23" s="1"/>
  <c r="P30" i="24" s="1"/>
  <c r="B35" i="65"/>
  <c r="N29" i="23" s="1"/>
  <c r="Q29" i="24" s="1"/>
  <c r="BB33" i="64"/>
  <c r="BA33" i="64"/>
  <c r="N33" i="64" s="1"/>
  <c r="AS34" i="64"/>
  <c r="AK34" i="64"/>
  <c r="D34" i="64"/>
  <c r="L28" i="23" s="1"/>
  <c r="O28" i="24" s="1"/>
  <c r="AX34" i="64"/>
  <c r="AP34" i="64"/>
  <c r="AH34" i="64"/>
  <c r="AZ34" i="64"/>
  <c r="AO34" i="64"/>
  <c r="AY34" i="64"/>
  <c r="AN34" i="64"/>
  <c r="AW34" i="64"/>
  <c r="AM34" i="64"/>
  <c r="AV34" i="64"/>
  <c r="AL34" i="64"/>
  <c r="AT34" i="64"/>
  <c r="AI34" i="64"/>
  <c r="AR34" i="64"/>
  <c r="AG34" i="64"/>
  <c r="AQ34" i="64"/>
  <c r="AU34" i="64"/>
  <c r="AJ34" i="64"/>
  <c r="A36" i="64"/>
  <c r="I30" i="23" s="1"/>
  <c r="K30" i="24" s="1"/>
  <c r="B35" i="64"/>
  <c r="J29" i="23" s="1"/>
  <c r="L29" i="24" s="1"/>
  <c r="A36" i="63"/>
  <c r="E30" i="23" s="1"/>
  <c r="F30" i="24" s="1"/>
  <c r="B35" i="63"/>
  <c r="F29" i="23" s="1"/>
  <c r="G29" i="24" s="1"/>
  <c r="AS34" i="63"/>
  <c r="AK34" i="63"/>
  <c r="D34" i="63"/>
  <c r="H28" i="23" s="1"/>
  <c r="J28" i="24" s="1"/>
  <c r="AZ34" i="63"/>
  <c r="AR34" i="63"/>
  <c r="AJ34" i="63"/>
  <c r="AX34" i="63"/>
  <c r="AP34" i="63"/>
  <c r="AH34" i="63"/>
  <c r="AN34" i="63"/>
  <c r="AY34" i="63"/>
  <c r="AM34" i="63"/>
  <c r="AV34" i="63"/>
  <c r="AI34" i="63"/>
  <c r="AT34" i="63"/>
  <c r="AQ34" i="63"/>
  <c r="AO34" i="63"/>
  <c r="AL34" i="63"/>
  <c r="AG34" i="63"/>
  <c r="AW34" i="63"/>
  <c r="AU34" i="63"/>
  <c r="CA33" i="63"/>
  <c r="O33" i="63" s="1"/>
  <c r="BB33" i="63"/>
  <c r="BA33" i="63"/>
  <c r="N33" i="63" s="1"/>
  <c r="AB28" i="23" l="1"/>
  <c r="E28" i="25" s="1"/>
  <c r="CX34" i="68"/>
  <c r="Z29" i="23"/>
  <c r="B29" i="25" s="1"/>
  <c r="CK35" i="68"/>
  <c r="CT35" i="68"/>
  <c r="CM35" i="68"/>
  <c r="CU35" i="68"/>
  <c r="CD35" i="68"/>
  <c r="CN35" i="68"/>
  <c r="CV35" i="68"/>
  <c r="CE35" i="68"/>
  <c r="CO35" i="68"/>
  <c r="CW35" i="68"/>
  <c r="CF35" i="68"/>
  <c r="CP35" i="68"/>
  <c r="CH35" i="68"/>
  <c r="CQ35" i="68"/>
  <c r="CI35" i="68"/>
  <c r="CR35" i="68"/>
  <c r="CJ35" i="68"/>
  <c r="CS35" i="68"/>
  <c r="BH35" i="68"/>
  <c r="BR35" i="68"/>
  <c r="BZ35" i="68"/>
  <c r="BI35" i="68"/>
  <c r="BS35" i="68"/>
  <c r="BK35" i="68"/>
  <c r="BT35" i="68"/>
  <c r="BL35" i="68"/>
  <c r="BU35" i="68"/>
  <c r="BM35" i="68"/>
  <c r="BV35" i="68"/>
  <c r="BN35" i="68"/>
  <c r="BW35" i="68"/>
  <c r="BP35" i="68"/>
  <c r="BX35" i="68"/>
  <c r="BG35" i="68"/>
  <c r="BQ35" i="68"/>
  <c r="BY35" i="68"/>
  <c r="BO35" i="68"/>
  <c r="CG35" i="68"/>
  <c r="CL35" i="68"/>
  <c r="BJ35" i="68"/>
  <c r="AH37" i="68"/>
  <c r="AP37" i="68"/>
  <c r="AX37" i="68"/>
  <c r="AY37" i="68"/>
  <c r="AK37" i="68"/>
  <c r="AU37" i="68"/>
  <c r="AV37" i="68"/>
  <c r="AG37" i="68"/>
  <c r="EF37" i="68" s="1"/>
  <c r="AI37" i="68"/>
  <c r="AQ37" i="68"/>
  <c r="AS37" i="68"/>
  <c r="AO37" i="68"/>
  <c r="D37" i="68"/>
  <c r="EJ37" i="68" s="1"/>
  <c r="AJ37" i="68"/>
  <c r="AR37" i="68"/>
  <c r="AZ37" i="68"/>
  <c r="AM37" i="68"/>
  <c r="AW37" i="68"/>
  <c r="AL37" i="68"/>
  <c r="AT37" i="68"/>
  <c r="AN37" i="68"/>
  <c r="O27" i="25"/>
  <c r="AJ27" i="23"/>
  <c r="AH28" i="23"/>
  <c r="L28" i="25" s="1"/>
  <c r="AN34" i="70"/>
  <c r="AS34" i="70"/>
  <c r="AJ34" i="70"/>
  <c r="AH34" i="70"/>
  <c r="AK34" i="70"/>
  <c r="AP34" i="70"/>
  <c r="AU34" i="70"/>
  <c r="D34" i="70"/>
  <c r="AR34" i="70"/>
  <c r="AY34" i="70"/>
  <c r="AM34" i="70"/>
  <c r="AW34" i="70"/>
  <c r="AG34" i="70"/>
  <c r="AL34" i="70"/>
  <c r="AI34" i="70"/>
  <c r="AZ34" i="70"/>
  <c r="AQ34" i="70"/>
  <c r="AO34" i="70"/>
  <c r="AV34" i="70"/>
  <c r="AX34" i="70"/>
  <c r="AT34" i="70"/>
  <c r="AG29" i="23"/>
  <c r="K29" i="25" s="1"/>
  <c r="A36" i="70"/>
  <c r="B35" i="70"/>
  <c r="BB33" i="70"/>
  <c r="BA33" i="70"/>
  <c r="N33" i="70" s="1"/>
  <c r="Y30" i="23"/>
  <c r="A30" i="25" s="1"/>
  <c r="AV28" i="23"/>
  <c r="AD28" i="25"/>
  <c r="U29" i="23"/>
  <c r="Z29" i="24" s="1"/>
  <c r="A36" i="67"/>
  <c r="B35" i="67"/>
  <c r="V28" i="23"/>
  <c r="AA28" i="24" s="1"/>
  <c r="AJ34" i="67"/>
  <c r="AW34" i="67"/>
  <c r="AO34" i="67"/>
  <c r="AN34" i="67"/>
  <c r="AL34" i="67"/>
  <c r="AU34" i="67"/>
  <c r="AQ34" i="67"/>
  <c r="AG34" i="67"/>
  <c r="AS34" i="67"/>
  <c r="AX34" i="67"/>
  <c r="AY34" i="67"/>
  <c r="AV34" i="67"/>
  <c r="AT34" i="67"/>
  <c r="AK34" i="67"/>
  <c r="AZ34" i="67"/>
  <c r="AP34" i="67"/>
  <c r="AM34" i="67"/>
  <c r="AI34" i="67"/>
  <c r="D34" i="67"/>
  <c r="X28" i="23" s="1"/>
  <c r="AD28" i="24" s="1"/>
  <c r="AR34" i="67"/>
  <c r="AH34" i="67"/>
  <c r="J28" i="25"/>
  <c r="AF28" i="23"/>
  <c r="BB33" i="67"/>
  <c r="BA33" i="67"/>
  <c r="N33" i="67" s="1"/>
  <c r="Y27" i="25"/>
  <c r="AR27" i="23"/>
  <c r="T28" i="25"/>
  <c r="AN28" i="23"/>
  <c r="BB33" i="66"/>
  <c r="BA33" i="66"/>
  <c r="N33" i="66" s="1"/>
  <c r="CA33" i="66"/>
  <c r="O33" i="66" s="1"/>
  <c r="Q29" i="23"/>
  <c r="U29" i="24" s="1"/>
  <c r="A36" i="66"/>
  <c r="B35" i="66"/>
  <c r="R28" i="23"/>
  <c r="V28" i="24" s="1"/>
  <c r="AN34" i="66"/>
  <c r="AL34" i="66"/>
  <c r="AY34" i="66"/>
  <c r="AT34" i="66"/>
  <c r="AM34" i="66"/>
  <c r="AW34" i="66"/>
  <c r="AV34" i="66"/>
  <c r="AS34" i="66"/>
  <c r="AX34" i="66"/>
  <c r="AQ34" i="66"/>
  <c r="AK34" i="66"/>
  <c r="AZ34" i="66"/>
  <c r="AP34" i="66"/>
  <c r="AI34" i="66"/>
  <c r="D34" i="66"/>
  <c r="T28" i="23" s="1"/>
  <c r="Y28" i="24" s="1"/>
  <c r="AR34" i="66"/>
  <c r="AH34" i="66"/>
  <c r="AU34" i="66"/>
  <c r="AO34" i="66"/>
  <c r="AG34" i="66"/>
  <c r="AJ34" i="66"/>
  <c r="AP35" i="68"/>
  <c r="AX35" i="68"/>
  <c r="AW35" i="68"/>
  <c r="AI35" i="68"/>
  <c r="AQ35" i="68"/>
  <c r="AY35" i="68"/>
  <c r="AT35" i="68"/>
  <c r="AJ35" i="68"/>
  <c r="AR35" i="68"/>
  <c r="AZ35" i="68"/>
  <c r="AK35" i="68"/>
  <c r="AS35" i="68"/>
  <c r="AL35" i="68"/>
  <c r="AM35" i="68"/>
  <c r="AV35" i="68"/>
  <c r="AO35" i="68"/>
  <c r="AU35" i="68"/>
  <c r="AN35" i="68"/>
  <c r="P34" i="73"/>
  <c r="Q33" i="73"/>
  <c r="BB34" i="73"/>
  <c r="BA34" i="73"/>
  <c r="N34" i="73" s="1"/>
  <c r="AV35" i="73"/>
  <c r="AN35" i="73"/>
  <c r="AU35" i="73"/>
  <c r="AM35" i="73"/>
  <c r="AS35" i="73"/>
  <c r="AK35" i="73"/>
  <c r="D35" i="73"/>
  <c r="AP35" i="73"/>
  <c r="AZ35" i="73"/>
  <c r="AO35" i="73"/>
  <c r="AY35" i="73"/>
  <c r="AL35" i="73"/>
  <c r="AX35" i="73"/>
  <c r="AJ35" i="73"/>
  <c r="AT35" i="73"/>
  <c r="AH35" i="73"/>
  <c r="AR35" i="73"/>
  <c r="AG35" i="73"/>
  <c r="AQ35" i="73"/>
  <c r="AW35" i="73"/>
  <c r="AI35" i="73"/>
  <c r="A37" i="73"/>
  <c r="AS31" i="23" s="1"/>
  <c r="Z31" i="25" s="1"/>
  <c r="B36" i="73"/>
  <c r="AT30" i="23" s="1"/>
  <c r="AA30" i="25" s="1"/>
  <c r="CA34" i="73"/>
  <c r="O34" i="73" s="1"/>
  <c r="BB33" i="72"/>
  <c r="BA33" i="72"/>
  <c r="N33" i="72" s="1"/>
  <c r="CA33" i="72"/>
  <c r="O33" i="72" s="1"/>
  <c r="AV34" i="72"/>
  <c r="AN34" i="72"/>
  <c r="AU34" i="72"/>
  <c r="AM34" i="72"/>
  <c r="AS34" i="72"/>
  <c r="AK34" i="72"/>
  <c r="D34" i="72"/>
  <c r="AQ34" i="72"/>
  <c r="AZ34" i="72"/>
  <c r="AO34" i="72"/>
  <c r="AY34" i="72"/>
  <c r="AL34" i="72"/>
  <c r="AX34" i="72"/>
  <c r="AJ34" i="72"/>
  <c r="AW34" i="72"/>
  <c r="AI34" i="72"/>
  <c r="AG34" i="72"/>
  <c r="AT34" i="72"/>
  <c r="AR34" i="72"/>
  <c r="AP34" i="72"/>
  <c r="AH34" i="72"/>
  <c r="A36" i="72"/>
  <c r="AO30" i="23" s="1"/>
  <c r="U30" i="25" s="1"/>
  <c r="B35" i="72"/>
  <c r="AP29" i="23" s="1"/>
  <c r="V29" i="25" s="1"/>
  <c r="BB34" i="71"/>
  <c r="BA34" i="71"/>
  <c r="N34" i="71" s="1"/>
  <c r="AV35" i="71"/>
  <c r="AN35" i="71"/>
  <c r="AU35" i="71"/>
  <c r="AM35" i="71"/>
  <c r="AS35" i="71"/>
  <c r="AK35" i="71"/>
  <c r="D35" i="71"/>
  <c r="AY35" i="71"/>
  <c r="AQ35" i="71"/>
  <c r="AI35" i="71"/>
  <c r="AT35" i="71"/>
  <c r="AR35" i="71"/>
  <c r="AP35" i="71"/>
  <c r="AO35" i="71"/>
  <c r="AL35" i="71"/>
  <c r="AZ35" i="71"/>
  <c r="AJ35" i="71"/>
  <c r="AX35" i="71"/>
  <c r="AH35" i="71"/>
  <c r="AG35" i="71"/>
  <c r="AW35" i="71"/>
  <c r="A37" i="71"/>
  <c r="AK31" i="23" s="1"/>
  <c r="P31" i="25" s="1"/>
  <c r="B36" i="71"/>
  <c r="AL30" i="23" s="1"/>
  <c r="Q30" i="25" s="1"/>
  <c r="BB34" i="69"/>
  <c r="BA34" i="69"/>
  <c r="N34" i="69" s="1"/>
  <c r="CA34" i="69"/>
  <c r="O34" i="69" s="1"/>
  <c r="AV35" i="69"/>
  <c r="AN35" i="69"/>
  <c r="AU35" i="69"/>
  <c r="AM35" i="69"/>
  <c r="AS35" i="69"/>
  <c r="AK35" i="69"/>
  <c r="D35" i="69"/>
  <c r="AQ35" i="69"/>
  <c r="AZ35" i="69"/>
  <c r="AO35" i="69"/>
  <c r="AY35" i="69"/>
  <c r="AL35" i="69"/>
  <c r="AX35" i="69"/>
  <c r="AJ35" i="69"/>
  <c r="AW35" i="69"/>
  <c r="AI35" i="69"/>
  <c r="AT35" i="69"/>
  <c r="AR35" i="69"/>
  <c r="AP35" i="69"/>
  <c r="AH35" i="69"/>
  <c r="AG35" i="69"/>
  <c r="A37" i="69"/>
  <c r="AC31" i="23" s="1"/>
  <c r="F31" i="25" s="1"/>
  <c r="B36" i="69"/>
  <c r="AD30" i="23" s="1"/>
  <c r="G30" i="25" s="1"/>
  <c r="AH35" i="68"/>
  <c r="D35" i="68"/>
  <c r="AG35" i="68"/>
  <c r="B36" i="68"/>
  <c r="CA34" i="68"/>
  <c r="O34" i="68" s="1"/>
  <c r="BB34" i="68"/>
  <c r="BA34" i="68"/>
  <c r="N34" i="68" s="1"/>
  <c r="CA34" i="65"/>
  <c r="O34" i="65" s="1"/>
  <c r="AY35" i="65"/>
  <c r="AQ35" i="65"/>
  <c r="AI35" i="65"/>
  <c r="AX35" i="65"/>
  <c r="AP35" i="65"/>
  <c r="AH35" i="65"/>
  <c r="AV35" i="65"/>
  <c r="AN35" i="65"/>
  <c r="AW35" i="65"/>
  <c r="AK35" i="65"/>
  <c r="AU35" i="65"/>
  <c r="AJ35" i="65"/>
  <c r="AO35" i="65"/>
  <c r="D35" i="65"/>
  <c r="P29" i="23" s="1"/>
  <c r="T29" i="24" s="1"/>
  <c r="AM35" i="65"/>
  <c r="AZ35" i="65"/>
  <c r="AT35" i="65"/>
  <c r="AS35" i="65"/>
  <c r="AR35" i="65"/>
  <c r="AL35" i="65"/>
  <c r="AG35" i="65"/>
  <c r="A37" i="65"/>
  <c r="M31" i="23" s="1"/>
  <c r="P31" i="24" s="1"/>
  <c r="B36" i="65"/>
  <c r="N30" i="23" s="1"/>
  <c r="Q30" i="24" s="1"/>
  <c r="BB34" i="65"/>
  <c r="BA34" i="65"/>
  <c r="N34" i="65" s="1"/>
  <c r="A37" i="64"/>
  <c r="I31" i="23" s="1"/>
  <c r="K31" i="24" s="1"/>
  <c r="B36" i="64"/>
  <c r="J30" i="23" s="1"/>
  <c r="L30" i="24" s="1"/>
  <c r="BB34" i="64"/>
  <c r="BA34" i="64"/>
  <c r="N34" i="64" s="1"/>
  <c r="AV35" i="64"/>
  <c r="AN35" i="64"/>
  <c r="AU35" i="64"/>
  <c r="AS35" i="64"/>
  <c r="AK35" i="64"/>
  <c r="D35" i="64"/>
  <c r="L29" i="23" s="1"/>
  <c r="O29" i="24" s="1"/>
  <c r="AX35" i="64"/>
  <c r="AL35" i="64"/>
  <c r="AW35" i="64"/>
  <c r="AJ35" i="64"/>
  <c r="AT35" i="64"/>
  <c r="AI35" i="64"/>
  <c r="AR35" i="64"/>
  <c r="AH35" i="64"/>
  <c r="AP35" i="64"/>
  <c r="AZ35" i="64"/>
  <c r="AO35" i="64"/>
  <c r="AY35" i="64"/>
  <c r="AM35" i="64"/>
  <c r="AQ35" i="64"/>
  <c r="AG35" i="64"/>
  <c r="BB34" i="63"/>
  <c r="BA34" i="63"/>
  <c r="N34" i="63" s="1"/>
  <c r="AV35" i="63"/>
  <c r="AN35" i="63"/>
  <c r="AU35" i="63"/>
  <c r="AM35" i="63"/>
  <c r="AS35" i="63"/>
  <c r="AK35" i="63"/>
  <c r="D35" i="63"/>
  <c r="H29" i="23" s="1"/>
  <c r="J29" i="24" s="1"/>
  <c r="AY35" i="63"/>
  <c r="AL35" i="63"/>
  <c r="AX35" i="63"/>
  <c r="AJ35" i="63"/>
  <c r="AT35" i="63"/>
  <c r="AH35" i="63"/>
  <c r="AR35" i="63"/>
  <c r="AG35" i="63"/>
  <c r="AP35" i="63"/>
  <c r="AO35" i="63"/>
  <c r="AI35" i="63"/>
  <c r="AZ35" i="63"/>
  <c r="AW35" i="63"/>
  <c r="AQ35" i="63"/>
  <c r="A37" i="63"/>
  <c r="E31" i="23" s="1"/>
  <c r="F31" i="24" s="1"/>
  <c r="B36" i="63"/>
  <c r="F30" i="23" s="1"/>
  <c r="G30" i="24" s="1"/>
  <c r="AB29" i="23" l="1"/>
  <c r="E29" i="25" s="1"/>
  <c r="CL36" i="68"/>
  <c r="CI36" i="68"/>
  <c r="CS36" i="68"/>
  <c r="CJ36" i="68"/>
  <c r="CT36" i="68"/>
  <c r="CK36" i="68"/>
  <c r="CU36" i="68"/>
  <c r="CN36" i="68"/>
  <c r="CV36" i="68"/>
  <c r="CD36" i="68"/>
  <c r="CO36" i="68"/>
  <c r="CW36" i="68"/>
  <c r="CE36" i="68"/>
  <c r="CP36" i="68"/>
  <c r="CF36" i="68"/>
  <c r="CQ36" i="68"/>
  <c r="CG36" i="68"/>
  <c r="CR36" i="68"/>
  <c r="BO36" i="68"/>
  <c r="BX36" i="68"/>
  <c r="BG36" i="68"/>
  <c r="BQ36" i="68"/>
  <c r="BY36" i="68"/>
  <c r="BH36" i="68"/>
  <c r="BR36" i="68"/>
  <c r="BZ36" i="68"/>
  <c r="BI36" i="68"/>
  <c r="BS36" i="68"/>
  <c r="BJ36" i="68"/>
  <c r="BT36" i="68"/>
  <c r="BL36" i="68"/>
  <c r="BU36" i="68"/>
  <c r="BM36" i="68"/>
  <c r="BV36" i="68"/>
  <c r="BN36" i="68"/>
  <c r="BW36" i="68"/>
  <c r="BP36" i="68"/>
  <c r="CH36" i="68"/>
  <c r="CM36" i="68"/>
  <c r="BK36" i="68"/>
  <c r="CX35" i="68"/>
  <c r="Z30" i="23"/>
  <c r="B30" i="25" s="1"/>
  <c r="G62" i="68"/>
  <c r="BB37" i="68"/>
  <c r="BA37" i="68"/>
  <c r="N37" i="68" s="1"/>
  <c r="CX37" i="68"/>
  <c r="P37" i="68" s="1"/>
  <c r="CA37" i="68"/>
  <c r="O37" i="68" s="1"/>
  <c r="AH29" i="23"/>
  <c r="L29" i="25" s="1"/>
  <c r="AQ35" i="70"/>
  <c r="AH35" i="70"/>
  <c r="AS35" i="70"/>
  <c r="AI35" i="70"/>
  <c r="AM35" i="70"/>
  <c r="AR35" i="70"/>
  <c r="AW35" i="70"/>
  <c r="AT35" i="70"/>
  <c r="AP35" i="70"/>
  <c r="AV35" i="70"/>
  <c r="AK35" i="70"/>
  <c r="AG35" i="70"/>
  <c r="AN35" i="70"/>
  <c r="AO35" i="70"/>
  <c r="AZ35" i="70"/>
  <c r="AY35" i="70"/>
  <c r="AX35" i="70"/>
  <c r="D35" i="70"/>
  <c r="AL35" i="70"/>
  <c r="AU35" i="70"/>
  <c r="AJ35" i="70"/>
  <c r="AG30" i="23"/>
  <c r="K30" i="25" s="1"/>
  <c r="A37" i="70"/>
  <c r="B36" i="70"/>
  <c r="BA34" i="70"/>
  <c r="N34" i="70" s="1"/>
  <c r="Y34" i="70" s="1"/>
  <c r="BB34" i="70"/>
  <c r="AJ28" i="23"/>
  <c r="O28" i="25"/>
  <c r="A31" i="25"/>
  <c r="BA34" i="67"/>
  <c r="N34" i="67" s="1"/>
  <c r="BB34" i="67"/>
  <c r="U30" i="23"/>
  <c r="Z30" i="24" s="1"/>
  <c r="A37" i="67"/>
  <c r="B36" i="67"/>
  <c r="T29" i="25"/>
  <c r="AN29" i="23"/>
  <c r="AR28" i="23"/>
  <c r="Y28" i="25"/>
  <c r="G68" i="68"/>
  <c r="G72" i="68"/>
  <c r="J29" i="25"/>
  <c r="AF29" i="23"/>
  <c r="AV29" i="23"/>
  <c r="AD29" i="25"/>
  <c r="V29" i="23"/>
  <c r="AA29" i="24" s="1"/>
  <c r="AX35" i="67"/>
  <c r="AQ35" i="67"/>
  <c r="AZ35" i="67"/>
  <c r="AJ35" i="67"/>
  <c r="AT35" i="67"/>
  <c r="AO35" i="67"/>
  <c r="AV35" i="67"/>
  <c r="AH35" i="67"/>
  <c r="AN35" i="67"/>
  <c r="AY35" i="67"/>
  <c r="AS35" i="67"/>
  <c r="AL35" i="67"/>
  <c r="AR35" i="67"/>
  <c r="AP35" i="67"/>
  <c r="AU35" i="67"/>
  <c r="AK35" i="67"/>
  <c r="AW35" i="67"/>
  <c r="AG35" i="67"/>
  <c r="AI35" i="67"/>
  <c r="AM35" i="67"/>
  <c r="D35" i="67"/>
  <c r="X29" i="23" s="1"/>
  <c r="AD29" i="24" s="1"/>
  <c r="BB34" i="66"/>
  <c r="BA34" i="66"/>
  <c r="N34" i="66" s="1"/>
  <c r="R29" i="23"/>
  <c r="V29" i="24" s="1"/>
  <c r="AW35" i="66"/>
  <c r="AH35" i="66"/>
  <c r="AZ35" i="66"/>
  <c r="AV35" i="66"/>
  <c r="AR35" i="66"/>
  <c r="AP35" i="66"/>
  <c r="AN35" i="66"/>
  <c r="AG35" i="66"/>
  <c r="AT35" i="66"/>
  <c r="AX35" i="66"/>
  <c r="AS35" i="66"/>
  <c r="AJ35" i="66"/>
  <c r="AY35" i="66"/>
  <c r="AO35" i="66"/>
  <c r="AU35" i="66"/>
  <c r="AK35" i="66"/>
  <c r="AQ35" i="66"/>
  <c r="AL35" i="66"/>
  <c r="AM35" i="66"/>
  <c r="D35" i="66"/>
  <c r="T29" i="23" s="1"/>
  <c r="Y29" i="24" s="1"/>
  <c r="AI35" i="66"/>
  <c r="Q30" i="23"/>
  <c r="U30" i="24" s="1"/>
  <c r="A37" i="66"/>
  <c r="B36" i="66"/>
  <c r="CA34" i="66"/>
  <c r="O34" i="66" s="1"/>
  <c r="AN36" i="68"/>
  <c r="AV36" i="68"/>
  <c r="AS36" i="68"/>
  <c r="AH36" i="68"/>
  <c r="AO36" i="68"/>
  <c r="AW36" i="68"/>
  <c r="AZ36" i="68"/>
  <c r="AP36" i="68"/>
  <c r="AX36" i="68"/>
  <c r="AR36" i="68"/>
  <c r="AK36" i="68"/>
  <c r="AI36" i="68"/>
  <c r="AQ36" i="68"/>
  <c r="AY36" i="68"/>
  <c r="AJ36" i="68"/>
  <c r="AT36" i="68"/>
  <c r="AG36" i="68"/>
  <c r="EF40" i="68" s="1"/>
  <c r="AM36" i="68"/>
  <c r="AU36" i="68"/>
  <c r="AL36" i="68"/>
  <c r="G74" i="68"/>
  <c r="G80" i="68"/>
  <c r="G81" i="68"/>
  <c r="G84" i="68"/>
  <c r="G75" i="68"/>
  <c r="G78" i="68"/>
  <c r="G65" i="68"/>
  <c r="G77" i="68"/>
  <c r="G83" i="68"/>
  <c r="G71" i="68"/>
  <c r="G82" i="68"/>
  <c r="G69" i="68"/>
  <c r="G64" i="68"/>
  <c r="G63" i="68"/>
  <c r="G76" i="68"/>
  <c r="G70" i="68"/>
  <c r="G66" i="68"/>
  <c r="BB35" i="68"/>
  <c r="BA35" i="68"/>
  <c r="N35" i="68" s="1"/>
  <c r="CA35" i="68"/>
  <c r="P35" i="73"/>
  <c r="AY36" i="73"/>
  <c r="AQ36" i="73"/>
  <c r="AI36" i="73"/>
  <c r="AX36" i="73"/>
  <c r="AP36" i="73"/>
  <c r="AH36" i="73"/>
  <c r="AV36" i="73"/>
  <c r="AN36" i="73"/>
  <c r="AW36" i="73"/>
  <c r="AK36" i="73"/>
  <c r="AU36" i="73"/>
  <c r="AJ36" i="73"/>
  <c r="AT36" i="73"/>
  <c r="AG36" i="73"/>
  <c r="AS36" i="73"/>
  <c r="AO36" i="73"/>
  <c r="D36" i="73"/>
  <c r="AM36" i="73"/>
  <c r="AZ36" i="73"/>
  <c r="AL36" i="73"/>
  <c r="AR36" i="73"/>
  <c r="A38" i="73"/>
  <c r="AS32" i="23" s="1"/>
  <c r="Z32" i="25" s="1"/>
  <c r="B37" i="73"/>
  <c r="AT31" i="23" s="1"/>
  <c r="AA31" i="25" s="1"/>
  <c r="BB35" i="73"/>
  <c r="BA35" i="73"/>
  <c r="N35" i="73" s="1"/>
  <c r="CA35" i="73"/>
  <c r="O35" i="73" s="1"/>
  <c r="Q34" i="73"/>
  <c r="A37" i="72"/>
  <c r="AO31" i="23" s="1"/>
  <c r="U31" i="25" s="1"/>
  <c r="B36" i="72"/>
  <c r="AP30" i="23" s="1"/>
  <c r="V30" i="25" s="1"/>
  <c r="CA34" i="72"/>
  <c r="O34" i="72" s="1"/>
  <c r="AY35" i="72"/>
  <c r="AQ35" i="72"/>
  <c r="AI35" i="72"/>
  <c r="AX35" i="72"/>
  <c r="AP35" i="72"/>
  <c r="AH35" i="72"/>
  <c r="AV35" i="72"/>
  <c r="AN35" i="72"/>
  <c r="AZ35" i="72"/>
  <c r="AL35" i="72"/>
  <c r="AW35" i="72"/>
  <c r="AK35" i="72"/>
  <c r="AU35" i="72"/>
  <c r="AJ35" i="72"/>
  <c r="AT35" i="72"/>
  <c r="AG35" i="72"/>
  <c r="AS35" i="72"/>
  <c r="AR35" i="72"/>
  <c r="AO35" i="72"/>
  <c r="D35" i="72"/>
  <c r="AM35" i="72"/>
  <c r="BB34" i="72"/>
  <c r="BA34" i="72"/>
  <c r="N34" i="72" s="1"/>
  <c r="A38" i="71"/>
  <c r="AK32" i="23" s="1"/>
  <c r="P32" i="25" s="1"/>
  <c r="B37" i="71"/>
  <c r="AL31" i="23" s="1"/>
  <c r="Q31" i="25" s="1"/>
  <c r="CA35" i="71"/>
  <c r="O35" i="71" s="1"/>
  <c r="BB35" i="71"/>
  <c r="BA35" i="71"/>
  <c r="N35" i="71" s="1"/>
  <c r="AY36" i="71"/>
  <c r="AQ36" i="71"/>
  <c r="AI36" i="71"/>
  <c r="AX36" i="71"/>
  <c r="AP36" i="71"/>
  <c r="AH36" i="71"/>
  <c r="AV36" i="71"/>
  <c r="AN36" i="71"/>
  <c r="AT36" i="71"/>
  <c r="AL36" i="71"/>
  <c r="AR36" i="71"/>
  <c r="AO36" i="71"/>
  <c r="AM36" i="71"/>
  <c r="AK36" i="71"/>
  <c r="AZ36" i="71"/>
  <c r="AJ36" i="71"/>
  <c r="AW36" i="71"/>
  <c r="AG36" i="71"/>
  <c r="AU36" i="71"/>
  <c r="AS36" i="71"/>
  <c r="D36" i="71"/>
  <c r="AY36" i="69"/>
  <c r="AQ36" i="69"/>
  <c r="AI36" i="69"/>
  <c r="AX36" i="69"/>
  <c r="AP36" i="69"/>
  <c r="AH36" i="69"/>
  <c r="AV36" i="69"/>
  <c r="AN36" i="69"/>
  <c r="AM36" i="69"/>
  <c r="AZ36" i="69"/>
  <c r="AL36" i="69"/>
  <c r="AU36" i="69"/>
  <c r="AJ36" i="69"/>
  <c r="AT36" i="69"/>
  <c r="AG36" i="69"/>
  <c r="AS36" i="69"/>
  <c r="AR36" i="69"/>
  <c r="AW36" i="69"/>
  <c r="AO36" i="69"/>
  <c r="AK36" i="69"/>
  <c r="D36" i="69"/>
  <c r="A38" i="69"/>
  <c r="AC32" i="23" s="1"/>
  <c r="F32" i="25" s="1"/>
  <c r="B37" i="69"/>
  <c r="AD31" i="23" s="1"/>
  <c r="G31" i="25" s="1"/>
  <c r="BB35" i="69"/>
  <c r="BA35" i="69"/>
  <c r="N35" i="69" s="1"/>
  <c r="D36" i="68"/>
  <c r="CA35" i="65"/>
  <c r="O35" i="65" s="1"/>
  <c r="AT36" i="65"/>
  <c r="AL36" i="65"/>
  <c r="AS36" i="65"/>
  <c r="AK36" i="65"/>
  <c r="D36" i="65"/>
  <c r="P30" i="23" s="1"/>
  <c r="T30" i="24" s="1"/>
  <c r="AY36" i="65"/>
  <c r="AQ36" i="65"/>
  <c r="AI36" i="65"/>
  <c r="AR36" i="65"/>
  <c r="AP36" i="65"/>
  <c r="AW36" i="65"/>
  <c r="AJ36" i="65"/>
  <c r="AV36" i="65"/>
  <c r="AH36" i="65"/>
  <c r="AU36" i="65"/>
  <c r="AO36" i="65"/>
  <c r="AN36" i="65"/>
  <c r="AM36" i="65"/>
  <c r="AG36" i="65"/>
  <c r="AZ36" i="65"/>
  <c r="AX36" i="65"/>
  <c r="BB35" i="65"/>
  <c r="BA35" i="65"/>
  <c r="N35" i="65" s="1"/>
  <c r="A38" i="65"/>
  <c r="B37" i="65"/>
  <c r="N31" i="23" s="1"/>
  <c r="Q31" i="24" s="1"/>
  <c r="AY36" i="64"/>
  <c r="AQ36" i="64"/>
  <c r="AI36" i="64"/>
  <c r="AX36" i="64"/>
  <c r="AP36" i="64"/>
  <c r="AH36" i="64"/>
  <c r="AV36" i="64"/>
  <c r="AN36" i="64"/>
  <c r="AS36" i="64"/>
  <c r="AR36" i="64"/>
  <c r="AO36" i="64"/>
  <c r="D36" i="64"/>
  <c r="L30" i="23" s="1"/>
  <c r="O30" i="24" s="1"/>
  <c r="AM36" i="64"/>
  <c r="AW36" i="64"/>
  <c r="AK36" i="64"/>
  <c r="AU36" i="64"/>
  <c r="AJ36" i="64"/>
  <c r="AT36" i="64"/>
  <c r="AG36" i="64"/>
  <c r="AZ36" i="64"/>
  <c r="AL36" i="64"/>
  <c r="BB35" i="64"/>
  <c r="BA35" i="64"/>
  <c r="N35" i="64" s="1"/>
  <c r="A38" i="64"/>
  <c r="I32" i="23" s="1"/>
  <c r="K32" i="24" s="1"/>
  <c r="B37" i="64"/>
  <c r="J31" i="23" s="1"/>
  <c r="L31" i="24" s="1"/>
  <c r="AY36" i="63"/>
  <c r="AQ36" i="63"/>
  <c r="AI36" i="63"/>
  <c r="AX36" i="63"/>
  <c r="AP36" i="63"/>
  <c r="AH36" i="63"/>
  <c r="AV36" i="63"/>
  <c r="AN36" i="63"/>
  <c r="AT36" i="63"/>
  <c r="AG36" i="63"/>
  <c r="AS36" i="63"/>
  <c r="AO36" i="63"/>
  <c r="D36" i="63"/>
  <c r="H30" i="23" s="1"/>
  <c r="J30" i="24" s="1"/>
  <c r="AM36" i="63"/>
  <c r="AW36" i="63"/>
  <c r="AK36" i="63"/>
  <c r="AU36" i="63"/>
  <c r="AR36" i="63"/>
  <c r="AL36" i="63"/>
  <c r="AJ36" i="63"/>
  <c r="AZ36" i="63"/>
  <c r="A38" i="63"/>
  <c r="E32" i="23" s="1"/>
  <c r="F32" i="24" s="1"/>
  <c r="B37" i="63"/>
  <c r="F31" i="23" s="1"/>
  <c r="G31" i="24" s="1"/>
  <c r="BB35" i="63"/>
  <c r="BA35" i="63"/>
  <c r="N35" i="63" s="1"/>
  <c r="FL34" i="70" l="1"/>
  <c r="FL40" i="70" s="1"/>
  <c r="FJ34" i="70"/>
  <c r="FJ40" i="70" s="1"/>
  <c r="Y39" i="70"/>
  <c r="AB30" i="23"/>
  <c r="E30" i="25" s="1"/>
  <c r="EJ40" i="68"/>
  <c r="Q64" i="68" s="1"/>
  <c r="V42" i="68" s="1"/>
  <c r="CX36" i="68"/>
  <c r="Q37" i="68"/>
  <c r="AJ29" i="23"/>
  <c r="O29" i="25"/>
  <c r="AH30" i="23"/>
  <c r="L30" i="25" s="1"/>
  <c r="AS36" i="70"/>
  <c r="AY36" i="70"/>
  <c r="AX36" i="70"/>
  <c r="AV36" i="70"/>
  <c r="AK36" i="70"/>
  <c r="AQ36" i="70"/>
  <c r="AM36" i="70"/>
  <c r="AH36" i="70"/>
  <c r="AR36" i="70"/>
  <c r="AT36" i="70"/>
  <c r="D36" i="70"/>
  <c r="AI36" i="70"/>
  <c r="AL36" i="70"/>
  <c r="AP36" i="70"/>
  <c r="AZ36" i="70"/>
  <c r="AW36" i="70"/>
  <c r="AN36" i="70"/>
  <c r="AJ36" i="70"/>
  <c r="AU36" i="70"/>
  <c r="AG36" i="70"/>
  <c r="AO36" i="70"/>
  <c r="AG31" i="23"/>
  <c r="K31" i="25" s="1"/>
  <c r="B37" i="70"/>
  <c r="A38" i="70"/>
  <c r="BB35" i="70"/>
  <c r="BA35" i="70"/>
  <c r="N35" i="70" s="1"/>
  <c r="B31" i="25"/>
  <c r="E31" i="25"/>
  <c r="J30" i="25"/>
  <c r="AF30" i="23"/>
  <c r="BA35" i="67"/>
  <c r="N35" i="67" s="1"/>
  <c r="BB35" i="67"/>
  <c r="V30" i="23"/>
  <c r="AA30" i="24" s="1"/>
  <c r="AN36" i="67"/>
  <c r="AZ36" i="67"/>
  <c r="AX36" i="67"/>
  <c r="AL36" i="67"/>
  <c r="AU36" i="67"/>
  <c r="AQ36" i="67"/>
  <c r="AG36" i="67"/>
  <c r="AY36" i="67"/>
  <c r="AP36" i="67"/>
  <c r="AR36" i="67"/>
  <c r="AJ36" i="67"/>
  <c r="AH36" i="67"/>
  <c r="AM36" i="67"/>
  <c r="AT36" i="67"/>
  <c r="AI36" i="67"/>
  <c r="AW36" i="67"/>
  <c r="AO36" i="67"/>
  <c r="AK36" i="67"/>
  <c r="AV36" i="67"/>
  <c r="AS36" i="67"/>
  <c r="D36" i="67"/>
  <c r="X30" i="23" s="1"/>
  <c r="AD30" i="24" s="1"/>
  <c r="AV30" i="23"/>
  <c r="AD30" i="25"/>
  <c r="U31" i="23"/>
  <c r="Z31" i="24" s="1"/>
  <c r="B37" i="67"/>
  <c r="A38" i="67"/>
  <c r="AR29" i="23"/>
  <c r="Y29" i="25"/>
  <c r="AN30" i="23"/>
  <c r="T30" i="25"/>
  <c r="CA35" i="66"/>
  <c r="O35" i="66" s="1"/>
  <c r="R30" i="23"/>
  <c r="V30" i="24" s="1"/>
  <c r="AI36" i="66"/>
  <c r="AW36" i="66"/>
  <c r="AK36" i="66"/>
  <c r="AO36" i="66"/>
  <c r="AG36" i="66"/>
  <c r="AR36" i="66"/>
  <c r="AJ36" i="66"/>
  <c r="AV36" i="66"/>
  <c r="AZ36" i="66"/>
  <c r="AU36" i="66"/>
  <c r="AN36" i="66"/>
  <c r="AL36" i="66"/>
  <c r="AX36" i="66"/>
  <c r="D36" i="66"/>
  <c r="T30" i="23" s="1"/>
  <c r="Y30" i="24" s="1"/>
  <c r="AM36" i="66"/>
  <c r="AY36" i="66"/>
  <c r="AP36" i="66"/>
  <c r="AT36" i="66"/>
  <c r="AQ36" i="66"/>
  <c r="AH36" i="66"/>
  <c r="AS36" i="66"/>
  <c r="Q31" i="23"/>
  <c r="U31" i="24" s="1"/>
  <c r="B37" i="66"/>
  <c r="A38" i="66"/>
  <c r="BB35" i="66"/>
  <c r="BA35" i="66"/>
  <c r="N35" i="66" s="1"/>
  <c r="B38" i="65"/>
  <c r="N32" i="23" s="1"/>
  <c r="Q32" i="24" s="1"/>
  <c r="M32" i="23"/>
  <c r="P32" i="24" s="1"/>
  <c r="BA36" i="68"/>
  <c r="N36" i="68" s="1"/>
  <c r="N38" i="68" s="1"/>
  <c r="I45" i="68" s="1"/>
  <c r="BB36" i="68"/>
  <c r="CA36" i="68"/>
  <c r="P36" i="73"/>
  <c r="G77" i="65"/>
  <c r="G81" i="65"/>
  <c r="G66" i="65"/>
  <c r="G72" i="65"/>
  <c r="G70" i="65"/>
  <c r="G75" i="65"/>
  <c r="G85" i="65"/>
  <c r="G69" i="65"/>
  <c r="G78" i="65"/>
  <c r="G67" i="65"/>
  <c r="G84" i="65"/>
  <c r="G71" i="65"/>
  <c r="G63" i="65"/>
  <c r="G83" i="65"/>
  <c r="G82" i="65"/>
  <c r="G79" i="65"/>
  <c r="G64" i="65"/>
  <c r="G76" i="65"/>
  <c r="G65" i="65"/>
  <c r="G73" i="65"/>
  <c r="Q35" i="73"/>
  <c r="CA36" i="73"/>
  <c r="O36" i="73" s="1"/>
  <c r="AT37" i="73"/>
  <c r="AL37" i="73"/>
  <c r="AS37" i="73"/>
  <c r="AK37" i="73"/>
  <c r="D37" i="73"/>
  <c r="AY37" i="73"/>
  <c r="AQ37" i="73"/>
  <c r="AI37" i="73"/>
  <c r="AR37" i="73"/>
  <c r="AP37" i="73"/>
  <c r="AO37" i="73"/>
  <c r="AZ37" i="73"/>
  <c r="AN37" i="73"/>
  <c r="AW37" i="73"/>
  <c r="AJ37" i="73"/>
  <c r="AV37" i="73"/>
  <c r="AH37" i="73"/>
  <c r="AU37" i="73"/>
  <c r="AG37" i="73"/>
  <c r="AX37" i="73"/>
  <c r="AM37" i="73"/>
  <c r="A39" i="73"/>
  <c r="B38" i="73"/>
  <c r="AT32" i="23" s="1"/>
  <c r="AA32" i="25" s="1"/>
  <c r="BB36" i="73"/>
  <c r="BA36" i="73"/>
  <c r="N36" i="73" s="1"/>
  <c r="BB35" i="72"/>
  <c r="BA35" i="72"/>
  <c r="N35" i="72" s="1"/>
  <c r="CA35" i="72"/>
  <c r="O35" i="72" s="1"/>
  <c r="AT36" i="72"/>
  <c r="AL36" i="72"/>
  <c r="AS36" i="72"/>
  <c r="AK36" i="72"/>
  <c r="D36" i="72"/>
  <c r="AY36" i="72"/>
  <c r="AQ36" i="72"/>
  <c r="AI36" i="72"/>
  <c r="AU36" i="72"/>
  <c r="AG36" i="72"/>
  <c r="AR36" i="72"/>
  <c r="AP36" i="72"/>
  <c r="AO36" i="72"/>
  <c r="AZ36" i="72"/>
  <c r="AN36" i="72"/>
  <c r="AX36" i="72"/>
  <c r="AM36" i="72"/>
  <c r="AW36" i="72"/>
  <c r="AJ36" i="72"/>
  <c r="AV36" i="72"/>
  <c r="AH36" i="72"/>
  <c r="A38" i="72"/>
  <c r="B37" i="72"/>
  <c r="AP31" i="23" s="1"/>
  <c r="V31" i="25" s="1"/>
  <c r="BB36" i="71"/>
  <c r="BA36" i="71"/>
  <c r="N36" i="71" s="1"/>
  <c r="CA36" i="71"/>
  <c r="O36" i="71" s="1"/>
  <c r="AT37" i="71"/>
  <c r="AL37" i="71"/>
  <c r="AS37" i="71"/>
  <c r="AK37" i="71"/>
  <c r="D37" i="71"/>
  <c r="AY37" i="71"/>
  <c r="AQ37" i="71"/>
  <c r="AI37" i="71"/>
  <c r="AW37" i="71"/>
  <c r="AO37" i="71"/>
  <c r="AG37" i="71"/>
  <c r="AN37" i="71"/>
  <c r="AM37" i="71"/>
  <c r="AZ37" i="71"/>
  <c r="AJ37" i="71"/>
  <c r="AX37" i="71"/>
  <c r="AH37" i="71"/>
  <c r="AV37" i="71"/>
  <c r="AU37" i="71"/>
  <c r="AR37" i="71"/>
  <c r="AP37" i="71"/>
  <c r="A39" i="71"/>
  <c r="B38" i="71"/>
  <c r="AT37" i="69"/>
  <c r="AL37" i="69"/>
  <c r="AS37" i="69"/>
  <c r="AK37" i="69"/>
  <c r="D37" i="69"/>
  <c r="AY37" i="69"/>
  <c r="AQ37" i="69"/>
  <c r="AI37" i="69"/>
  <c r="AV37" i="69"/>
  <c r="AH37" i="69"/>
  <c r="AU37" i="69"/>
  <c r="AG37" i="69"/>
  <c r="AP37" i="69"/>
  <c r="AO37" i="69"/>
  <c r="AZ37" i="69"/>
  <c r="AN37" i="69"/>
  <c r="AX37" i="69"/>
  <c r="AM37" i="69"/>
  <c r="AW37" i="69"/>
  <c r="AR37" i="69"/>
  <c r="AJ37" i="69"/>
  <c r="A39" i="69"/>
  <c r="B38" i="69"/>
  <c r="BB36" i="69"/>
  <c r="BA36" i="69"/>
  <c r="N36" i="69" s="1"/>
  <c r="AZ38" i="65"/>
  <c r="AR38" i="65"/>
  <c r="AJ38" i="65"/>
  <c r="AY38" i="65"/>
  <c r="AQ38" i="65"/>
  <c r="AI38" i="65"/>
  <c r="AW38" i="65"/>
  <c r="AO38" i="65"/>
  <c r="AG38" i="65"/>
  <c r="AX38" i="65"/>
  <c r="AL38" i="65"/>
  <c r="AV38" i="65"/>
  <c r="AK38" i="65"/>
  <c r="AP38" i="65"/>
  <c r="D38" i="65"/>
  <c r="P32" i="23" s="1"/>
  <c r="T32" i="24" s="1"/>
  <c r="AN38" i="65"/>
  <c r="AS38" i="65"/>
  <c r="AM38" i="65"/>
  <c r="AH38" i="65"/>
  <c r="AU38" i="65"/>
  <c r="AT38" i="65"/>
  <c r="BB36" i="65"/>
  <c r="BA36" i="65"/>
  <c r="N36" i="65" s="1"/>
  <c r="AW37" i="65"/>
  <c r="AO37" i="65"/>
  <c r="AG37" i="65"/>
  <c r="AV37" i="65"/>
  <c r="AN37" i="65"/>
  <c r="AT37" i="65"/>
  <c r="AL37" i="65"/>
  <c r="AR37" i="65"/>
  <c r="D37" i="65"/>
  <c r="P31" i="23" s="1"/>
  <c r="T31" i="24" s="1"/>
  <c r="AQ37" i="65"/>
  <c r="AX37" i="65"/>
  <c r="AJ37" i="65"/>
  <c r="AU37" i="65"/>
  <c r="AI37" i="65"/>
  <c r="AK37" i="65"/>
  <c r="AH37" i="65"/>
  <c r="AZ37" i="65"/>
  <c r="AY37" i="65"/>
  <c r="AS37" i="65"/>
  <c r="AP37" i="65"/>
  <c r="AM37" i="65"/>
  <c r="A39" i="64"/>
  <c r="B38" i="64"/>
  <c r="J32" i="23" s="1"/>
  <c r="L32" i="24" s="1"/>
  <c r="D37" i="64"/>
  <c r="L31" i="23" s="1"/>
  <c r="O31" i="24" s="1"/>
  <c r="BB36" i="64"/>
  <c r="BA36" i="64"/>
  <c r="N36" i="64" s="1"/>
  <c r="AT37" i="63"/>
  <c r="AL37" i="63"/>
  <c r="AS37" i="63"/>
  <c r="AK37" i="63"/>
  <c r="D37" i="63"/>
  <c r="H31" i="23" s="1"/>
  <c r="J31" i="24" s="1"/>
  <c r="AY37" i="63"/>
  <c r="AQ37" i="63"/>
  <c r="AI37" i="63"/>
  <c r="AO37" i="63"/>
  <c r="AZ37" i="63"/>
  <c r="AN37" i="63"/>
  <c r="AW37" i="63"/>
  <c r="AJ37" i="63"/>
  <c r="AV37" i="63"/>
  <c r="AH37" i="63"/>
  <c r="AR37" i="63"/>
  <c r="AX37" i="63"/>
  <c r="AU37" i="63"/>
  <c r="AP37" i="63"/>
  <c r="AM37" i="63"/>
  <c r="AG37" i="63"/>
  <c r="B38" i="63"/>
  <c r="F32" i="23" s="1"/>
  <c r="G32" i="24" s="1"/>
  <c r="BB36" i="63"/>
  <c r="BA36" i="63"/>
  <c r="N36" i="63" s="1"/>
  <c r="EF40" i="65" l="1"/>
  <c r="FH37" i="68"/>
  <c r="FG37" i="68"/>
  <c r="FF37" i="68"/>
  <c r="FE37" i="68"/>
  <c r="EZ40" i="68"/>
  <c r="EY40" i="68"/>
  <c r="EX40" i="68"/>
  <c r="EW40" i="68"/>
  <c r="F11" i="50"/>
  <c r="F42" i="50" s="1"/>
  <c r="F45" i="50" s="1"/>
  <c r="V44" i="68"/>
  <c r="V51" i="68" s="1"/>
  <c r="V45" i="69" s="1"/>
  <c r="V46" i="69" s="1"/>
  <c r="V53" i="69" s="1"/>
  <c r="V44" i="70" s="1"/>
  <c r="V45" i="70" s="1"/>
  <c r="V52" i="70" s="1"/>
  <c r="V45" i="71" s="1"/>
  <c r="V46" i="71" s="1"/>
  <c r="V53" i="71" s="1"/>
  <c r="V44" i="72" s="1"/>
  <c r="V45" i="72" s="1"/>
  <c r="V52" i="72" s="1"/>
  <c r="V45" i="73" s="1"/>
  <c r="B39" i="73"/>
  <c r="AT33" i="23" s="1"/>
  <c r="AA33" i="25" s="1"/>
  <c r="AS33" i="23"/>
  <c r="Z33" i="25" s="1"/>
  <c r="B38" i="72"/>
  <c r="AP32" i="23" s="1"/>
  <c r="V32" i="25" s="1"/>
  <c r="AO32" i="23"/>
  <c r="U32" i="25" s="1"/>
  <c r="B39" i="71"/>
  <c r="AK33" i="23"/>
  <c r="P33" i="25" s="1"/>
  <c r="O30" i="25"/>
  <c r="AJ30" i="23"/>
  <c r="B38" i="70"/>
  <c r="AG32" i="23"/>
  <c r="K32" i="25" s="1"/>
  <c r="AH31" i="23"/>
  <c r="L31" i="25" s="1"/>
  <c r="G70" i="70"/>
  <c r="G77" i="70"/>
  <c r="G84" i="70"/>
  <c r="AW37" i="70"/>
  <c r="AM37" i="70"/>
  <c r="AX37" i="70"/>
  <c r="G64" i="70"/>
  <c r="G72" i="70"/>
  <c r="G85" i="70"/>
  <c r="AO37" i="70"/>
  <c r="AU37" i="70"/>
  <c r="G73" i="70"/>
  <c r="G67" i="70"/>
  <c r="G81" i="70"/>
  <c r="AY37" i="70"/>
  <c r="AG37" i="70"/>
  <c r="AK37" i="70"/>
  <c r="G76" i="70"/>
  <c r="G71" i="70"/>
  <c r="G79" i="70"/>
  <c r="AQ37" i="70"/>
  <c r="G63" i="70"/>
  <c r="G75" i="70"/>
  <c r="AI37" i="70"/>
  <c r="AZ37" i="70"/>
  <c r="AS37" i="70"/>
  <c r="AH37" i="70"/>
  <c r="G82" i="70"/>
  <c r="G83" i="70"/>
  <c r="G69" i="70"/>
  <c r="AT37" i="70"/>
  <c r="AR37" i="70"/>
  <c r="AP37" i="70"/>
  <c r="G78" i="70"/>
  <c r="G65" i="70"/>
  <c r="G66" i="70"/>
  <c r="AV37" i="70"/>
  <c r="AL37" i="70"/>
  <c r="AJ37" i="70"/>
  <c r="D37" i="70"/>
  <c r="AN37" i="70"/>
  <c r="BB36" i="70"/>
  <c r="BA36" i="70"/>
  <c r="N36" i="70" s="1"/>
  <c r="B39" i="69"/>
  <c r="AD33" i="23" s="1"/>
  <c r="G33" i="25" s="1"/>
  <c r="AC33" i="23"/>
  <c r="F33" i="25" s="1"/>
  <c r="J31" i="25"/>
  <c r="AF31" i="23"/>
  <c r="AD31" i="25"/>
  <c r="AV31" i="23"/>
  <c r="AD32" i="23"/>
  <c r="G32" i="25" s="1"/>
  <c r="AL32" i="23"/>
  <c r="Q32" i="25" s="1"/>
  <c r="AN31" i="23"/>
  <c r="T31" i="25"/>
  <c r="U32" i="23"/>
  <c r="Z32" i="24" s="1"/>
  <c r="A39" i="67"/>
  <c r="B38" i="67"/>
  <c r="BA36" i="67"/>
  <c r="N36" i="67" s="1"/>
  <c r="BB36" i="67"/>
  <c r="V31" i="23"/>
  <c r="AA31" i="24" s="1"/>
  <c r="AN37" i="67"/>
  <c r="AP37" i="67"/>
  <c r="D37" i="67"/>
  <c r="X31" i="23" s="1"/>
  <c r="AD31" i="24" s="1"/>
  <c r="AY37" i="67"/>
  <c r="AT37" i="67"/>
  <c r="AK37" i="67"/>
  <c r="AQ37" i="67"/>
  <c r="AU37" i="67"/>
  <c r="AI37" i="67"/>
  <c r="AX37" i="67"/>
  <c r="AG37" i="67"/>
  <c r="AM37" i="67"/>
  <c r="AO37" i="67"/>
  <c r="AV37" i="67"/>
  <c r="AH37" i="67"/>
  <c r="AZ37" i="67"/>
  <c r="AS37" i="67"/>
  <c r="AW37" i="67"/>
  <c r="AJ37" i="67"/>
  <c r="AL37" i="67"/>
  <c r="AR37" i="67"/>
  <c r="CA36" i="67"/>
  <c r="O36" i="67" s="1"/>
  <c r="AR30" i="23"/>
  <c r="Y30" i="25"/>
  <c r="Q32" i="23"/>
  <c r="U32" i="24" s="1"/>
  <c r="B38" i="66"/>
  <c r="CA36" i="66"/>
  <c r="O36" i="66" s="1"/>
  <c r="R31" i="23"/>
  <c r="V31" i="24" s="1"/>
  <c r="AG37" i="66"/>
  <c r="AP37" i="66"/>
  <c r="AZ37" i="66"/>
  <c r="AN37" i="66"/>
  <c r="AV37" i="66"/>
  <c r="AH37" i="66"/>
  <c r="AO37" i="66"/>
  <c r="AR37" i="66"/>
  <c r="AS37" i="66"/>
  <c r="AY37" i="66"/>
  <c r="AX37" i="66"/>
  <c r="AJ37" i="66"/>
  <c r="AT37" i="66"/>
  <c r="AK37" i="66"/>
  <c r="AQ37" i="66"/>
  <c r="AM37" i="66"/>
  <c r="AW37" i="66"/>
  <c r="AL37" i="66"/>
  <c r="D37" i="66"/>
  <c r="T31" i="23" s="1"/>
  <c r="Y31" i="24" s="1"/>
  <c r="AI37" i="66"/>
  <c r="AU37" i="66"/>
  <c r="BB36" i="66"/>
  <c r="BA36" i="66"/>
  <c r="N36" i="66" s="1"/>
  <c r="B39" i="64"/>
  <c r="J33" i="23" s="1"/>
  <c r="L33" i="24" s="1"/>
  <c r="I33" i="23"/>
  <c r="K33" i="24" s="1"/>
  <c r="G82" i="73"/>
  <c r="G85" i="68"/>
  <c r="G86" i="65"/>
  <c r="P37" i="73"/>
  <c r="Q36" i="73"/>
  <c r="G64" i="64"/>
  <c r="G82" i="64"/>
  <c r="G73" i="64"/>
  <c r="G66" i="64"/>
  <c r="G67" i="64"/>
  <c r="G83" i="64"/>
  <c r="G68" i="64"/>
  <c r="G72" i="64"/>
  <c r="G84" i="64"/>
  <c r="G77" i="64"/>
  <c r="G86" i="64"/>
  <c r="G78" i="64"/>
  <c r="G79" i="64"/>
  <c r="G71" i="64"/>
  <c r="G85" i="64"/>
  <c r="G65" i="64"/>
  <c r="G80" i="64"/>
  <c r="G74" i="64"/>
  <c r="G76" i="64"/>
  <c r="G70" i="64"/>
  <c r="G77" i="63"/>
  <c r="G84" i="63"/>
  <c r="G85" i="63"/>
  <c r="G64" i="63"/>
  <c r="G78" i="63"/>
  <c r="G65" i="63"/>
  <c r="G69" i="63"/>
  <c r="G66" i="63"/>
  <c r="G72" i="63"/>
  <c r="G71" i="63"/>
  <c r="G63" i="63"/>
  <c r="G76" i="63"/>
  <c r="G70" i="63"/>
  <c r="G82" i="63"/>
  <c r="G81" i="63"/>
  <c r="G83" i="63"/>
  <c r="G79" i="63"/>
  <c r="G75" i="63"/>
  <c r="G67" i="63"/>
  <c r="G73" i="63"/>
  <c r="G74" i="73"/>
  <c r="G86" i="73"/>
  <c r="G78" i="73"/>
  <c r="G77" i="73"/>
  <c r="G84" i="73"/>
  <c r="G67" i="73"/>
  <c r="G83" i="73"/>
  <c r="G79" i="73"/>
  <c r="G70" i="73"/>
  <c r="G64" i="73"/>
  <c r="G65" i="73"/>
  <c r="G85" i="73"/>
  <c r="G76" i="73"/>
  <c r="G72" i="73"/>
  <c r="G66" i="73"/>
  <c r="G71" i="73"/>
  <c r="G80" i="73"/>
  <c r="G73" i="73"/>
  <c r="G68" i="73"/>
  <c r="G83" i="72"/>
  <c r="G82" i="72"/>
  <c r="G65" i="72"/>
  <c r="G72" i="72"/>
  <c r="G71" i="72"/>
  <c r="G77" i="72"/>
  <c r="G81" i="72"/>
  <c r="G67" i="72"/>
  <c r="G76" i="72"/>
  <c r="G63" i="72"/>
  <c r="G70" i="72"/>
  <c r="G69" i="72"/>
  <c r="G78" i="72"/>
  <c r="G66" i="72"/>
  <c r="G84" i="72"/>
  <c r="G79" i="72"/>
  <c r="G85" i="72"/>
  <c r="G75" i="72"/>
  <c r="G73" i="72"/>
  <c r="G64" i="72"/>
  <c r="G65" i="69"/>
  <c r="G67" i="69"/>
  <c r="G85" i="69"/>
  <c r="G79" i="69"/>
  <c r="G74" i="69"/>
  <c r="G80" i="69"/>
  <c r="G84" i="69"/>
  <c r="G86" i="69"/>
  <c r="G72" i="69"/>
  <c r="G77" i="69"/>
  <c r="G70" i="69"/>
  <c r="G83" i="69"/>
  <c r="G78" i="69"/>
  <c r="G71" i="69"/>
  <c r="G66" i="69"/>
  <c r="G73" i="69"/>
  <c r="G64" i="69"/>
  <c r="G82" i="69"/>
  <c r="G68" i="69"/>
  <c r="G76" i="69"/>
  <c r="G65" i="71"/>
  <c r="G80" i="71"/>
  <c r="G83" i="71"/>
  <c r="G71" i="71"/>
  <c r="G72" i="71"/>
  <c r="G74" i="71"/>
  <c r="G73" i="71"/>
  <c r="G68" i="71"/>
  <c r="G85" i="71"/>
  <c r="G84" i="71"/>
  <c r="G82" i="71"/>
  <c r="G66" i="71"/>
  <c r="G77" i="71"/>
  <c r="G67" i="71"/>
  <c r="G76" i="71"/>
  <c r="G86" i="71"/>
  <c r="G70" i="71"/>
  <c r="G64" i="71"/>
  <c r="G79" i="71"/>
  <c r="G78" i="71"/>
  <c r="BB37" i="73"/>
  <c r="BA37" i="73"/>
  <c r="N37" i="73" s="1"/>
  <c r="AW38" i="73"/>
  <c r="AO38" i="73"/>
  <c r="AG38" i="73"/>
  <c r="AV38" i="73"/>
  <c r="AN38" i="73"/>
  <c r="AT38" i="73"/>
  <c r="AL38" i="73"/>
  <c r="AR38" i="73"/>
  <c r="D38" i="73"/>
  <c r="AQ38" i="73"/>
  <c r="AP38" i="73"/>
  <c r="AZ38" i="73"/>
  <c r="AM38" i="73"/>
  <c r="AX38" i="73"/>
  <c r="AJ38" i="73"/>
  <c r="AU38" i="73"/>
  <c r="AI38" i="73"/>
  <c r="AS38" i="73"/>
  <c r="AH38" i="73"/>
  <c r="AY38" i="73"/>
  <c r="AK38" i="73"/>
  <c r="CA37" i="73"/>
  <c r="O37" i="73" s="1"/>
  <c r="AZ39" i="73"/>
  <c r="AR39" i="73"/>
  <c r="AJ39" i="73"/>
  <c r="AY39" i="73"/>
  <c r="AQ39" i="73"/>
  <c r="AI39" i="73"/>
  <c r="AW39" i="73"/>
  <c r="AO39" i="73"/>
  <c r="AG39" i="73"/>
  <c r="AX39" i="73"/>
  <c r="AL39" i="73"/>
  <c r="AV39" i="73"/>
  <c r="AK39" i="73"/>
  <c r="AU39" i="73"/>
  <c r="AH39" i="73"/>
  <c r="AT39" i="73"/>
  <c r="AP39" i="73"/>
  <c r="D39" i="73"/>
  <c r="AN39" i="73"/>
  <c r="AM39" i="73"/>
  <c r="AS39" i="73"/>
  <c r="AW37" i="72"/>
  <c r="AO37" i="72"/>
  <c r="AG37" i="72"/>
  <c r="AV37" i="72"/>
  <c r="AN37" i="72"/>
  <c r="AT37" i="72"/>
  <c r="AL37" i="72"/>
  <c r="AS37" i="72"/>
  <c r="AH37" i="72"/>
  <c r="AR37" i="72"/>
  <c r="D37" i="72"/>
  <c r="AQ37" i="72"/>
  <c r="AP37" i="72"/>
  <c r="AZ37" i="72"/>
  <c r="AM37" i="72"/>
  <c r="AY37" i="72"/>
  <c r="AK37" i="72"/>
  <c r="AX37" i="72"/>
  <c r="AJ37" i="72"/>
  <c r="AU37" i="72"/>
  <c r="AI37" i="72"/>
  <c r="BB36" i="72"/>
  <c r="BA36" i="72"/>
  <c r="N36" i="72" s="1"/>
  <c r="CA36" i="72"/>
  <c r="O36" i="72" s="1"/>
  <c r="AZ38" i="72"/>
  <c r="AR38" i="72"/>
  <c r="AJ38" i="72"/>
  <c r="AY38" i="72"/>
  <c r="AQ38" i="72"/>
  <c r="AI38" i="72"/>
  <c r="AW38" i="72"/>
  <c r="AO38" i="72"/>
  <c r="AG38" i="72"/>
  <c r="AM38" i="72"/>
  <c r="AX38" i="72"/>
  <c r="AL38" i="72"/>
  <c r="AV38" i="72"/>
  <c r="AK38" i="72"/>
  <c r="AU38" i="72"/>
  <c r="AH38" i="72"/>
  <c r="AT38" i="72"/>
  <c r="AS38" i="72"/>
  <c r="AP38" i="72"/>
  <c r="D38" i="72"/>
  <c r="AN38" i="72"/>
  <c r="AY38" i="71"/>
  <c r="AQ38" i="71"/>
  <c r="AI38" i="71"/>
  <c r="AW38" i="71"/>
  <c r="AO38" i="71"/>
  <c r="AG38" i="71"/>
  <c r="AV38" i="71"/>
  <c r="AN38" i="71"/>
  <c r="AT38" i="71"/>
  <c r="AL38" i="71"/>
  <c r="AZ38" i="71"/>
  <c r="AR38" i="71"/>
  <c r="AJ38" i="71"/>
  <c r="AS38" i="71"/>
  <c r="AP38" i="71"/>
  <c r="AM38" i="71"/>
  <c r="AK38" i="71"/>
  <c r="AH38" i="71"/>
  <c r="D38" i="71"/>
  <c r="AX38" i="71"/>
  <c r="AU38" i="71"/>
  <c r="CA37" i="71"/>
  <c r="O37" i="71" s="1"/>
  <c r="AT39" i="71"/>
  <c r="AL39" i="71"/>
  <c r="AZ39" i="71"/>
  <c r="AR39" i="71"/>
  <c r="AJ39" i="71"/>
  <c r="AY39" i="71"/>
  <c r="AQ39" i="71"/>
  <c r="AI39" i="71"/>
  <c r="AW39" i="71"/>
  <c r="AO39" i="71"/>
  <c r="AG39" i="71"/>
  <c r="AU39" i="71"/>
  <c r="AM39" i="71"/>
  <c r="AP39" i="71"/>
  <c r="AN39" i="71"/>
  <c r="AK39" i="71"/>
  <c r="AH39" i="71"/>
  <c r="D39" i="71"/>
  <c r="AX39" i="71"/>
  <c r="AV39" i="71"/>
  <c r="AS39" i="71"/>
  <c r="BB37" i="71"/>
  <c r="BA37" i="71"/>
  <c r="N37" i="71" s="1"/>
  <c r="AW38" i="69"/>
  <c r="AO38" i="69"/>
  <c r="AG38" i="69"/>
  <c r="AV38" i="69"/>
  <c r="AN38" i="69"/>
  <c r="AT38" i="69"/>
  <c r="AL38" i="69"/>
  <c r="AU38" i="69"/>
  <c r="AI38" i="69"/>
  <c r="AS38" i="69"/>
  <c r="AH38" i="69"/>
  <c r="AQ38" i="69"/>
  <c r="AP38" i="69"/>
  <c r="AZ38" i="69"/>
  <c r="AM38" i="69"/>
  <c r="AY38" i="69"/>
  <c r="AK38" i="69"/>
  <c r="AX38" i="69"/>
  <c r="AR38" i="69"/>
  <c r="AJ38" i="69"/>
  <c r="D38" i="69"/>
  <c r="AT39" i="69"/>
  <c r="AL39" i="69"/>
  <c r="AZ39" i="69"/>
  <c r="AR39" i="69"/>
  <c r="AJ39" i="69"/>
  <c r="AY39" i="69"/>
  <c r="AQ39" i="69"/>
  <c r="AI39" i="69"/>
  <c r="AW39" i="69"/>
  <c r="AO39" i="69"/>
  <c r="AG39" i="69"/>
  <c r="AP39" i="69"/>
  <c r="AN39" i="69"/>
  <c r="AK39" i="69"/>
  <c r="AX39" i="69"/>
  <c r="AH39" i="69"/>
  <c r="AV39" i="69"/>
  <c r="AU39" i="69"/>
  <c r="AS39" i="69"/>
  <c r="AM39" i="69"/>
  <c r="D39" i="69"/>
  <c r="BB37" i="69"/>
  <c r="BA37" i="69"/>
  <c r="N37" i="69" s="1"/>
  <c r="BB37" i="65"/>
  <c r="BA37" i="65"/>
  <c r="N37" i="65" s="1"/>
  <c r="BB38" i="65"/>
  <c r="BA38" i="65"/>
  <c r="O37" i="64"/>
  <c r="N37" i="64"/>
  <c r="D38" i="64"/>
  <c r="L32" i="23" s="1"/>
  <c r="O32" i="24" s="1"/>
  <c r="D39" i="64"/>
  <c r="L33" i="23" s="1"/>
  <c r="O33" i="24" s="1"/>
  <c r="AW38" i="63"/>
  <c r="AO38" i="63"/>
  <c r="AG38" i="63"/>
  <c r="EF40" i="63" s="1"/>
  <c r="AV38" i="63"/>
  <c r="AN38" i="63"/>
  <c r="AT38" i="63"/>
  <c r="AL38" i="63"/>
  <c r="AP38" i="63"/>
  <c r="AZ38" i="63"/>
  <c r="AM38" i="63"/>
  <c r="AY38" i="63"/>
  <c r="AK38" i="63"/>
  <c r="AX38" i="63"/>
  <c r="AJ38" i="63"/>
  <c r="AU38" i="63"/>
  <c r="AI38" i="63"/>
  <c r="AR38" i="63"/>
  <c r="D38" i="63"/>
  <c r="AH38" i="63"/>
  <c r="AS38" i="63"/>
  <c r="AQ38" i="63"/>
  <c r="BB37" i="63"/>
  <c r="BA37" i="63"/>
  <c r="N37" i="63" s="1"/>
  <c r="EF40" i="64" l="1"/>
  <c r="EF40" i="69"/>
  <c r="EF40" i="72"/>
  <c r="EF40" i="73"/>
  <c r="Q66" i="73" s="1"/>
  <c r="V44" i="73" s="1"/>
  <c r="F16" i="50" s="1"/>
  <c r="F53" i="50" s="1"/>
  <c r="F54" i="50" s="1"/>
  <c r="EF40" i="71"/>
  <c r="P70" i="68"/>
  <c r="AL33" i="23"/>
  <c r="Q33" i="25" s="1"/>
  <c r="G86" i="70"/>
  <c r="BA37" i="70"/>
  <c r="N37" i="70" s="1"/>
  <c r="BB37" i="70"/>
  <c r="O31" i="25"/>
  <c r="AJ31" i="23"/>
  <c r="CA37" i="70"/>
  <c r="O37" i="70" s="1"/>
  <c r="AM38" i="70"/>
  <c r="AN38" i="70"/>
  <c r="AX38" i="70"/>
  <c r="AH32" i="23"/>
  <c r="L32" i="25" s="1"/>
  <c r="AW38" i="70"/>
  <c r="AK38" i="70"/>
  <c r="AO38" i="70"/>
  <c r="AS38" i="70"/>
  <c r="AV38" i="70"/>
  <c r="AY38" i="70"/>
  <c r="AG38" i="70"/>
  <c r="EF40" i="70" s="1"/>
  <c r="AH38" i="70"/>
  <c r="AT38" i="70"/>
  <c r="AZ38" i="70"/>
  <c r="AQ38" i="70"/>
  <c r="AP38" i="70"/>
  <c r="AL38" i="70"/>
  <c r="AR38" i="70"/>
  <c r="AI38" i="70"/>
  <c r="D38" i="70"/>
  <c r="AJ38" i="70"/>
  <c r="AU38" i="70"/>
  <c r="BA38" i="68"/>
  <c r="CA37" i="67"/>
  <c r="O37" i="67" s="1"/>
  <c r="B39" i="67"/>
  <c r="U33" i="23"/>
  <c r="Z33" i="24" s="1"/>
  <c r="T33" i="25"/>
  <c r="AN33" i="23"/>
  <c r="AD33" i="25"/>
  <c r="AV33" i="23"/>
  <c r="Y32" i="25"/>
  <c r="AR32" i="23"/>
  <c r="AF33" i="23"/>
  <c r="J33" i="25"/>
  <c r="J32" i="25"/>
  <c r="AF32" i="23"/>
  <c r="T32" i="25"/>
  <c r="AN32" i="23"/>
  <c r="Y31" i="25"/>
  <c r="AR31" i="23"/>
  <c r="AV32" i="23"/>
  <c r="AD32" i="25"/>
  <c r="BA37" i="67"/>
  <c r="N37" i="67" s="1"/>
  <c r="BB37" i="67"/>
  <c r="V32" i="23"/>
  <c r="AA32" i="24" s="1"/>
  <c r="G83" i="67"/>
  <c r="G77" i="67"/>
  <c r="G64" i="67"/>
  <c r="AP38" i="67"/>
  <c r="G85" i="67"/>
  <c r="G73" i="67"/>
  <c r="G74" i="67"/>
  <c r="AW38" i="67"/>
  <c r="G80" i="67"/>
  <c r="G71" i="67"/>
  <c r="AO38" i="67"/>
  <c r="AK38" i="67"/>
  <c r="AH38" i="67"/>
  <c r="AQ38" i="67"/>
  <c r="AN38" i="67"/>
  <c r="AU38" i="67"/>
  <c r="G72" i="67"/>
  <c r="G78" i="67"/>
  <c r="AG38" i="67"/>
  <c r="AT38" i="67"/>
  <c r="AM38" i="67"/>
  <c r="AI38" i="67"/>
  <c r="AS38" i="67"/>
  <c r="G79" i="67"/>
  <c r="G86" i="67"/>
  <c r="AL38" i="67"/>
  <c r="AX38" i="67"/>
  <c r="G70" i="67"/>
  <c r="G84" i="67"/>
  <c r="AV38" i="67"/>
  <c r="AZ38" i="67"/>
  <c r="AJ38" i="67"/>
  <c r="AR38" i="67"/>
  <c r="D38" i="67"/>
  <c r="X32" i="23" s="1"/>
  <c r="AD32" i="24" s="1"/>
  <c r="G68" i="67"/>
  <c r="G82" i="67"/>
  <c r="G66" i="67"/>
  <c r="AY38" i="67"/>
  <c r="G67" i="67"/>
  <c r="G76" i="67"/>
  <c r="G65" i="67"/>
  <c r="CA37" i="66"/>
  <c r="O37" i="66" s="1"/>
  <c r="BA37" i="66"/>
  <c r="N37" i="66" s="1"/>
  <c r="BB37" i="66"/>
  <c r="Q33" i="23"/>
  <c r="U33" i="24" s="1"/>
  <c r="R32" i="23"/>
  <c r="V32" i="24" s="1"/>
  <c r="G79" i="66"/>
  <c r="G67" i="66"/>
  <c r="AO38" i="66"/>
  <c r="AK38" i="66"/>
  <c r="AR38" i="66"/>
  <c r="AV38" i="66"/>
  <c r="AH38" i="66"/>
  <c r="G65" i="66"/>
  <c r="G72" i="66"/>
  <c r="AG38" i="66"/>
  <c r="AU38" i="66"/>
  <c r="T32" i="23"/>
  <c r="Y32" i="24" s="1"/>
  <c r="AS38" i="66"/>
  <c r="AL38" i="66"/>
  <c r="G77" i="66"/>
  <c r="G71" i="66"/>
  <c r="AZ38" i="66"/>
  <c r="AI38" i="66"/>
  <c r="AT38" i="66"/>
  <c r="AQ38" i="66"/>
  <c r="AN38" i="66"/>
  <c r="G82" i="66"/>
  <c r="G80" i="66"/>
  <c r="AM38" i="66"/>
  <c r="AX38" i="66"/>
  <c r="G73" i="66"/>
  <c r="G64" i="66"/>
  <c r="G70" i="66"/>
  <c r="G78" i="66"/>
  <c r="G68" i="66"/>
  <c r="G84" i="66"/>
  <c r="AJ38" i="66"/>
  <c r="AP38" i="66"/>
  <c r="G66" i="66"/>
  <c r="G86" i="66"/>
  <c r="G76" i="66"/>
  <c r="G74" i="66"/>
  <c r="G83" i="66"/>
  <c r="G85" i="66"/>
  <c r="AW38" i="66"/>
  <c r="AY38" i="66"/>
  <c r="AF39" i="63"/>
  <c r="H32" i="23"/>
  <c r="J32" i="24" s="1"/>
  <c r="G87" i="73"/>
  <c r="G86" i="72"/>
  <c r="G87" i="71"/>
  <c r="G87" i="69"/>
  <c r="BA38" i="63"/>
  <c r="N38" i="63" s="1"/>
  <c r="G87" i="64"/>
  <c r="G86" i="63"/>
  <c r="P39" i="73"/>
  <c r="P38" i="73"/>
  <c r="CA37" i="72"/>
  <c r="O37" i="72" s="1"/>
  <c r="BB39" i="73"/>
  <c r="BA39" i="73"/>
  <c r="CA38" i="73"/>
  <c r="O38" i="73" s="1"/>
  <c r="CA39" i="73"/>
  <c r="Q37" i="73"/>
  <c r="BB38" i="73"/>
  <c r="BA38" i="73"/>
  <c r="N38" i="73" s="1"/>
  <c r="BB38" i="72"/>
  <c r="BA38" i="72"/>
  <c r="BB37" i="72"/>
  <c r="BA37" i="72"/>
  <c r="N37" i="72" s="1"/>
  <c r="CA38" i="72"/>
  <c r="BB38" i="71"/>
  <c r="BA38" i="71"/>
  <c r="N38" i="71" s="1"/>
  <c r="BB39" i="71"/>
  <c r="BA39" i="71"/>
  <c r="BB38" i="69"/>
  <c r="BA38" i="69"/>
  <c r="N38" i="69" s="1"/>
  <c r="BB39" i="69"/>
  <c r="BA39" i="69"/>
  <c r="N38" i="65"/>
  <c r="BA39" i="65"/>
  <c r="O38" i="64"/>
  <c r="N38" i="64"/>
  <c r="BB38" i="63"/>
  <c r="V46" i="73" l="1"/>
  <c r="V53" i="73" s="1"/>
  <c r="BB38" i="70"/>
  <c r="BA38" i="70"/>
  <c r="AJ32" i="23"/>
  <c r="O32" i="25"/>
  <c r="CA38" i="70"/>
  <c r="O38" i="70" s="1"/>
  <c r="BA38" i="67"/>
  <c r="BB38" i="67"/>
  <c r="G87" i="67"/>
  <c r="V33" i="23"/>
  <c r="AA33" i="24" s="1"/>
  <c r="D39" i="67"/>
  <c r="X33" i="23" s="1"/>
  <c r="AD33" i="24" s="1"/>
  <c r="AW39" i="67"/>
  <c r="AT39" i="67"/>
  <c r="AX39" i="67"/>
  <c r="AM39" i="67"/>
  <c r="AZ39" i="67"/>
  <c r="AK39" i="67"/>
  <c r="AI39" i="67"/>
  <c r="AO39" i="67"/>
  <c r="AN39" i="67"/>
  <c r="AL39" i="67"/>
  <c r="AG39" i="67"/>
  <c r="EF40" i="67" s="1"/>
  <c r="AY39" i="67"/>
  <c r="AP39" i="67"/>
  <c r="AJ39" i="67"/>
  <c r="AS39" i="67"/>
  <c r="AU39" i="67"/>
  <c r="AV39" i="67"/>
  <c r="AH39" i="67"/>
  <c r="AQ39" i="67"/>
  <c r="AR39" i="67"/>
  <c r="BB38" i="66"/>
  <c r="BA38" i="66"/>
  <c r="R33" i="23"/>
  <c r="V33" i="24" s="1"/>
  <c r="AW39" i="66"/>
  <c r="AU39" i="66"/>
  <c r="AN39" i="66"/>
  <c r="AX39" i="66"/>
  <c r="AJ39" i="66"/>
  <c r="AM39" i="66"/>
  <c r="AO39" i="66"/>
  <c r="AI39" i="66"/>
  <c r="AP39" i="66"/>
  <c r="AT39" i="66"/>
  <c r="AZ39" i="66"/>
  <c r="AY39" i="66"/>
  <c r="AG39" i="66"/>
  <c r="EF40" i="66" s="1"/>
  <c r="AS39" i="66"/>
  <c r="AK39" i="66"/>
  <c r="AL39" i="66"/>
  <c r="AR39" i="66"/>
  <c r="AQ39" i="66"/>
  <c r="T33" i="23"/>
  <c r="Y33" i="24" s="1"/>
  <c r="AV39" i="66"/>
  <c r="AH39" i="66"/>
  <c r="G87" i="66"/>
  <c r="CA38" i="66"/>
  <c r="O38" i="66" s="1"/>
  <c r="P40" i="73"/>
  <c r="Q38" i="73"/>
  <c r="O39" i="73"/>
  <c r="O40" i="73" s="1"/>
  <c r="CA40" i="73"/>
  <c r="N39" i="73"/>
  <c r="BA40" i="73"/>
  <c r="O38" i="72"/>
  <c r="N38" i="72"/>
  <c r="BA39" i="72"/>
  <c r="N39" i="71"/>
  <c r="BA40" i="71"/>
  <c r="N39" i="69"/>
  <c r="BA40" i="69"/>
  <c r="N39" i="65"/>
  <c r="I46" i="65" s="1"/>
  <c r="N39" i="64"/>
  <c r="BA40" i="64"/>
  <c r="BA39" i="63"/>
  <c r="N38" i="70" l="1"/>
  <c r="N39" i="70" s="1"/>
  <c r="I46" i="70" s="1"/>
  <c r="BA39" i="70"/>
  <c r="BB39" i="67"/>
  <c r="BA39" i="67"/>
  <c r="N39" i="67" s="1"/>
  <c r="N38" i="67"/>
  <c r="CA39" i="66"/>
  <c r="O39" i="66" s="1"/>
  <c r="BB39" i="66"/>
  <c r="BA39" i="66"/>
  <c r="N39" i="66" s="1"/>
  <c r="N38" i="66"/>
  <c r="I50" i="65"/>
  <c r="E8" i="50" s="1"/>
  <c r="E33" i="50" s="1"/>
  <c r="D8" i="50"/>
  <c r="D33" i="50" s="1"/>
  <c r="I49" i="68"/>
  <c r="E11" i="50" s="1"/>
  <c r="E42" i="50" s="1"/>
  <c r="D11" i="50"/>
  <c r="D42" i="50" s="1"/>
  <c r="Q39" i="73"/>
  <c r="N40" i="73"/>
  <c r="I47" i="73" s="1"/>
  <c r="N39" i="72"/>
  <c r="I46" i="72" s="1"/>
  <c r="N40" i="71"/>
  <c r="I47" i="71" s="1"/>
  <c r="N40" i="69"/>
  <c r="I47" i="69" s="1"/>
  <c r="N40" i="64"/>
  <c r="I47" i="64" s="1"/>
  <c r="N39" i="63"/>
  <c r="I46" i="63" s="1"/>
  <c r="Q40" i="73" l="1"/>
  <c r="FG40" i="73"/>
  <c r="FF40" i="73"/>
  <c r="FE40" i="73"/>
  <c r="P74" i="73" s="1"/>
  <c r="V43" i="73" s="1"/>
  <c r="FH40" i="73"/>
  <c r="I50" i="63"/>
  <c r="E6" i="50" s="1"/>
  <c r="E25" i="50" s="1"/>
  <c r="N40" i="67"/>
  <c r="BA40" i="66"/>
  <c r="N40" i="66"/>
  <c r="I47" i="66" s="1"/>
  <c r="BA40" i="67"/>
  <c r="I50" i="70"/>
  <c r="E13" i="50" s="1"/>
  <c r="E44" i="50" s="1"/>
  <c r="D13" i="50"/>
  <c r="D44" i="50" s="1"/>
  <c r="D6" i="50"/>
  <c r="D25" i="50" s="1"/>
  <c r="I51" i="64"/>
  <c r="E7" i="50" s="1"/>
  <c r="E26" i="50" s="1"/>
  <c r="D7" i="50"/>
  <c r="D26" i="50" s="1"/>
  <c r="I51" i="71"/>
  <c r="E14" i="50" s="1"/>
  <c r="E51" i="50" s="1"/>
  <c r="D14" i="50"/>
  <c r="D51" i="50" s="1"/>
  <c r="I50" i="72"/>
  <c r="E15" i="50" s="1"/>
  <c r="E52" i="50" s="1"/>
  <c r="D15" i="50"/>
  <c r="D52" i="50" s="1"/>
  <c r="I51" i="73"/>
  <c r="E16" i="50" s="1"/>
  <c r="E53" i="50" s="1"/>
  <c r="D16" i="50"/>
  <c r="D53" i="50" s="1"/>
  <c r="AV35" i="23"/>
  <c r="D74" i="41"/>
  <c r="AM35" i="23" s="1"/>
  <c r="I18" i="1" s="1"/>
  <c r="D73" i="41"/>
  <c r="G14" i="1" s="1"/>
  <c r="D72" i="41"/>
  <c r="G13" i="1" s="1"/>
  <c r="D70" i="41"/>
  <c r="AE37" i="23" s="1"/>
  <c r="I17" i="1" s="1"/>
  <c r="D69" i="41"/>
  <c r="D68" i="41"/>
  <c r="D67" i="41"/>
  <c r="D66" i="41"/>
  <c r="Y40" i="41"/>
  <c r="Y11" i="41"/>
  <c r="Y13" i="41"/>
  <c r="Y14" i="41"/>
  <c r="Y21" i="41"/>
  <c r="Y24" i="41"/>
  <c r="Y29" i="41"/>
  <c r="Y30" i="41"/>
  <c r="Y31" i="41"/>
  <c r="Y32" i="41"/>
  <c r="Y34" i="41"/>
  <c r="Y35" i="41"/>
  <c r="Y36" i="41"/>
  <c r="Y37" i="41"/>
  <c r="Y39" i="41"/>
  <c r="FL24" i="41" l="1"/>
  <c r="FJ24" i="41"/>
  <c r="FL32" i="41"/>
  <c r="FJ32" i="41"/>
  <c r="FL11" i="41"/>
  <c r="FJ11" i="41"/>
  <c r="FL31" i="41"/>
  <c r="FJ31" i="41"/>
  <c r="FL30" i="41"/>
  <c r="FJ30" i="41"/>
  <c r="FL29" i="41"/>
  <c r="FJ29" i="41"/>
  <c r="FL36" i="41"/>
  <c r="FJ36" i="41"/>
  <c r="FL21" i="41"/>
  <c r="FJ21" i="41"/>
  <c r="FJ35" i="41"/>
  <c r="FL35" i="41"/>
  <c r="FL14" i="41"/>
  <c r="FJ14" i="41"/>
  <c r="FL34" i="41"/>
  <c r="FJ34" i="41"/>
  <c r="FL13" i="41"/>
  <c r="FJ13" i="41"/>
  <c r="I47" i="67"/>
  <c r="I51" i="67" s="1"/>
  <c r="E10" i="50" s="1"/>
  <c r="E35" i="50" s="1"/>
  <c r="I51" i="66"/>
  <c r="E9" i="50" s="1"/>
  <c r="E34" i="50" s="1"/>
  <c r="D9" i="50"/>
  <c r="D34" i="50" s="1"/>
  <c r="U36" i="24"/>
  <c r="U37" i="25"/>
  <c r="Q39" i="24"/>
  <c r="Q40" i="25"/>
  <c r="U38" i="24"/>
  <c r="U39" i="25"/>
  <c r="D77" i="41"/>
  <c r="I63" i="1"/>
  <c r="I39" i="1" s="1"/>
  <c r="I20" i="1" s="1"/>
  <c r="W37" i="23"/>
  <c r="I13" i="1"/>
  <c r="W35" i="23"/>
  <c r="D40" i="23" s="1"/>
  <c r="I14" i="1"/>
  <c r="AE35" i="23"/>
  <c r="I65" i="1"/>
  <c r="I41" i="1" s="1"/>
  <c r="I22" i="1" s="1"/>
  <c r="O37" i="23"/>
  <c r="E54" i="50"/>
  <c r="D54" i="50"/>
  <c r="H46" i="41"/>
  <c r="I46" i="41" s="1"/>
  <c r="H45" i="41"/>
  <c r="I45" i="41" s="1"/>
  <c r="H48" i="41"/>
  <c r="A87" i="41"/>
  <c r="O35" i="23" s="1"/>
  <c r="D10" i="50" l="1"/>
  <c r="D35" i="50" s="1"/>
  <c r="D36" i="50" s="1"/>
  <c r="E36" i="50"/>
  <c r="I42" i="72"/>
  <c r="I45" i="72" s="1"/>
  <c r="C15" i="50" s="1"/>
  <c r="C52" i="50" s="1"/>
  <c r="I43" i="67"/>
  <c r="I46" i="67" s="1"/>
  <c r="C10" i="50" s="1"/>
  <c r="C35" i="50" s="1"/>
  <c r="I43" i="73"/>
  <c r="I46" i="73" s="1"/>
  <c r="C16" i="50" s="1"/>
  <c r="C53" i="50" s="1"/>
  <c r="I42" i="70"/>
  <c r="I45" i="70" s="1"/>
  <c r="C13" i="50" s="1"/>
  <c r="C44" i="50" s="1"/>
  <c r="I43" i="64"/>
  <c r="I46" i="64" s="1"/>
  <c r="C7" i="50" s="1"/>
  <c r="C26" i="50" s="1"/>
  <c r="I42" i="65"/>
  <c r="I45" i="65" s="1"/>
  <c r="C8" i="50" s="1"/>
  <c r="C33" i="50" s="1"/>
  <c r="I43" i="66"/>
  <c r="I46" i="66" s="1"/>
  <c r="C9" i="50" s="1"/>
  <c r="C34" i="50" s="1"/>
  <c r="I43" i="69"/>
  <c r="I46" i="69" s="1"/>
  <c r="C12" i="50" s="1"/>
  <c r="C43" i="50" s="1"/>
  <c r="I42" i="63"/>
  <c r="I45" i="63" s="1"/>
  <c r="C6" i="50" s="1"/>
  <c r="C25" i="50" s="1"/>
  <c r="I43" i="71"/>
  <c r="I46" i="71" s="1"/>
  <c r="C14" i="50" s="1"/>
  <c r="C51" i="50" s="1"/>
  <c r="I41" i="68"/>
  <c r="I44" i="68" s="1"/>
  <c r="C11" i="50" s="1"/>
  <c r="C42" i="50" s="1"/>
  <c r="D78" i="41"/>
  <c r="G12" i="1" s="1"/>
  <c r="O38" i="24"/>
  <c r="O39" i="25"/>
  <c r="H37" i="24"/>
  <c r="H38" i="25"/>
  <c r="O37" i="24"/>
  <c r="O38" i="25"/>
  <c r="H38" i="24"/>
  <c r="H39" i="25"/>
  <c r="T37" i="24"/>
  <c r="T38" i="25"/>
  <c r="CB11" i="41"/>
  <c r="CX11" i="41" s="1"/>
  <c r="CC11" i="41"/>
  <c r="CB12" i="41"/>
  <c r="CC12" i="41"/>
  <c r="CB13" i="41"/>
  <c r="CC13" i="41"/>
  <c r="CB14" i="41"/>
  <c r="CC14" i="41"/>
  <c r="CB15" i="41"/>
  <c r="CX15" i="41" s="1"/>
  <c r="CC15" i="41"/>
  <c r="CB16" i="41"/>
  <c r="CC16" i="41"/>
  <c r="CB17" i="41"/>
  <c r="CC17" i="41"/>
  <c r="CB18" i="41"/>
  <c r="CC18" i="41"/>
  <c r="CB19" i="41"/>
  <c r="CX19" i="41" s="1"/>
  <c r="CC19" i="41"/>
  <c r="CB20" i="41"/>
  <c r="CC20" i="41"/>
  <c r="CB21" i="41"/>
  <c r="CC21" i="41"/>
  <c r="CB22" i="41"/>
  <c r="CC22" i="41"/>
  <c r="CB23" i="41"/>
  <c r="CC23" i="41"/>
  <c r="CB24" i="41"/>
  <c r="CC24" i="41"/>
  <c r="CB25" i="41"/>
  <c r="CC25" i="41"/>
  <c r="CB26" i="41"/>
  <c r="CC26" i="41"/>
  <c r="CB27" i="41"/>
  <c r="CX27" i="41" s="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C10" i="41"/>
  <c r="CB10" i="41"/>
  <c r="CX10" i="41" s="1"/>
  <c r="H44" i="41" l="1"/>
  <c r="B34" i="23" s="1"/>
  <c r="CX38" i="41"/>
  <c r="CX18" i="41"/>
  <c r="CX14" i="41"/>
  <c r="CX17" i="41"/>
  <c r="CX13" i="41"/>
  <c r="CX12" i="41"/>
  <c r="CX20" i="41"/>
  <c r="CX16" i="41"/>
  <c r="CX34" i="41"/>
  <c r="CX33" i="41"/>
  <c r="CX32" i="41"/>
  <c r="CX37" i="41"/>
  <c r="CX40" i="41"/>
  <c r="CX25" i="41"/>
  <c r="CX26" i="41"/>
  <c r="CX36" i="41"/>
  <c r="CX29" i="41"/>
  <c r="CX28" i="41"/>
  <c r="CX35" i="41"/>
  <c r="CX39" i="41"/>
  <c r="CX30" i="41"/>
  <c r="CX23" i="41"/>
  <c r="CX31" i="41"/>
  <c r="CX24" i="41"/>
  <c r="CX22" i="41"/>
  <c r="CX21" i="41"/>
  <c r="C45" i="50"/>
  <c r="C54" i="50"/>
  <c r="C36" i="50"/>
  <c r="DG33" i="41"/>
  <c r="DG29" i="41"/>
  <c r="DG25" i="41"/>
  <c r="DG21" i="41"/>
  <c r="DG17" i="41"/>
  <c r="DG13" i="41"/>
  <c r="DD41" i="41"/>
  <c r="DG38" i="41"/>
  <c r="DG34" i="41"/>
  <c r="DG30" i="41"/>
  <c r="DG26" i="41"/>
  <c r="DG22" i="41"/>
  <c r="DG19" i="41"/>
  <c r="DG18" i="41"/>
  <c r="DG14" i="41"/>
  <c r="DG11" i="41"/>
  <c r="DG27" i="41"/>
  <c r="DG39" i="41"/>
  <c r="DG35" i="41"/>
  <c r="DG31" i="41"/>
  <c r="DG23" i="41"/>
  <c r="DG15" i="41"/>
  <c r="DG37" i="41"/>
  <c r="DG20" i="41"/>
  <c r="DG12" i="41"/>
  <c r="DG10" i="41"/>
  <c r="DG40" i="41"/>
  <c r="DG36" i="41"/>
  <c r="DG32" i="41"/>
  <c r="DG28" i="41"/>
  <c r="DG24" i="41"/>
  <c r="DG16" i="41"/>
  <c r="CZ41" i="41"/>
  <c r="DB41" i="41"/>
  <c r="DE41" i="41"/>
  <c r="DA41" i="41"/>
  <c r="DC41" i="41"/>
  <c r="CY41" i="41"/>
  <c r="DF41" i="41"/>
  <c r="BD11" i="41"/>
  <c r="BE11" i="41"/>
  <c r="BF11" i="41"/>
  <c r="BD12" i="41"/>
  <c r="BE12" i="41"/>
  <c r="BF12" i="41"/>
  <c r="BD13" i="41"/>
  <c r="BE13" i="41"/>
  <c r="BF13" i="41"/>
  <c r="BD14" i="41"/>
  <c r="BE14" i="41"/>
  <c r="BF14" i="41"/>
  <c r="BD15" i="41"/>
  <c r="BE15" i="41"/>
  <c r="BF15"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F10" i="41"/>
  <c r="BE10" i="41"/>
  <c r="BD10" i="41"/>
  <c r="BC10" i="41"/>
  <c r="BC11" i="41"/>
  <c r="BC12" i="41"/>
  <c r="BC13" i="41"/>
  <c r="BC14"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AD11" i="41"/>
  <c r="AD12" i="41"/>
  <c r="AD13" i="41"/>
  <c r="AD14" i="41"/>
  <c r="AD1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10" i="41"/>
  <c r="AA11" i="41"/>
  <c r="AB11" i="41"/>
  <c r="AA12" i="41"/>
  <c r="AB12" i="41"/>
  <c r="AA13" i="41"/>
  <c r="AB13" i="41"/>
  <c r="AA14" i="41"/>
  <c r="AB14" i="41"/>
  <c r="AA15" i="41"/>
  <c r="AB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B10" i="41"/>
  <c r="AE11" i="41"/>
  <c r="AE12" i="41"/>
  <c r="AE13" i="41"/>
  <c r="AE14" i="41"/>
  <c r="AE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10" i="41"/>
  <c r="AC10" i="41"/>
  <c r="AC11" i="41"/>
  <c r="AC12" i="41"/>
  <c r="AC13" i="41"/>
  <c r="AC14"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FR22" i="41" l="1"/>
  <c r="FP22" i="41"/>
  <c r="FR20" i="41"/>
  <c r="FP20" i="41"/>
  <c r="FR23" i="41"/>
  <c r="FP23" i="41"/>
  <c r="FR19" i="41"/>
  <c r="FP19" i="41"/>
  <c r="FR15" i="41"/>
  <c r="FP15" i="41"/>
  <c r="FP21" i="41"/>
  <c r="FR21" i="41"/>
  <c r="FR18" i="41"/>
  <c r="FP18" i="41"/>
  <c r="FR17" i="41"/>
  <c r="FP17" i="41"/>
  <c r="FR16" i="41"/>
  <c r="FP16" i="41"/>
  <c r="FR25" i="41"/>
  <c r="FP25" i="41"/>
  <c r="FR33" i="41"/>
  <c r="FP33" i="41"/>
  <c r="FP26" i="41"/>
  <c r="FR26" i="41"/>
  <c r="C34" i="24"/>
  <c r="D39" i="23"/>
  <c r="D41" i="23" s="1"/>
  <c r="E56" i="50"/>
  <c r="E55" i="50"/>
  <c r="E38" i="50"/>
  <c r="E37" i="50"/>
  <c r="BC41" i="41"/>
  <c r="AA41" i="41"/>
  <c r="BE41" i="41"/>
  <c r="AC41" i="41"/>
  <c r="J49" i="1" s="1"/>
  <c r="DG41" i="41"/>
  <c r="BD41" i="41"/>
  <c r="BF41" i="41"/>
  <c r="AD41" i="41"/>
  <c r="J30" i="1" l="1"/>
  <c r="J8" i="44"/>
  <c r="FR41" i="41"/>
  <c r="FP41" i="41"/>
  <c r="J57" i="1"/>
  <c r="J19" i="44" s="1"/>
  <c r="J4" i="61"/>
  <c r="CA10" i="65" l="1"/>
  <c r="O10" i="65" s="1"/>
  <c r="CA13" i="64"/>
  <c r="O13" i="64" s="1"/>
  <c r="CA15" i="63"/>
  <c r="O15" i="63" s="1"/>
  <c r="CA20" i="64"/>
  <c r="O20" i="64" s="1"/>
  <c r="CA22" i="63"/>
  <c r="O22" i="63" s="1"/>
  <c r="CA29" i="63"/>
  <c r="O29" i="63" s="1"/>
  <c r="CA34" i="64"/>
  <c r="O34" i="64" s="1"/>
  <c r="CA36" i="63"/>
  <c r="O36" i="63" s="1"/>
  <c r="CA34" i="67"/>
  <c r="O34" i="67" s="1"/>
  <c r="CA9" i="63"/>
  <c r="CA11" i="65"/>
  <c r="O11" i="65" s="1"/>
  <c r="CA14" i="64"/>
  <c r="O14" i="64" s="1"/>
  <c r="CA16" i="63"/>
  <c r="O16" i="63" s="1"/>
  <c r="CA21" i="64"/>
  <c r="O21" i="64" s="1"/>
  <c r="CA23" i="63"/>
  <c r="O23" i="63" s="1"/>
  <c r="CA30" i="63"/>
  <c r="O30" i="63" s="1"/>
  <c r="CA35" i="64"/>
  <c r="O35" i="64" s="1"/>
  <c r="CA37" i="63"/>
  <c r="O37" i="63" s="1"/>
  <c r="CA9" i="65"/>
  <c r="CA12" i="64"/>
  <c r="O12" i="64" s="1"/>
  <c r="CA14" i="63"/>
  <c r="O14" i="63" s="1"/>
  <c r="CA19" i="64"/>
  <c r="O19" i="64" s="1"/>
  <c r="CA21" i="63"/>
  <c r="O21" i="63" s="1"/>
  <c r="CA28" i="63"/>
  <c r="O28" i="63" s="1"/>
  <c r="CA33" i="64"/>
  <c r="O33" i="64" s="1"/>
  <c r="CA35" i="63"/>
  <c r="O35" i="63" s="1"/>
  <c r="CA10" i="63"/>
  <c r="O10" i="63" s="1"/>
  <c r="CA12" i="65"/>
  <c r="O12" i="65" s="1"/>
  <c r="CA15" i="64"/>
  <c r="O15" i="64" s="1"/>
  <c r="CA17" i="63"/>
  <c r="O17" i="63" s="1"/>
  <c r="CA22" i="64"/>
  <c r="O22" i="64" s="1"/>
  <c r="CA24" i="63"/>
  <c r="O24" i="63" s="1"/>
  <c r="CA31" i="63"/>
  <c r="O31" i="63" s="1"/>
  <c r="CA36" i="64"/>
  <c r="O36" i="64" s="1"/>
  <c r="CA38" i="63"/>
  <c r="O38" i="63" s="1"/>
  <c r="CA11" i="64"/>
  <c r="CA13" i="63"/>
  <c r="O13" i="63" s="1"/>
  <c r="CA18" i="64"/>
  <c r="O18" i="64" s="1"/>
  <c r="CA20" i="63"/>
  <c r="O20" i="63" s="1"/>
  <c r="CA27" i="63"/>
  <c r="O27" i="63" s="1"/>
  <c r="CA32" i="64"/>
  <c r="O32" i="64" s="1"/>
  <c r="CA34" i="63"/>
  <c r="O34" i="63" s="1"/>
  <c r="O39" i="64"/>
  <c r="CA24" i="66"/>
  <c r="O24" i="66" s="1"/>
  <c r="AE41" i="41"/>
  <c r="J50" i="1" s="1"/>
  <c r="E39" i="43"/>
  <c r="A32" i="43"/>
  <c r="J31" i="1" l="1"/>
  <c r="J9" i="44"/>
  <c r="P9" i="70"/>
  <c r="Q9" i="70" s="1"/>
  <c r="P9" i="64"/>
  <c r="Q9" i="64" s="1"/>
  <c r="P12" i="68"/>
  <c r="Q12" i="68" s="1"/>
  <c r="P13" i="65"/>
  <c r="Q13" i="65" s="1"/>
  <c r="P15" i="67"/>
  <c r="Q15" i="67" s="1"/>
  <c r="P16" i="64"/>
  <c r="Q16" i="64" s="1"/>
  <c r="P20" i="65"/>
  <c r="Q20" i="65" s="1"/>
  <c r="P22" i="67"/>
  <c r="Q22" i="67" s="1"/>
  <c r="P26" i="68"/>
  <c r="Q26" i="68" s="1"/>
  <c r="P27" i="65"/>
  <c r="Q27" i="65" s="1"/>
  <c r="P28" i="71"/>
  <c r="Q28" i="71" s="1"/>
  <c r="P30" i="64"/>
  <c r="Q30" i="64" s="1"/>
  <c r="P29" i="67"/>
  <c r="Q29" i="67" s="1"/>
  <c r="P33" i="68"/>
  <c r="Q33" i="68" s="1"/>
  <c r="P33" i="69"/>
  <c r="Q33" i="69" s="1"/>
  <c r="P34" i="65"/>
  <c r="Q34" i="65" s="1"/>
  <c r="P36" i="67"/>
  <c r="Q36" i="67" s="1"/>
  <c r="P37" i="64"/>
  <c r="Q37" i="64" s="1"/>
  <c r="P34" i="69"/>
  <c r="Q34" i="69" s="1"/>
  <c r="P13" i="71"/>
  <c r="Q13" i="71" s="1"/>
  <c r="P15" i="70"/>
  <c r="Q15" i="70" s="1"/>
  <c r="P25" i="68"/>
  <c r="Q25" i="68" s="1"/>
  <c r="P29" i="64"/>
  <c r="Q29" i="64" s="1"/>
  <c r="CA32" i="65"/>
  <c r="O32" i="65" s="1"/>
  <c r="CA22" i="69"/>
  <c r="O22" i="69" s="1"/>
  <c r="CA28" i="72"/>
  <c r="O28" i="72" s="1"/>
  <c r="CA24" i="72"/>
  <c r="O24" i="72" s="1"/>
  <c r="CA14" i="68"/>
  <c r="O14" i="68" s="1"/>
  <c r="CA32" i="70"/>
  <c r="O32" i="70" s="1"/>
  <c r="CA18" i="68"/>
  <c r="O18" i="68" s="1"/>
  <c r="CA10" i="71"/>
  <c r="O10" i="71" s="1"/>
  <c r="Z9" i="71" s="1"/>
  <c r="Z40" i="71" s="1"/>
  <c r="CA21" i="72"/>
  <c r="O21" i="72" s="1"/>
  <c r="CA31" i="72"/>
  <c r="O31" i="72" s="1"/>
  <c r="CA18" i="71"/>
  <c r="O18" i="71" s="1"/>
  <c r="CA30" i="71"/>
  <c r="O30" i="71" s="1"/>
  <c r="CA11" i="68"/>
  <c r="O11" i="68" s="1"/>
  <c r="CA15" i="65"/>
  <c r="O15" i="65" s="1"/>
  <c r="P20" i="69"/>
  <c r="Q20" i="69" s="1"/>
  <c r="P19" i="72"/>
  <c r="Q19" i="72" s="1"/>
  <c r="P22" i="71"/>
  <c r="Q22" i="71" s="1"/>
  <c r="P31" i="70"/>
  <c r="Q31" i="70" s="1"/>
  <c r="P33" i="72"/>
  <c r="Q33" i="72" s="1"/>
  <c r="P38" i="70"/>
  <c r="Q38" i="70" s="1"/>
  <c r="P10" i="64"/>
  <c r="Q10" i="64" s="1"/>
  <c r="P12" i="63"/>
  <c r="Q12" i="63" s="1"/>
  <c r="P17" i="64"/>
  <c r="Q17" i="64" s="1"/>
  <c r="P19" i="66"/>
  <c r="Q19" i="66" s="1"/>
  <c r="P19" i="63"/>
  <c r="Q19" i="63" s="1"/>
  <c r="P18" i="72"/>
  <c r="Q18" i="72" s="1"/>
  <c r="P23" i="70"/>
  <c r="Q23" i="70" s="1"/>
  <c r="P26" i="63"/>
  <c r="Q26" i="63" s="1"/>
  <c r="P27" i="68"/>
  <c r="Q27" i="68" s="1"/>
  <c r="P28" i="65"/>
  <c r="Q28" i="65" s="1"/>
  <c r="P30" i="67"/>
  <c r="Q30" i="67" s="1"/>
  <c r="P31" i="64"/>
  <c r="Q31" i="64" s="1"/>
  <c r="P32" i="72"/>
  <c r="Q32" i="72" s="1"/>
  <c r="P33" i="63"/>
  <c r="Q33" i="63" s="1"/>
  <c r="P34" i="68"/>
  <c r="Q34" i="68" s="1"/>
  <c r="P37" i="67"/>
  <c r="Q37" i="67" s="1"/>
  <c r="P38" i="64"/>
  <c r="Q38" i="64" s="1"/>
  <c r="CA17" i="69"/>
  <c r="O17" i="69" s="1"/>
  <c r="CA21" i="70"/>
  <c r="O21" i="70" s="1"/>
  <c r="CA21" i="67"/>
  <c r="O21" i="67" s="1"/>
  <c r="CA17" i="66"/>
  <c r="O17" i="66" s="1"/>
  <c r="CA18" i="69"/>
  <c r="O18" i="69" s="1"/>
  <c r="CA39" i="67"/>
  <c r="O39" i="67" s="1"/>
  <c r="CA20" i="72"/>
  <c r="O20" i="72" s="1"/>
  <c r="CA19" i="65"/>
  <c r="O19" i="65" s="1"/>
  <c r="CA20" i="67"/>
  <c r="O20" i="67" s="1"/>
  <c r="CA9" i="69"/>
  <c r="O9" i="69" s="1"/>
  <c r="CA16" i="72"/>
  <c r="O16" i="72" s="1"/>
  <c r="CA25" i="69"/>
  <c r="O25" i="69" s="1"/>
  <c r="CA15" i="68"/>
  <c r="O15" i="68" s="1"/>
  <c r="CA24" i="67"/>
  <c r="O24" i="67" s="1"/>
  <c r="CA33" i="65"/>
  <c r="O33" i="65" s="1"/>
  <c r="CA26" i="65"/>
  <c r="O26" i="65" s="1"/>
  <c r="CA35" i="70"/>
  <c r="O35" i="70" s="1"/>
  <c r="CA25" i="65"/>
  <c r="O25" i="65" s="1"/>
  <c r="CA28" i="66"/>
  <c r="O28" i="66" s="1"/>
  <c r="CA23" i="65"/>
  <c r="O23" i="65" s="1"/>
  <c r="CA38" i="67"/>
  <c r="O38" i="67" s="1"/>
  <c r="CA32" i="68"/>
  <c r="O32" i="68" s="1"/>
  <c r="CA32" i="67"/>
  <c r="O32" i="67" s="1"/>
  <c r="CA38" i="71"/>
  <c r="O38" i="71" s="1"/>
  <c r="CA20" i="70"/>
  <c r="O20" i="70" s="1"/>
  <c r="CA22" i="65"/>
  <c r="O22" i="65" s="1"/>
  <c r="P10" i="69"/>
  <c r="P17" i="69"/>
  <c r="P24" i="69"/>
  <c r="P31" i="69"/>
  <c r="P38" i="69"/>
  <c r="CA22" i="72"/>
  <c r="O22" i="72" s="1"/>
  <c r="CA32" i="71"/>
  <c r="O32" i="71" s="1"/>
  <c r="CA28" i="69"/>
  <c r="O28" i="69" s="1"/>
  <c r="CA36" i="69"/>
  <c r="O36" i="69" s="1"/>
  <c r="CA23" i="69"/>
  <c r="O23" i="69" s="1"/>
  <c r="CA29" i="69"/>
  <c r="O29" i="69" s="1"/>
  <c r="CA23" i="66"/>
  <c r="O23" i="66" s="1"/>
  <c r="CA21" i="66"/>
  <c r="O21" i="66" s="1"/>
  <c r="CA16" i="66"/>
  <c r="O16" i="66" s="1"/>
  <c r="CA14" i="66"/>
  <c r="O14" i="66" s="1"/>
  <c r="CA20" i="66"/>
  <c r="O20" i="66" s="1"/>
  <c r="CA27" i="72"/>
  <c r="O27" i="72" s="1"/>
  <c r="CA11" i="71"/>
  <c r="O11" i="71" s="1"/>
  <c r="CA27" i="70"/>
  <c r="O27" i="70" s="1"/>
  <c r="CA29" i="70"/>
  <c r="O29" i="70" s="1"/>
  <c r="CA28" i="70"/>
  <c r="O28" i="70" s="1"/>
  <c r="CA22" i="70"/>
  <c r="O22" i="70" s="1"/>
  <c r="CA19" i="70"/>
  <c r="O19" i="70" s="1"/>
  <c r="CA38" i="69"/>
  <c r="O38" i="69" s="1"/>
  <c r="CA39" i="69"/>
  <c r="O39" i="69" s="1"/>
  <c r="CA21" i="69"/>
  <c r="O21" i="69" s="1"/>
  <c r="CA14" i="69"/>
  <c r="O14" i="69" s="1"/>
  <c r="CA31" i="68"/>
  <c r="O31" i="68" s="1"/>
  <c r="CA14" i="67"/>
  <c r="O14" i="67" s="1"/>
  <c r="CA27" i="71"/>
  <c r="O27" i="71" s="1"/>
  <c r="CA9" i="71"/>
  <c r="O9" i="71" s="1"/>
  <c r="CA12" i="71"/>
  <c r="O12" i="71" s="1"/>
  <c r="CA29" i="68"/>
  <c r="O29" i="68" s="1"/>
  <c r="CA35" i="69"/>
  <c r="O35" i="69" s="1"/>
  <c r="CA36" i="65"/>
  <c r="O36" i="65" s="1"/>
  <c r="CA26" i="67"/>
  <c r="O26" i="67" s="1"/>
  <c r="CA19" i="67"/>
  <c r="O19" i="67" s="1"/>
  <c r="CA31" i="69"/>
  <c r="O31" i="69" s="1"/>
  <c r="CA38" i="65"/>
  <c r="O38" i="65" s="1"/>
  <c r="CA39" i="71"/>
  <c r="O39" i="71" s="1"/>
  <c r="CA9" i="68"/>
  <c r="CA30" i="69"/>
  <c r="O30" i="69" s="1"/>
  <c r="CA10" i="72"/>
  <c r="O10" i="72" s="1"/>
  <c r="CA10" i="69"/>
  <c r="O10" i="69" s="1"/>
  <c r="CA10" i="68"/>
  <c r="O10" i="68" s="1"/>
  <c r="CA15" i="66"/>
  <c r="O15" i="66" s="1"/>
  <c r="CA29" i="72"/>
  <c r="O29" i="72" s="1"/>
  <c r="CA24" i="71"/>
  <c r="O24" i="71" s="1"/>
  <c r="CA17" i="71"/>
  <c r="O17" i="71" s="1"/>
  <c r="CA37" i="65"/>
  <c r="O37" i="65" s="1"/>
  <c r="CA31" i="71"/>
  <c r="O31" i="71" s="1"/>
  <c r="CA16" i="68"/>
  <c r="O16" i="68" s="1"/>
  <c r="CA25" i="70"/>
  <c r="O25" i="70" s="1"/>
  <c r="CA9" i="72"/>
  <c r="O9" i="72" s="1"/>
  <c r="CA33" i="71"/>
  <c r="O33" i="71" s="1"/>
  <c r="CA31" i="65"/>
  <c r="O31" i="65" s="1"/>
  <c r="CA22" i="66"/>
  <c r="O22" i="66" s="1"/>
  <c r="CA17" i="68"/>
  <c r="O17" i="68" s="1"/>
  <c r="CA13" i="66"/>
  <c r="O13" i="66" s="1"/>
  <c r="CA35" i="67"/>
  <c r="O35" i="67" s="1"/>
  <c r="CA18" i="65"/>
  <c r="O18" i="65" s="1"/>
  <c r="CA31" i="67"/>
  <c r="O31" i="67" s="1"/>
  <c r="CA29" i="66"/>
  <c r="O29" i="66" s="1"/>
  <c r="CA16" i="65"/>
  <c r="O16" i="65" s="1"/>
  <c r="CA25" i="67"/>
  <c r="O25" i="67" s="1"/>
  <c r="CA16" i="69"/>
  <c r="O16" i="69" s="1"/>
  <c r="CA10" i="66"/>
  <c r="O10" i="66" s="1"/>
  <c r="CA23" i="71"/>
  <c r="O23" i="71" s="1"/>
  <c r="CA23" i="72"/>
  <c r="O23" i="72" s="1"/>
  <c r="CA9" i="66"/>
  <c r="O9" i="66" s="1"/>
  <c r="CA17" i="72"/>
  <c r="O17" i="72" s="1"/>
  <c r="CA37" i="69"/>
  <c r="O37" i="69" s="1"/>
  <c r="CA14" i="72"/>
  <c r="O14" i="72" s="1"/>
  <c r="CA32" i="69"/>
  <c r="O32" i="69" s="1"/>
  <c r="CA12" i="67"/>
  <c r="O12" i="67" s="1"/>
  <c r="CA27" i="67"/>
  <c r="O27" i="67" s="1"/>
  <c r="CA29" i="65"/>
  <c r="O29" i="65" s="1"/>
  <c r="CA34" i="70"/>
  <c r="O34" i="70" s="1"/>
  <c r="CA15" i="72"/>
  <c r="O15" i="72" s="1"/>
  <c r="CA28" i="67"/>
  <c r="O28" i="67" s="1"/>
  <c r="CA34" i="71"/>
  <c r="O34" i="71" s="1"/>
  <c r="O36" i="68"/>
  <c r="CA15" i="69"/>
  <c r="O15" i="69" s="1"/>
  <c r="CA28" i="68"/>
  <c r="O28" i="68" s="1"/>
  <c r="CA30" i="68"/>
  <c r="O30" i="68" s="1"/>
  <c r="CA24" i="69"/>
  <c r="O24" i="69" s="1"/>
  <c r="CA30" i="65"/>
  <c r="O30" i="65" s="1"/>
  <c r="CA24" i="65"/>
  <c r="O24" i="65" s="1"/>
  <c r="CA17" i="67"/>
  <c r="O17" i="67" s="1"/>
  <c r="CA26" i="70"/>
  <c r="O26" i="70" s="1"/>
  <c r="CA17" i="65"/>
  <c r="O17" i="65" s="1"/>
  <c r="P19" i="65"/>
  <c r="P26" i="65"/>
  <c r="P33" i="65"/>
  <c r="P36" i="72"/>
  <c r="Q36" i="72" s="1"/>
  <c r="P38" i="72"/>
  <c r="Q38" i="72" s="1"/>
  <c r="P34" i="72"/>
  <c r="Q34" i="72" s="1"/>
  <c r="P37" i="72"/>
  <c r="Q37" i="72" s="1"/>
  <c r="P31" i="66"/>
  <c r="Q31" i="66" s="1"/>
  <c r="P38" i="66"/>
  <c r="Q38" i="66" s="1"/>
  <c r="P34" i="66"/>
  <c r="Q34" i="66" s="1"/>
  <c r="P11" i="66"/>
  <c r="Q11" i="66" s="1"/>
  <c r="P25" i="66"/>
  <c r="Q25" i="66" s="1"/>
  <c r="P39" i="66"/>
  <c r="Q39" i="66" s="1"/>
  <c r="P36" i="66"/>
  <c r="Q36" i="66" s="1"/>
  <c r="P18" i="66"/>
  <c r="Q18" i="66" s="1"/>
  <c r="P37" i="66"/>
  <c r="Q37" i="66" s="1"/>
  <c r="P35" i="66"/>
  <c r="Q35" i="66" s="1"/>
  <c r="P30" i="66"/>
  <c r="Q30" i="66" s="1"/>
  <c r="P32" i="66"/>
  <c r="Q32" i="66" s="1"/>
  <c r="P33" i="66"/>
  <c r="Q33" i="66" s="1"/>
  <c r="CA25" i="71"/>
  <c r="O25" i="71" s="1"/>
  <c r="CA30" i="72"/>
  <c r="O30" i="72" s="1"/>
  <c r="O35" i="68"/>
  <c r="CA13" i="67"/>
  <c r="O13" i="67" s="1"/>
  <c r="CA20" i="71"/>
  <c r="O20" i="71" s="1"/>
  <c r="P30" i="65"/>
  <c r="P37" i="65"/>
  <c r="CA11" i="69"/>
  <c r="O11" i="69" s="1"/>
  <c r="CA33" i="70"/>
  <c r="O33" i="70" s="1"/>
  <c r="CA36" i="70"/>
  <c r="O36" i="70" s="1"/>
  <c r="CA18" i="67"/>
  <c r="O18" i="67" s="1"/>
  <c r="CA33" i="67"/>
  <c r="O33" i="67" s="1"/>
  <c r="CA16" i="71"/>
  <c r="O16" i="71" s="1"/>
  <c r="CA19" i="71"/>
  <c r="O19" i="71" s="1"/>
  <c r="CA27" i="66"/>
  <c r="O27" i="66" s="1"/>
  <c r="CA40" i="64"/>
  <c r="O9" i="65"/>
  <c r="O11" i="64"/>
  <c r="O9" i="63"/>
  <c r="CA39" i="63"/>
  <c r="P32" i="64"/>
  <c r="Q32" i="64" s="1"/>
  <c r="P10" i="63"/>
  <c r="Q10" i="63" s="1"/>
  <c r="P12" i="65"/>
  <c r="Q12" i="65" s="1"/>
  <c r="P15" i="64"/>
  <c r="Q15" i="64" s="1"/>
  <c r="P22" i="64"/>
  <c r="Q22" i="64" s="1"/>
  <c r="P36" i="64"/>
  <c r="Q36" i="64" s="1"/>
  <c r="P38" i="63"/>
  <c r="Q38" i="63" s="1"/>
  <c r="P25" i="63"/>
  <c r="Q25" i="63" s="1"/>
  <c r="P18" i="63"/>
  <c r="Q18" i="63" s="1"/>
  <c r="P11" i="63"/>
  <c r="Q11" i="63" s="1"/>
  <c r="P32" i="63"/>
  <c r="Q32" i="63" s="1"/>
  <c r="P12" i="64"/>
  <c r="Q12" i="64" s="1"/>
  <c r="A4" i="46"/>
  <c r="F5" i="50"/>
  <c r="F24" i="50" s="1"/>
  <c r="F27" i="50" s="1"/>
  <c r="H27" i="50" s="1"/>
  <c r="P27" i="69" l="1"/>
  <c r="Q27" i="69" s="1"/>
  <c r="P35" i="72"/>
  <c r="Q35" i="72" s="1"/>
  <c r="P30" i="70"/>
  <c r="Q30" i="70" s="1"/>
  <c r="P37" i="63"/>
  <c r="Q37" i="63" s="1"/>
  <c r="P12" i="72"/>
  <c r="Q12" i="72" s="1"/>
  <c r="P23" i="65"/>
  <c r="Q23" i="65" s="1"/>
  <c r="P21" i="65"/>
  <c r="Q21" i="65" s="1"/>
  <c r="P14" i="65"/>
  <c r="Q14" i="65" s="1"/>
  <c r="P16" i="70"/>
  <c r="Q16" i="70" s="1"/>
  <c r="P13" i="69"/>
  <c r="Q13" i="69" s="1"/>
  <c r="P14" i="71"/>
  <c r="Q14" i="71" s="1"/>
  <c r="P10" i="70"/>
  <c r="Q10" i="70" s="1"/>
  <c r="P37" i="70"/>
  <c r="Q37" i="70" s="1"/>
  <c r="P18" i="64"/>
  <c r="Q18" i="64" s="1"/>
  <c r="P35" i="64"/>
  <c r="Q35" i="64" s="1"/>
  <c r="P39" i="64"/>
  <c r="Q39" i="64" s="1"/>
  <c r="P16" i="65"/>
  <c r="Q16" i="65" s="1"/>
  <c r="P27" i="67"/>
  <c r="Q27" i="67" s="1"/>
  <c r="P37" i="71"/>
  <c r="Q37" i="71" s="1"/>
  <c r="P26" i="72"/>
  <c r="Q26" i="72" s="1"/>
  <c r="P26" i="69"/>
  <c r="Q26" i="69" s="1"/>
  <c r="P24" i="70"/>
  <c r="Q24" i="70" s="1"/>
  <c r="P18" i="70"/>
  <c r="Q18" i="70" s="1"/>
  <c r="P17" i="68"/>
  <c r="Q17" i="68" s="1"/>
  <c r="P13" i="64"/>
  <c r="Q13" i="64" s="1"/>
  <c r="P24" i="65"/>
  <c r="Q24" i="65" s="1"/>
  <c r="P36" i="65"/>
  <c r="Q36" i="65" s="1"/>
  <c r="P16" i="67"/>
  <c r="Q16" i="67" s="1"/>
  <c r="P31" i="68"/>
  <c r="Q31" i="68" s="1"/>
  <c r="P26" i="66"/>
  <c r="Q26" i="66" s="1"/>
  <c r="P17" i="65"/>
  <c r="Q17" i="65" s="1"/>
  <c r="P35" i="68"/>
  <c r="Q35" i="68" s="1"/>
  <c r="P23" i="67"/>
  <c r="Q23" i="67" s="1"/>
  <c r="P11" i="72"/>
  <c r="Q11" i="72" s="1"/>
  <c r="P21" i="71"/>
  <c r="Q21" i="71" s="1"/>
  <c r="P17" i="70"/>
  <c r="Q17" i="70" s="1"/>
  <c r="P13" i="70"/>
  <c r="Q13" i="70" s="1"/>
  <c r="P13" i="68"/>
  <c r="Q13" i="68" s="1"/>
  <c r="P13" i="67"/>
  <c r="Q13" i="67" s="1"/>
  <c r="P15" i="71"/>
  <c r="Q15" i="71" s="1"/>
  <c r="P19" i="69"/>
  <c r="Q19" i="69" s="1"/>
  <c r="P11" i="70"/>
  <c r="Q11" i="70" s="1"/>
  <c r="P36" i="71"/>
  <c r="Q36" i="71" s="1"/>
  <c r="P13" i="72"/>
  <c r="Q13" i="72" s="1"/>
  <c r="P12" i="66"/>
  <c r="Q12" i="66" s="1"/>
  <c r="P25" i="72"/>
  <c r="Q25" i="72" s="1"/>
  <c r="P35" i="71"/>
  <c r="Q35" i="71" s="1"/>
  <c r="P29" i="71"/>
  <c r="Q29" i="71" s="1"/>
  <c r="P12" i="70"/>
  <c r="Q12" i="70" s="1"/>
  <c r="P12" i="69"/>
  <c r="Q12" i="69" s="1"/>
  <c r="P36" i="68"/>
  <c r="Q36" i="68" s="1"/>
  <c r="P11" i="65"/>
  <c r="Q11" i="65" s="1"/>
  <c r="P35" i="65"/>
  <c r="Q35" i="65" s="1"/>
  <c r="P33" i="64"/>
  <c r="Q33" i="64" s="1"/>
  <c r="P21" i="64"/>
  <c r="Q21" i="64" s="1"/>
  <c r="P9" i="63"/>
  <c r="Q9" i="63" s="1"/>
  <c r="P9" i="66"/>
  <c r="Q9" i="66" s="1"/>
  <c r="O9" i="68"/>
  <c r="CA38" i="68"/>
  <c r="P10" i="68"/>
  <c r="Q10" i="68" s="1"/>
  <c r="P34" i="67"/>
  <c r="Q34" i="67" s="1"/>
  <c r="P20" i="67"/>
  <c r="Q20" i="67" s="1"/>
  <c r="P10" i="65"/>
  <c r="Q10" i="65" s="1"/>
  <c r="P14" i="63"/>
  <c r="Q14" i="63" s="1"/>
  <c r="P20" i="64"/>
  <c r="Q20" i="64" s="1"/>
  <c r="P11" i="64"/>
  <c r="Q11" i="64" s="1"/>
  <c r="Q17" i="69"/>
  <c r="P22" i="65"/>
  <c r="Q22" i="65" s="1"/>
  <c r="P15" i="65"/>
  <c r="Q15" i="65" s="1"/>
  <c r="P16" i="66"/>
  <c r="Q16" i="66" s="1"/>
  <c r="P34" i="64"/>
  <c r="Q34" i="64" s="1"/>
  <c r="P12" i="71"/>
  <c r="Q12" i="71" s="1"/>
  <c r="P29" i="65"/>
  <c r="Q29" i="65" s="1"/>
  <c r="P9" i="65"/>
  <c r="Q9" i="65" s="1"/>
  <c r="P14" i="64"/>
  <c r="Q14" i="64" s="1"/>
  <c r="P17" i="71"/>
  <c r="Q17" i="71" s="1"/>
  <c r="P28" i="70"/>
  <c r="Q28" i="70" s="1"/>
  <c r="P38" i="65"/>
  <c r="Q38" i="65" s="1"/>
  <c r="Q19" i="65"/>
  <c r="P19" i="64"/>
  <c r="Q19" i="64" s="1"/>
  <c r="P31" i="65"/>
  <c r="Q31" i="65" s="1"/>
  <c r="P23" i="66"/>
  <c r="Q23" i="66" s="1"/>
  <c r="P25" i="65"/>
  <c r="Q25" i="65" s="1"/>
  <c r="P32" i="65"/>
  <c r="Q32" i="65" s="1"/>
  <c r="P18" i="65"/>
  <c r="Q18" i="65" s="1"/>
  <c r="P30" i="63"/>
  <c r="Q30" i="63" s="1"/>
  <c r="P16" i="63"/>
  <c r="Q16" i="63" s="1"/>
  <c r="P23" i="63"/>
  <c r="Q23" i="63" s="1"/>
  <c r="P17" i="67"/>
  <c r="Q17" i="67" s="1"/>
  <c r="P28" i="69"/>
  <c r="Q28" i="69" s="1"/>
  <c r="P33" i="71"/>
  <c r="Q33" i="71" s="1"/>
  <c r="Q33" i="65"/>
  <c r="Q26" i="65"/>
  <c r="P19" i="71"/>
  <c r="Q19" i="71" s="1"/>
  <c r="P29" i="68"/>
  <c r="Q29" i="68" s="1"/>
  <c r="P21" i="70"/>
  <c r="Q21" i="70" s="1"/>
  <c r="P35" i="70"/>
  <c r="Q35" i="70" s="1"/>
  <c r="P26" i="67"/>
  <c r="Q26" i="67" s="1"/>
  <c r="P30" i="72"/>
  <c r="Q30" i="72" s="1"/>
  <c r="P14" i="67"/>
  <c r="Q14" i="67" s="1"/>
  <c r="Q10" i="69"/>
  <c r="Q31" i="69"/>
  <c r="Q24" i="69"/>
  <c r="Q38" i="69"/>
  <c r="P32" i="70"/>
  <c r="Q32" i="70" s="1"/>
  <c r="P16" i="71"/>
  <c r="Q16" i="71" s="1"/>
  <c r="P27" i="71"/>
  <c r="Q27" i="71" s="1"/>
  <c r="P25" i="70"/>
  <c r="Q25" i="70" s="1"/>
  <c r="P32" i="67"/>
  <c r="Q32" i="67" s="1"/>
  <c r="Q37" i="65"/>
  <c r="P9" i="71"/>
  <c r="Q9" i="71" s="1"/>
  <c r="P16" i="72"/>
  <c r="Q16" i="72" s="1"/>
  <c r="P25" i="69"/>
  <c r="Q25" i="69" s="1"/>
  <c r="P18" i="69"/>
  <c r="Q18" i="69" s="1"/>
  <c r="P14" i="66"/>
  <c r="Q14" i="66" s="1"/>
  <c r="P35" i="67"/>
  <c r="Q35" i="67" s="1"/>
  <c r="P10" i="66"/>
  <c r="Q10" i="66" s="1"/>
  <c r="P23" i="72"/>
  <c r="Q23" i="72" s="1"/>
  <c r="P25" i="67"/>
  <c r="Q25" i="67" s="1"/>
  <c r="P22" i="72"/>
  <c r="Q22" i="72" s="1"/>
  <c r="P29" i="72"/>
  <c r="Q29" i="72" s="1"/>
  <c r="P32" i="71"/>
  <c r="Q32" i="71" s="1"/>
  <c r="P31" i="71"/>
  <c r="Q31" i="71" s="1"/>
  <c r="P24" i="71"/>
  <c r="Q24" i="71" s="1"/>
  <c r="P20" i="71"/>
  <c r="Q20" i="71" s="1"/>
  <c r="P36" i="69"/>
  <c r="Q36" i="69" s="1"/>
  <c r="P9" i="69"/>
  <c r="Q9" i="69" s="1"/>
  <c r="P32" i="68"/>
  <c r="Q32" i="68" s="1"/>
  <c r="P18" i="68"/>
  <c r="Q18" i="68" s="1"/>
  <c r="P21" i="66"/>
  <c r="Q21" i="66" s="1"/>
  <c r="P21" i="72"/>
  <c r="Q21" i="72" s="1"/>
  <c r="P24" i="72"/>
  <c r="Q24" i="72" s="1"/>
  <c r="P27" i="72"/>
  <c r="Q27" i="72" s="1"/>
  <c r="P30" i="69"/>
  <c r="Q30" i="69" s="1"/>
  <c r="P20" i="72"/>
  <c r="Q20" i="72" s="1"/>
  <c r="P23" i="69"/>
  <c r="Q23" i="69" s="1"/>
  <c r="P16" i="68"/>
  <c r="Q16" i="68" s="1"/>
  <c r="P14" i="68"/>
  <c r="Q14" i="68" s="1"/>
  <c r="P24" i="66"/>
  <c r="Q24" i="66" s="1"/>
  <c r="P17" i="66"/>
  <c r="Q17" i="66" s="1"/>
  <c r="P16" i="69"/>
  <c r="Q16" i="69" s="1"/>
  <c r="P32" i="69"/>
  <c r="Q32" i="69" s="1"/>
  <c r="P19" i="70"/>
  <c r="Q19" i="70" s="1"/>
  <c r="P10" i="71"/>
  <c r="Q10" i="71" s="1"/>
  <c r="P35" i="69"/>
  <c r="Q35" i="69" s="1"/>
  <c r="P29" i="70"/>
  <c r="Q29" i="70" s="1"/>
  <c r="P21" i="67"/>
  <c r="Q21" i="67" s="1"/>
  <c r="P9" i="72"/>
  <c r="Q9" i="72" s="1"/>
  <c r="P22" i="69"/>
  <c r="Q22" i="69" s="1"/>
  <c r="P39" i="67"/>
  <c r="Q39" i="67" s="1"/>
  <c r="P14" i="72"/>
  <c r="Q14" i="72" s="1"/>
  <c r="P19" i="67"/>
  <c r="Q19" i="67" s="1"/>
  <c r="P29" i="69"/>
  <c r="Q29" i="69" s="1"/>
  <c r="P29" i="66"/>
  <c r="Q29" i="66" s="1"/>
  <c r="P33" i="67"/>
  <c r="Q33" i="67" s="1"/>
  <c r="P25" i="71"/>
  <c r="Q25" i="71" s="1"/>
  <c r="P28" i="68"/>
  <c r="Q28" i="68" s="1"/>
  <c r="P21" i="69"/>
  <c r="Q21" i="69" s="1"/>
  <c r="P38" i="67"/>
  <c r="Q38" i="67" s="1"/>
  <c r="P39" i="71"/>
  <c r="Q39" i="71" s="1"/>
  <c r="P28" i="66"/>
  <c r="Q28" i="66" s="1"/>
  <c r="P39" i="69"/>
  <c r="Q39" i="69" s="1"/>
  <c r="P15" i="66"/>
  <c r="Q15" i="66" s="1"/>
  <c r="P15" i="69"/>
  <c r="Q15" i="69" s="1"/>
  <c r="P27" i="70"/>
  <c r="Q27" i="70" s="1"/>
  <c r="P23" i="71"/>
  <c r="Q23" i="71" s="1"/>
  <c r="P15" i="68"/>
  <c r="Q15" i="68" s="1"/>
  <c r="P15" i="72"/>
  <c r="Q15" i="72" s="1"/>
  <c r="P17" i="72"/>
  <c r="P37" i="69"/>
  <c r="Q37" i="69" s="1"/>
  <c r="P10" i="72"/>
  <c r="Q10" i="72" s="1"/>
  <c r="P28" i="72"/>
  <c r="Q28" i="72" s="1"/>
  <c r="P30" i="71"/>
  <c r="Q30" i="71" s="1"/>
  <c r="P12" i="67"/>
  <c r="Q12" i="67" s="1"/>
  <c r="P34" i="71"/>
  <c r="Q34" i="71" s="1"/>
  <c r="P11" i="68"/>
  <c r="Q11" i="68" s="1"/>
  <c r="P20" i="70"/>
  <c r="Q20" i="70" s="1"/>
  <c r="Q30" i="65"/>
  <c r="P36" i="70"/>
  <c r="Q36" i="70" s="1"/>
  <c r="P30" i="68"/>
  <c r="Q30" i="68" s="1"/>
  <c r="P31" i="67"/>
  <c r="Q31" i="67" s="1"/>
  <c r="P11" i="69"/>
  <c r="Q11" i="69" s="1"/>
  <c r="P28" i="67"/>
  <c r="Q28" i="67" s="1"/>
  <c r="P38" i="71"/>
  <c r="Q38" i="71" s="1"/>
  <c r="P24" i="67"/>
  <c r="Q24" i="67" s="1"/>
  <c r="CA40" i="69"/>
  <c r="CA39" i="65"/>
  <c r="CA40" i="67"/>
  <c r="CA39" i="72"/>
  <c r="CA40" i="66"/>
  <c r="P27" i="66"/>
  <c r="Q27" i="66" s="1"/>
  <c r="P26" i="70"/>
  <c r="Q26" i="70" s="1"/>
  <c r="P31" i="72"/>
  <c r="Q31" i="72" s="1"/>
  <c r="CA39" i="70"/>
  <c r="P18" i="67"/>
  <c r="Q18" i="67" s="1"/>
  <c r="P18" i="71"/>
  <c r="Q18" i="71" s="1"/>
  <c r="CA40" i="71"/>
  <c r="P22" i="70"/>
  <c r="Q22" i="70" s="1"/>
  <c r="P34" i="70"/>
  <c r="Q34" i="70" s="1"/>
  <c r="P13" i="66"/>
  <c r="Q13" i="66" s="1"/>
  <c r="P11" i="71"/>
  <c r="Q11" i="71" s="1"/>
  <c r="P22" i="66"/>
  <c r="Q22" i="66" s="1"/>
  <c r="P33" i="70"/>
  <c r="Q33" i="70" s="1"/>
  <c r="P20" i="66"/>
  <c r="Q20" i="66" s="1"/>
  <c r="P15" i="63"/>
  <c r="Q15" i="63" s="1"/>
  <c r="P24" i="63"/>
  <c r="Q24" i="63" s="1"/>
  <c r="P31" i="63"/>
  <c r="Q31" i="63" s="1"/>
  <c r="P28" i="63"/>
  <c r="Q28" i="63" s="1"/>
  <c r="P29" i="63"/>
  <c r="Q29" i="63" s="1"/>
  <c r="P22" i="63"/>
  <c r="Q22" i="63" s="1"/>
  <c r="P35" i="63"/>
  <c r="Q35" i="63" s="1"/>
  <c r="P17" i="63"/>
  <c r="Q17" i="63" s="1"/>
  <c r="P20" i="63"/>
  <c r="Q20" i="63" s="1"/>
  <c r="P27" i="63"/>
  <c r="Q27" i="63" s="1"/>
  <c r="P21" i="63"/>
  <c r="Q21" i="63" s="1"/>
  <c r="P36" i="63"/>
  <c r="Q36" i="63" s="1"/>
  <c r="P13" i="63"/>
  <c r="Q13" i="63" s="1"/>
  <c r="P34" i="63"/>
  <c r="Q34" i="63" s="1"/>
  <c r="O40" i="69"/>
  <c r="O39" i="65"/>
  <c r="O40" i="71"/>
  <c r="O39" i="63"/>
  <c r="O40" i="66"/>
  <c r="O40" i="64"/>
  <c r="O40" i="67"/>
  <c r="O39" i="72"/>
  <c r="O39" i="70"/>
  <c r="B4" i="46"/>
  <c r="FH40" i="66" l="1"/>
  <c r="FE40" i="72"/>
  <c r="FE40" i="66"/>
  <c r="FG40" i="66"/>
  <c r="FF40" i="66"/>
  <c r="FH40" i="64"/>
  <c r="FG40" i="64"/>
  <c r="FF40" i="64"/>
  <c r="FE40" i="64"/>
  <c r="P74" i="64" s="1"/>
  <c r="V43" i="64" s="1"/>
  <c r="FG40" i="72"/>
  <c r="FH40" i="72"/>
  <c r="FE40" i="63"/>
  <c r="FH40" i="63"/>
  <c r="FG40" i="63"/>
  <c r="FF40" i="63"/>
  <c r="FH40" i="70"/>
  <c r="FG40" i="70"/>
  <c r="FF40" i="70"/>
  <c r="FE40" i="70"/>
  <c r="FF40" i="72"/>
  <c r="O38" i="68"/>
  <c r="DY40" i="68"/>
  <c r="DX40" i="68"/>
  <c r="EB40" i="68"/>
  <c r="EA40" i="68"/>
  <c r="CX38" i="68"/>
  <c r="Q40" i="64"/>
  <c r="P40" i="64"/>
  <c r="P39" i="65"/>
  <c r="P9" i="68"/>
  <c r="P39" i="72"/>
  <c r="Q17" i="72"/>
  <c r="Q39" i="72" s="1"/>
  <c r="Q39" i="65"/>
  <c r="Q40" i="67"/>
  <c r="P40" i="67"/>
  <c r="P40" i="71"/>
  <c r="P39" i="70"/>
  <c r="Q40" i="66"/>
  <c r="Q40" i="71"/>
  <c r="Q39" i="70"/>
  <c r="P40" i="66"/>
  <c r="P39" i="63"/>
  <c r="Q39" i="63"/>
  <c r="H5" i="50"/>
  <c r="H24" i="50" s="1"/>
  <c r="A5" i="46"/>
  <c r="J103" i="1"/>
  <c r="J102" i="1"/>
  <c r="J101" i="1"/>
  <c r="J100" i="1"/>
  <c r="J99" i="1"/>
  <c r="E95" i="1"/>
  <c r="J94" i="1"/>
  <c r="J93" i="1"/>
  <c r="J92" i="1"/>
  <c r="J91" i="1"/>
  <c r="J90" i="1"/>
  <c r="E86" i="1"/>
  <c r="J85" i="1"/>
  <c r="J84" i="1"/>
  <c r="J83" i="1"/>
  <c r="J82" i="1"/>
  <c r="J81" i="1"/>
  <c r="E77" i="1"/>
  <c r="J76" i="1"/>
  <c r="J75" i="1"/>
  <c r="J74" i="1"/>
  <c r="J73" i="1"/>
  <c r="J72" i="1"/>
  <c r="FH40" i="69" l="1"/>
  <c r="FF40" i="69"/>
  <c r="FG40" i="69"/>
  <c r="FE40" i="69"/>
  <c r="FF40" i="67"/>
  <c r="FE40" i="67"/>
  <c r="FG40" i="67"/>
  <c r="FH40" i="67"/>
  <c r="FF40" i="65"/>
  <c r="FG40" i="65"/>
  <c r="FH40" i="65"/>
  <c r="FE40" i="65"/>
  <c r="FH40" i="71"/>
  <c r="FE40" i="71"/>
  <c r="FF40" i="71"/>
  <c r="FG40" i="71"/>
  <c r="P74" i="69"/>
  <c r="V43" i="69" s="1"/>
  <c r="Q9" i="68"/>
  <c r="P38" i="68"/>
  <c r="H6" i="50"/>
  <c r="F17" i="50"/>
  <c r="B5" i="46"/>
  <c r="I51" i="69" l="1"/>
  <c r="E12" i="50" s="1"/>
  <c r="E43" i="50" s="1"/>
  <c r="E45" i="50" s="1"/>
  <c r="D12" i="50"/>
  <c r="D43" i="50" s="1"/>
  <c r="D45" i="50" s="1"/>
  <c r="Q38" i="68"/>
  <c r="FH40" i="68"/>
  <c r="FG40" i="68"/>
  <c r="P72" i="68" s="1"/>
  <c r="V41" i="68" s="1"/>
  <c r="FF40" i="68"/>
  <c r="FE40" i="68"/>
  <c r="G43" i="50"/>
  <c r="H7" i="50"/>
  <c r="H25" i="50"/>
  <c r="A6" i="46"/>
  <c r="E47" i="50" l="1"/>
  <c r="E46" i="50"/>
  <c r="H8" i="50"/>
  <c r="H26" i="50"/>
  <c r="B6" i="46"/>
  <c r="G44" i="50" l="1"/>
  <c r="G45" i="50" s="1"/>
  <c r="H9" i="50"/>
  <c r="H33" i="50"/>
  <c r="A7" i="46"/>
  <c r="H10" i="50" l="1"/>
  <c r="H34" i="50"/>
  <c r="B7" i="46"/>
  <c r="G51" i="50" l="1"/>
  <c r="H11" i="50"/>
  <c r="H35" i="50"/>
  <c r="H36" i="50" s="1"/>
  <c r="A8" i="46"/>
  <c r="H12" i="50" l="1"/>
  <c r="H42" i="50"/>
  <c r="B8" i="46"/>
  <c r="G52" i="50" l="1"/>
  <c r="H13" i="50"/>
  <c r="H43" i="50"/>
  <c r="A9" i="46"/>
  <c r="G53" i="50" l="1"/>
  <c r="G54" i="50" s="1"/>
  <c r="H14" i="50"/>
  <c r="H44" i="50"/>
  <c r="H45" i="50" s="1"/>
  <c r="B9" i="46"/>
  <c r="H15" i="50" l="1"/>
  <c r="H51" i="50"/>
  <c r="A10" i="46"/>
  <c r="H16" i="50" l="1"/>
  <c r="H17" i="50" s="1"/>
  <c r="H52" i="50"/>
  <c r="B10" i="46"/>
  <c r="H53" i="50" l="1"/>
  <c r="H54" i="50" s="1"/>
  <c r="A11" i="46"/>
  <c r="H20" i="50" l="1"/>
  <c r="E59" i="50"/>
  <c r="B11" i="46"/>
  <c r="A12" i="46" l="1"/>
  <c r="B12" i="46" l="1"/>
  <c r="A13" i="46" l="1"/>
  <c r="B13" i="46" l="1"/>
  <c r="A14" i="46" l="1"/>
  <c r="B14" i="46" l="1"/>
  <c r="A15" i="46" l="1"/>
  <c r="B15" i="46" l="1"/>
  <c r="A16" i="46" l="1"/>
  <c r="B16" i="46" l="1"/>
  <c r="A1" i="41" l="1"/>
  <c r="AO82" i="41"/>
  <c r="BL82" i="41" s="1"/>
  <c r="AO83" i="41"/>
  <c r="BL83" i="41" s="1"/>
  <c r="AO84" i="41"/>
  <c r="BL84" i="41" s="1"/>
  <c r="AO85" i="41"/>
  <c r="BL85" i="41" s="1"/>
  <c r="A10" i="41"/>
  <c r="A3" i="23" s="1"/>
  <c r="A3" i="24" s="1"/>
  <c r="B10" i="41" l="1"/>
  <c r="A11" i="41"/>
  <c r="B11" i="41" l="1"/>
  <c r="A4" i="23"/>
  <c r="A4" i="24" s="1"/>
  <c r="B3" i="23"/>
  <c r="B3" i="24" s="1"/>
  <c r="AZ10" i="41"/>
  <c r="AY10" i="41"/>
  <c r="AX10" i="41"/>
  <c r="AW10" i="41"/>
  <c r="AV10" i="41"/>
  <c r="AJ10" i="41"/>
  <c r="AH10" i="41"/>
  <c r="AG10" i="41"/>
  <c r="AK10" i="41"/>
  <c r="AI10" i="41"/>
  <c r="AI11" i="41"/>
  <c r="AJ11" i="41"/>
  <c r="AH11" i="41"/>
  <c r="AG11" i="41"/>
  <c r="AK11" i="41"/>
  <c r="A12" i="41"/>
  <c r="A5" i="23" s="1"/>
  <c r="A5" i="24" s="1"/>
  <c r="AT11" i="41"/>
  <c r="AL11" i="41"/>
  <c r="AS11" i="41"/>
  <c r="AX11" i="41"/>
  <c r="AZ11" i="41"/>
  <c r="AR11" i="41"/>
  <c r="AP11" i="41"/>
  <c r="AY11" i="41"/>
  <c r="AQ11" i="41"/>
  <c r="AW11" i="41"/>
  <c r="AO11" i="41"/>
  <c r="AV11" i="41"/>
  <c r="AN11" i="41"/>
  <c r="AU11" i="41"/>
  <c r="AM11" i="41"/>
  <c r="AR10" i="41"/>
  <c r="AQ10" i="41"/>
  <c r="AP10" i="41"/>
  <c r="AN10" i="41"/>
  <c r="AO10" i="41"/>
  <c r="AT10" i="41"/>
  <c r="AU10" i="41"/>
  <c r="AM10" i="41"/>
  <c r="AL10" i="41"/>
  <c r="AS10" i="41"/>
  <c r="D11" i="41"/>
  <c r="D4" i="23" s="1"/>
  <c r="E4" i="24" s="1"/>
  <c r="D10" i="41"/>
  <c r="D3" i="23" s="1"/>
  <c r="E3" i="24" s="1"/>
  <c r="P11" i="41" l="1"/>
  <c r="B4" i="23"/>
  <c r="B4" i="24" s="1"/>
  <c r="BA10" i="41"/>
  <c r="P10" i="41"/>
  <c r="CA10" i="41"/>
  <c r="O10" i="41" s="1"/>
  <c r="Z10" i="41" s="1"/>
  <c r="CA11" i="41"/>
  <c r="O11" i="41" s="1"/>
  <c r="BA11" i="41"/>
  <c r="A13" i="41"/>
  <c r="A6" i="23" s="1"/>
  <c r="A6" i="24" s="1"/>
  <c r="B12" i="41"/>
  <c r="BB11" i="41"/>
  <c r="BB10" i="41"/>
  <c r="B5" i="23" l="1"/>
  <c r="B5" i="24" s="1"/>
  <c r="N11" i="41"/>
  <c r="Q11" i="41" s="1"/>
  <c r="AJ12" i="41"/>
  <c r="AH12" i="41"/>
  <c r="AG12" i="41"/>
  <c r="AK12" i="41"/>
  <c r="N10" i="41"/>
  <c r="AU12" i="41"/>
  <c r="AY12" i="41"/>
  <c r="AM12" i="41"/>
  <c r="AQ12" i="41"/>
  <c r="AW12" i="41"/>
  <c r="AT12" i="41"/>
  <c r="AI12" i="41"/>
  <c r="AO12" i="41"/>
  <c r="AL12" i="41"/>
  <c r="AX12" i="41"/>
  <c r="AS12" i="41"/>
  <c r="AP12" i="41"/>
  <c r="AV12" i="41"/>
  <c r="AZ12" i="41"/>
  <c r="D12" i="41"/>
  <c r="D5" i="23" s="1"/>
  <c r="E5" i="24" s="1"/>
  <c r="AN12" i="41"/>
  <c r="AR12" i="41"/>
  <c r="A14" i="41"/>
  <c r="A7" i="23" s="1"/>
  <c r="A7" i="24" s="1"/>
  <c r="B13" i="41"/>
  <c r="B6" i="23" l="1"/>
  <c r="B6" i="24" s="1"/>
  <c r="P12" i="41"/>
  <c r="Y10" i="41"/>
  <c r="Q10" i="41"/>
  <c r="CA12" i="41"/>
  <c r="O12" i="41" s="1"/>
  <c r="BA12" i="41"/>
  <c r="N12" i="41" s="1"/>
  <c r="AJ13" i="41"/>
  <c r="AH13" i="41"/>
  <c r="AG13" i="41"/>
  <c r="AK13" i="41"/>
  <c r="AY13" i="41"/>
  <c r="AO13" i="41"/>
  <c r="AQ13" i="41"/>
  <c r="AW13" i="41"/>
  <c r="AI13" i="41"/>
  <c r="AN13" i="41"/>
  <c r="D13" i="41"/>
  <c r="D6" i="23" s="1"/>
  <c r="E6" i="24" s="1"/>
  <c r="AV13" i="41"/>
  <c r="AU13" i="41"/>
  <c r="AX13" i="41"/>
  <c r="AM13" i="41"/>
  <c r="AZ13" i="41"/>
  <c r="AP13" i="41"/>
  <c r="AT13" i="41"/>
  <c r="AS13" i="41"/>
  <c r="AR13" i="41"/>
  <c r="AL13" i="41"/>
  <c r="A15" i="41"/>
  <c r="A8" i="23" s="1"/>
  <c r="A8" i="24" s="1"/>
  <c r="B14" i="41"/>
  <c r="BB12" i="41"/>
  <c r="Y12" i="41" l="1"/>
  <c r="B7" i="23"/>
  <c r="B7" i="24" s="1"/>
  <c r="P13" i="41"/>
  <c r="Q12" i="41"/>
  <c r="CA13" i="41"/>
  <c r="O13" i="41" s="1"/>
  <c r="BA13" i="41"/>
  <c r="AJ14" i="41"/>
  <c r="AH14" i="41"/>
  <c r="AG14" i="41"/>
  <c r="AZ14" i="41"/>
  <c r="AW14" i="41"/>
  <c r="D14" i="41"/>
  <c r="D7" i="23" s="1"/>
  <c r="E7" i="24" s="1"/>
  <c r="AU14" i="41"/>
  <c r="AR14" i="41"/>
  <c r="AO14" i="41"/>
  <c r="AM14" i="41"/>
  <c r="AY14" i="41"/>
  <c r="AQ14" i="41"/>
  <c r="AV14" i="41"/>
  <c r="AT14" i="41"/>
  <c r="AI14" i="41"/>
  <c r="AN14" i="41"/>
  <c r="AL14" i="41"/>
  <c r="AX14" i="41"/>
  <c r="AS14" i="41"/>
  <c r="AP14" i="41"/>
  <c r="AK14" i="41"/>
  <c r="A16" i="41"/>
  <c r="A9" i="23" s="1"/>
  <c r="A9" i="24" s="1"/>
  <c r="B15" i="41"/>
  <c r="BB13" i="41"/>
  <c r="FJ12" i="41" l="1"/>
  <c r="FL12" i="41"/>
  <c r="B8" i="23"/>
  <c r="B8" i="24" s="1"/>
  <c r="P14" i="41"/>
  <c r="N13" i="41"/>
  <c r="CA14" i="41"/>
  <c r="O14" i="41" s="1"/>
  <c r="BA14" i="41"/>
  <c r="N14" i="41" s="1"/>
  <c r="AJ15" i="41"/>
  <c r="AH15" i="41"/>
  <c r="AG15" i="41"/>
  <c r="AS15" i="41"/>
  <c r="AQ15" i="41"/>
  <c r="AW15" i="41"/>
  <c r="AT15" i="41"/>
  <c r="AI15" i="41"/>
  <c r="AP15" i="41"/>
  <c r="AO15" i="41"/>
  <c r="AL15" i="41"/>
  <c r="AX15" i="41"/>
  <c r="AK15" i="41"/>
  <c r="AV15" i="41"/>
  <c r="AZ15" i="41"/>
  <c r="AN15" i="41"/>
  <c r="AR15" i="41"/>
  <c r="D15" i="41"/>
  <c r="D8" i="23" s="1"/>
  <c r="E8" i="24" s="1"/>
  <c r="AU15" i="41"/>
  <c r="AM15" i="41"/>
  <c r="AY15" i="41"/>
  <c r="BB14" i="41"/>
  <c r="B16" i="41"/>
  <c r="A17" i="41"/>
  <c r="A10" i="23" s="1"/>
  <c r="A10" i="24" s="1"/>
  <c r="B9" i="23" l="1"/>
  <c r="B9" i="24" s="1"/>
  <c r="Q13" i="41"/>
  <c r="P15" i="41"/>
  <c r="Q14" i="41"/>
  <c r="CA15" i="41"/>
  <c r="O15" i="41" s="1"/>
  <c r="Z15" i="41" s="1"/>
  <c r="BA15" i="41"/>
  <c r="N15" i="41" s="1"/>
  <c r="Y15" i="41" s="1"/>
  <c r="AJ16" i="41"/>
  <c r="AH16" i="41"/>
  <c r="AG16" i="41"/>
  <c r="A18" i="41"/>
  <c r="A11" i="23" s="1"/>
  <c r="A11" i="24" s="1"/>
  <c r="AR16" i="41"/>
  <c r="AK16" i="41"/>
  <c r="AN16" i="41"/>
  <c r="D16" i="41"/>
  <c r="D9" i="23" s="1"/>
  <c r="E9" i="24" s="1"/>
  <c r="AL16" i="41"/>
  <c r="AY16" i="41"/>
  <c r="AX16" i="41"/>
  <c r="AT16" i="41"/>
  <c r="AQ16" i="41"/>
  <c r="AS16" i="41"/>
  <c r="AW16" i="41"/>
  <c r="AO16" i="41"/>
  <c r="AI16" i="41"/>
  <c r="AM16" i="41"/>
  <c r="AV16" i="41"/>
  <c r="AU16" i="41"/>
  <c r="AP16" i="41"/>
  <c r="AZ16" i="41"/>
  <c r="BB15" i="41"/>
  <c r="FL15" i="41" l="1"/>
  <c r="FJ15" i="41"/>
  <c r="B10" i="23"/>
  <c r="B10" i="24" s="1"/>
  <c r="P16" i="41"/>
  <c r="Q15" i="41"/>
  <c r="CA16" i="41"/>
  <c r="O16" i="41" s="1"/>
  <c r="Z16" i="41" s="1"/>
  <c r="BA16" i="41"/>
  <c r="N16" i="41" s="1"/>
  <c r="AG17" i="41"/>
  <c r="AH17" i="41"/>
  <c r="AJ17" i="41"/>
  <c r="AY17" i="41"/>
  <c r="AU17" i="41"/>
  <c r="AP17" i="41"/>
  <c r="D17" i="41"/>
  <c r="D10" i="23" s="1"/>
  <c r="E10" i="24" s="1"/>
  <c r="AM17" i="41"/>
  <c r="AO17" i="41"/>
  <c r="AI17" i="41"/>
  <c r="AQ17" i="41"/>
  <c r="AZ17" i="41"/>
  <c r="AX17" i="41"/>
  <c r="AN17" i="41"/>
  <c r="AR17" i="41"/>
  <c r="AL17" i="41"/>
  <c r="AT17" i="41"/>
  <c r="AW17" i="41"/>
  <c r="AS17" i="41"/>
  <c r="AV17" i="41"/>
  <c r="AK17" i="41"/>
  <c r="A19" i="41"/>
  <c r="A12" i="23" s="1"/>
  <c r="A12" i="24" s="1"/>
  <c r="B18" i="41"/>
  <c r="BB16" i="41"/>
  <c r="B11" i="23" l="1"/>
  <c r="B11" i="24" s="1"/>
  <c r="P17" i="41"/>
  <c r="Q16" i="41"/>
  <c r="Y16" i="41"/>
  <c r="CA17" i="41"/>
  <c r="O17" i="41" s="1"/>
  <c r="BA17" i="41"/>
  <c r="AJ18" i="41"/>
  <c r="AG18" i="41"/>
  <c r="BB17" i="41"/>
  <c r="AS18" i="41"/>
  <c r="AY18" i="41"/>
  <c r="AI18" i="41"/>
  <c r="AO18" i="41"/>
  <c r="AU18" i="41"/>
  <c r="AR18" i="41"/>
  <c r="AX18" i="41"/>
  <c r="AM18" i="41"/>
  <c r="AH18" i="41"/>
  <c r="AN18" i="41"/>
  <c r="D18" i="41"/>
  <c r="D11" i="23" s="1"/>
  <c r="E11" i="24" s="1"/>
  <c r="AZ18" i="41"/>
  <c r="AT18" i="41"/>
  <c r="AQ18" i="41"/>
  <c r="AW18" i="41"/>
  <c r="AL18" i="41"/>
  <c r="AK18" i="41"/>
  <c r="AV18" i="41"/>
  <c r="AP18" i="41"/>
  <c r="B19" i="41"/>
  <c r="A20" i="41"/>
  <c r="A13" i="23" s="1"/>
  <c r="A13" i="24" s="1"/>
  <c r="FL16" i="41" l="1"/>
  <c r="FJ16" i="41"/>
  <c r="B12" i="23"/>
  <c r="B12" i="24" s="1"/>
  <c r="P18" i="41"/>
  <c r="N17" i="41"/>
  <c r="Q17" i="41" s="1"/>
  <c r="CA18" i="41"/>
  <c r="O18" i="41" s="1"/>
  <c r="BA18" i="41"/>
  <c r="AJ19" i="41"/>
  <c r="AG19" i="41"/>
  <c r="BB18" i="41"/>
  <c r="B20" i="41"/>
  <c r="A21" i="41"/>
  <c r="A14" i="23" s="1"/>
  <c r="A14" i="24" s="1"/>
  <c r="AH19" i="41"/>
  <c r="AU19" i="41"/>
  <c r="AZ19" i="41"/>
  <c r="AQ19" i="41"/>
  <c r="AK19" i="41"/>
  <c r="AT19" i="41"/>
  <c r="AY19" i="41"/>
  <c r="AW19" i="41"/>
  <c r="AO19" i="41"/>
  <c r="AP19" i="41"/>
  <c r="AS19" i="41"/>
  <c r="AV19" i="41"/>
  <c r="AM19" i="41"/>
  <c r="AI19" i="41"/>
  <c r="AX19" i="41"/>
  <c r="AN19" i="41"/>
  <c r="AR19" i="41"/>
  <c r="AL19" i="41"/>
  <c r="D19" i="41"/>
  <c r="D12" i="23" s="1"/>
  <c r="E12" i="24" s="1"/>
  <c r="B13" i="23" l="1"/>
  <c r="B13" i="24" s="1"/>
  <c r="P19" i="41"/>
  <c r="Y17" i="41"/>
  <c r="N18" i="41"/>
  <c r="Q18" i="41" s="1"/>
  <c r="CA19" i="41"/>
  <c r="BA19" i="41"/>
  <c r="AG20" i="41"/>
  <c r="A22" i="41"/>
  <c r="A15" i="23" s="1"/>
  <c r="A15" i="24" s="1"/>
  <c r="B21" i="41"/>
  <c r="AH20" i="41"/>
  <c r="AK20" i="41"/>
  <c r="AV20" i="41"/>
  <c r="AO20" i="41"/>
  <c r="AZ20" i="41"/>
  <c r="AT20" i="41"/>
  <c r="AJ20" i="41"/>
  <c r="AI20" i="41"/>
  <c r="AL20" i="41"/>
  <c r="AN20" i="41"/>
  <c r="AY20" i="41"/>
  <c r="AW20" i="41"/>
  <c r="AS20" i="41"/>
  <c r="AM20" i="41"/>
  <c r="AR20" i="41"/>
  <c r="AQ20" i="41"/>
  <c r="AX20" i="41"/>
  <c r="D20" i="41"/>
  <c r="D13" i="23" s="1"/>
  <c r="E13" i="24" s="1"/>
  <c r="AP20" i="41"/>
  <c r="AU20" i="41"/>
  <c r="BB19" i="41"/>
  <c r="FJ17" i="41" l="1"/>
  <c r="FL17" i="41"/>
  <c r="B14" i="23"/>
  <c r="B14" i="24" s="1"/>
  <c r="P20" i="41"/>
  <c r="Y18" i="41"/>
  <c r="N19" i="41"/>
  <c r="Y19" i="41" s="1"/>
  <c r="CA20" i="41"/>
  <c r="O20" i="41" s="1"/>
  <c r="O19" i="41"/>
  <c r="BA20" i="41"/>
  <c r="N20" i="41" s="1"/>
  <c r="Y20" i="41" s="1"/>
  <c r="AG21" i="41"/>
  <c r="BB20" i="41"/>
  <c r="AK21" i="41"/>
  <c r="AM21" i="41"/>
  <c r="AO21" i="41"/>
  <c r="AX21" i="41"/>
  <c r="AH21" i="41"/>
  <c r="AZ21" i="41"/>
  <c r="AT21" i="41"/>
  <c r="AU21" i="41"/>
  <c r="AR21" i="41"/>
  <c r="AL21" i="41"/>
  <c r="D21" i="41"/>
  <c r="D14" i="23" s="1"/>
  <c r="E14" i="24" s="1"/>
  <c r="AJ21" i="41"/>
  <c r="AW21" i="41"/>
  <c r="AQ21" i="41"/>
  <c r="AY21" i="41"/>
  <c r="AP21" i="41"/>
  <c r="AV21" i="41"/>
  <c r="AN21" i="41"/>
  <c r="AI21" i="41"/>
  <c r="AS21" i="41"/>
  <c r="A23" i="41"/>
  <c r="A16" i="23" s="1"/>
  <c r="A16" i="24" s="1"/>
  <c r="B22" i="41"/>
  <c r="FL19" i="41" l="1"/>
  <c r="FJ19" i="41"/>
  <c r="FJ20" i="41"/>
  <c r="FL20" i="41"/>
  <c r="FL18" i="41"/>
  <c r="FJ18" i="41"/>
  <c r="B15" i="23"/>
  <c r="B15" i="24" s="1"/>
  <c r="P21" i="41"/>
  <c r="Q20" i="41"/>
  <c r="Q19" i="41"/>
  <c r="CA21" i="41"/>
  <c r="BA21" i="41"/>
  <c r="AG22" i="41"/>
  <c r="AL22" i="41"/>
  <c r="AI22" i="41"/>
  <c r="AW22" i="41"/>
  <c r="D22" i="41"/>
  <c r="D15" i="23" s="1"/>
  <c r="E15" i="24" s="1"/>
  <c r="AS22" i="41"/>
  <c r="AX22" i="41"/>
  <c r="AH22" i="41"/>
  <c r="AP22" i="41"/>
  <c r="AM22" i="41"/>
  <c r="AK22" i="41"/>
  <c r="AV22" i="41"/>
  <c r="AJ22" i="41"/>
  <c r="AN22" i="41"/>
  <c r="AO22" i="41"/>
  <c r="AQ22" i="41"/>
  <c r="AU22" i="41"/>
  <c r="AZ22" i="41"/>
  <c r="AR22" i="41"/>
  <c r="AT22" i="41"/>
  <c r="AY22" i="41"/>
  <c r="BB21" i="41"/>
  <c r="A24" i="41"/>
  <c r="A17" i="23" s="1"/>
  <c r="A17" i="24" s="1"/>
  <c r="B23" i="41"/>
  <c r="B16" i="23" l="1"/>
  <c r="B16" i="24" s="1"/>
  <c r="P22" i="41"/>
  <c r="N21" i="41"/>
  <c r="CA22" i="41"/>
  <c r="O22" i="41" s="1"/>
  <c r="O21" i="41"/>
  <c r="BA22" i="41"/>
  <c r="N22" i="41" s="1"/>
  <c r="Y22" i="41" s="1"/>
  <c r="AG23" i="41"/>
  <c r="A25" i="41"/>
  <c r="A18" i="23" s="1"/>
  <c r="A18" i="24" s="1"/>
  <c r="B24" i="41"/>
  <c r="BB22" i="41"/>
  <c r="AN23" i="41"/>
  <c r="AJ23" i="41"/>
  <c r="AI23" i="41"/>
  <c r="AX23" i="41"/>
  <c r="AU23" i="41"/>
  <c r="AY23" i="41"/>
  <c r="AM23" i="41"/>
  <c r="D23" i="41"/>
  <c r="D16" i="23" s="1"/>
  <c r="E16" i="24" s="1"/>
  <c r="AV23" i="41"/>
  <c r="AP23" i="41"/>
  <c r="AK23" i="41"/>
  <c r="AH23" i="41"/>
  <c r="AR23" i="41"/>
  <c r="AT23" i="41"/>
  <c r="AQ23" i="41"/>
  <c r="AW23" i="41"/>
  <c r="AS23" i="41"/>
  <c r="AO23" i="41"/>
  <c r="AZ23" i="41"/>
  <c r="AL23" i="41"/>
  <c r="FL22" i="41" l="1"/>
  <c r="FJ22" i="41"/>
  <c r="B17" i="23"/>
  <c r="B17" i="24" s="1"/>
  <c r="P23" i="41"/>
  <c r="Q22" i="41"/>
  <c r="Q21" i="41"/>
  <c r="CA23" i="41"/>
  <c r="BA23" i="41"/>
  <c r="N23" i="41" s="1"/>
  <c r="Y23" i="41" s="1"/>
  <c r="BB23" i="41"/>
  <c r="AZ24" i="41"/>
  <c r="AP24" i="41"/>
  <c r="AR24" i="41"/>
  <c r="AO24" i="41"/>
  <c r="AJ24" i="41"/>
  <c r="AN24" i="41"/>
  <c r="AH24" i="41"/>
  <c r="AY24" i="41"/>
  <c r="AM24" i="41"/>
  <c r="AT24" i="41"/>
  <c r="AQ24" i="41"/>
  <c r="AX24" i="41"/>
  <c r="AL24" i="41"/>
  <c r="AI24" i="41"/>
  <c r="D24" i="41"/>
  <c r="D17" i="23" s="1"/>
  <c r="E17" i="24" s="1"/>
  <c r="AS24" i="41"/>
  <c r="AV24" i="41"/>
  <c r="AW24" i="41"/>
  <c r="AK24" i="41"/>
  <c r="AU24" i="41"/>
  <c r="AG24" i="41"/>
  <c r="B25" i="41"/>
  <c r="A26" i="41"/>
  <c r="A19" i="23" s="1"/>
  <c r="A19" i="24" s="1"/>
  <c r="FL23" i="41" l="1"/>
  <c r="FJ23" i="41"/>
  <c r="B18" i="23"/>
  <c r="B18" i="24" s="1"/>
  <c r="P24" i="41"/>
  <c r="CA24" i="41"/>
  <c r="O24" i="41" s="1"/>
  <c r="O23" i="41"/>
  <c r="BA24" i="41"/>
  <c r="BB24" i="41"/>
  <c r="B26" i="41"/>
  <c r="A27" i="41"/>
  <c r="A20" i="23" s="1"/>
  <c r="A20" i="24" s="1"/>
  <c r="AL25" i="41"/>
  <c r="AR25" i="41"/>
  <c r="AO25" i="41"/>
  <c r="AS25" i="41"/>
  <c r="AQ25" i="41"/>
  <c r="D25" i="41"/>
  <c r="D18" i="23" s="1"/>
  <c r="E18" i="24" s="1"/>
  <c r="AY25" i="41"/>
  <c r="AW25" i="41"/>
  <c r="AT25" i="41"/>
  <c r="AK25" i="41"/>
  <c r="AP25" i="41"/>
  <c r="AJ25" i="41"/>
  <c r="AI25" i="41"/>
  <c r="AV25" i="41"/>
  <c r="AX25" i="41"/>
  <c r="AN25" i="41"/>
  <c r="AU25" i="41"/>
  <c r="AH25" i="41"/>
  <c r="AZ25" i="41"/>
  <c r="AM25" i="41"/>
  <c r="AG25" i="41"/>
  <c r="B19" i="23" l="1"/>
  <c r="B19" i="24" s="1"/>
  <c r="Q23" i="41"/>
  <c r="Z23" i="41"/>
  <c r="P25" i="41"/>
  <c r="N24" i="41"/>
  <c r="Q24" i="41" s="1"/>
  <c r="CA25" i="41"/>
  <c r="BA25" i="41"/>
  <c r="N25" i="41" s="1"/>
  <c r="A28" i="41"/>
  <c r="A21" i="23" s="1"/>
  <c r="A21" i="24" s="1"/>
  <c r="B27" i="41"/>
  <c r="AY26" i="41"/>
  <c r="AW26" i="41"/>
  <c r="AR26" i="41"/>
  <c r="AQ26" i="41"/>
  <c r="AN26" i="41"/>
  <c r="AI26" i="41"/>
  <c r="AU26" i="41"/>
  <c r="AX26" i="41"/>
  <c r="AV26" i="41"/>
  <c r="AT26" i="41"/>
  <c r="D26" i="41"/>
  <c r="D19" i="23" s="1"/>
  <c r="E19" i="24" s="1"/>
  <c r="AP26" i="41"/>
  <c r="AM26" i="41"/>
  <c r="AK26" i="41"/>
  <c r="AH26" i="41"/>
  <c r="AZ26" i="41"/>
  <c r="AL26" i="41"/>
  <c r="AO26" i="41"/>
  <c r="AS26" i="41"/>
  <c r="AG26" i="41"/>
  <c r="AJ26" i="41"/>
  <c r="BB25" i="41"/>
  <c r="B20" i="23" l="1"/>
  <c r="B20" i="24" s="1"/>
  <c r="P26" i="41"/>
  <c r="Y25" i="41"/>
  <c r="CA26" i="41"/>
  <c r="O26" i="41" s="1"/>
  <c r="O25" i="41"/>
  <c r="Z25" i="41" s="1"/>
  <c r="BA26" i="41"/>
  <c r="N26" i="41" s="1"/>
  <c r="BB26" i="41"/>
  <c r="AM27" i="41"/>
  <c r="AV27" i="41"/>
  <c r="AH27" i="41"/>
  <c r="AP27" i="41"/>
  <c r="AR27" i="41"/>
  <c r="AT27" i="41"/>
  <c r="AQ27" i="41"/>
  <c r="AW27" i="41"/>
  <c r="AL27" i="41"/>
  <c r="AG27" i="41"/>
  <c r="AS27" i="41"/>
  <c r="AO27" i="41"/>
  <c r="D27" i="41"/>
  <c r="D20" i="23" s="1"/>
  <c r="E20" i="24" s="1"/>
  <c r="AN27" i="41"/>
  <c r="AJ27" i="41"/>
  <c r="AK27" i="41"/>
  <c r="AZ27" i="41"/>
  <c r="AY27" i="41"/>
  <c r="AX27" i="41"/>
  <c r="AI27" i="41"/>
  <c r="AU27" i="41"/>
  <c r="B28" i="41"/>
  <c r="A29" i="41"/>
  <c r="A22" i="23" s="1"/>
  <c r="A22" i="24" s="1"/>
  <c r="FJ25" i="41" l="1"/>
  <c r="FL25" i="41"/>
  <c r="B21" i="23"/>
  <c r="B21" i="24" s="1"/>
  <c r="P27" i="41"/>
  <c r="Q25" i="41"/>
  <c r="CA27" i="41"/>
  <c r="BA27" i="41"/>
  <c r="BB27" i="41"/>
  <c r="B29" i="41"/>
  <c r="A30" i="41"/>
  <c r="A23" i="23" s="1"/>
  <c r="A23" i="24" s="1"/>
  <c r="AW28" i="41"/>
  <c r="AL28" i="41"/>
  <c r="AZ28" i="41"/>
  <c r="AO28" i="41"/>
  <c r="AX28" i="41"/>
  <c r="AJ28" i="41"/>
  <c r="AI28" i="41"/>
  <c r="AG28" i="41"/>
  <c r="AH28" i="41"/>
  <c r="AY28" i="41"/>
  <c r="AS28" i="41"/>
  <c r="AN28" i="41"/>
  <c r="AR28" i="41"/>
  <c r="D28" i="41"/>
  <c r="D21" i="23" s="1"/>
  <c r="E21" i="24" s="1"/>
  <c r="AQ28" i="41"/>
  <c r="AP28" i="41"/>
  <c r="AV28" i="41"/>
  <c r="AU28" i="41"/>
  <c r="AM28" i="41"/>
  <c r="AT28" i="41"/>
  <c r="AK28" i="41"/>
  <c r="Q26" i="41" l="1"/>
  <c r="Y26" i="41"/>
  <c r="B22" i="23"/>
  <c r="B22" i="24" s="1"/>
  <c r="P28" i="41"/>
  <c r="N27" i="41"/>
  <c r="Y27" i="41" s="1"/>
  <c r="CA28" i="41"/>
  <c r="O28" i="41" s="1"/>
  <c r="O27" i="41"/>
  <c r="BA28" i="41"/>
  <c r="N28" i="41" s="1"/>
  <c r="Y28" i="41" s="1"/>
  <c r="BB28" i="41"/>
  <c r="A31" i="41"/>
  <c r="A24" i="23" s="1"/>
  <c r="A24" i="24" s="1"/>
  <c r="B30" i="41"/>
  <c r="AQ29" i="41"/>
  <c r="AV29" i="41"/>
  <c r="AM29" i="41"/>
  <c r="AI29" i="41"/>
  <c r="AN29" i="41"/>
  <c r="AL29" i="41"/>
  <c r="AX29" i="41"/>
  <c r="AK29" i="41"/>
  <c r="AZ29" i="41"/>
  <c r="AJ29" i="41"/>
  <c r="AH29" i="41"/>
  <c r="AU29" i="41"/>
  <c r="D29" i="41"/>
  <c r="D22" i="23" s="1"/>
  <c r="E22" i="24" s="1"/>
  <c r="AT29" i="41"/>
  <c r="AS29" i="41"/>
  <c r="AW29" i="41"/>
  <c r="AO29" i="41"/>
  <c r="AP29" i="41"/>
  <c r="AY29" i="41"/>
  <c r="AG29" i="41"/>
  <c r="AR29" i="41"/>
  <c r="FJ28" i="41" l="1"/>
  <c r="FL28" i="41"/>
  <c r="FL27" i="41"/>
  <c r="FJ27" i="41"/>
  <c r="FL26" i="41"/>
  <c r="FJ26" i="41"/>
  <c r="B23" i="23"/>
  <c r="B23" i="24" s="1"/>
  <c r="P29" i="41"/>
  <c r="Q28" i="41"/>
  <c r="Q27" i="41"/>
  <c r="CA29" i="41"/>
  <c r="O29" i="41" s="1"/>
  <c r="BA29" i="41"/>
  <c r="N29" i="41" s="1"/>
  <c r="BB29" i="41"/>
  <c r="AZ30" i="41"/>
  <c r="AH30" i="41"/>
  <c r="AN30" i="41"/>
  <c r="AW30" i="41"/>
  <c r="AR30" i="41"/>
  <c r="AL30" i="41"/>
  <c r="AM30" i="41"/>
  <c r="AJ30" i="41"/>
  <c r="AQ30" i="41"/>
  <c r="AV30" i="41"/>
  <c r="AT30" i="41"/>
  <c r="AY30" i="41"/>
  <c r="AG30" i="41"/>
  <c r="D30" i="41"/>
  <c r="D23" i="23" s="1"/>
  <c r="E23" i="24" s="1"/>
  <c r="AI30" i="41"/>
  <c r="AU30" i="41"/>
  <c r="AS30" i="41"/>
  <c r="AX30" i="41"/>
  <c r="AK30" i="41"/>
  <c r="AP30" i="41"/>
  <c r="AO30" i="41"/>
  <c r="A32" i="41"/>
  <c r="A25" i="23" s="1"/>
  <c r="A25" i="24" s="1"/>
  <c r="B31" i="41"/>
  <c r="B24" i="23" l="1"/>
  <c r="B24" i="24" s="1"/>
  <c r="P30" i="41"/>
  <c r="Q29" i="41"/>
  <c r="CA30" i="41"/>
  <c r="O30" i="41" s="1"/>
  <c r="BA30" i="41"/>
  <c r="AM31" i="41"/>
  <c r="AN31" i="41"/>
  <c r="AQ31" i="41"/>
  <c r="AT31" i="41"/>
  <c r="AY31" i="41"/>
  <c r="AP31" i="41"/>
  <c r="AL31" i="41"/>
  <c r="AI31" i="41"/>
  <c r="AO31" i="41"/>
  <c r="D31" i="41"/>
  <c r="D24" i="23" s="1"/>
  <c r="E24" i="24" s="1"/>
  <c r="AW31" i="41"/>
  <c r="AS31" i="41"/>
  <c r="AX31" i="41"/>
  <c r="AK31" i="41"/>
  <c r="AZ31" i="41"/>
  <c r="AH31" i="41"/>
  <c r="AR31" i="41"/>
  <c r="AG31" i="41"/>
  <c r="AU31" i="41"/>
  <c r="AJ31" i="41"/>
  <c r="AV31" i="41"/>
  <c r="A33" i="41"/>
  <c r="A26" i="23" s="1"/>
  <c r="A26" i="24" s="1"/>
  <c r="B32" i="41"/>
  <c r="BB30" i="41"/>
  <c r="B25" i="23" l="1"/>
  <c r="B25" i="24" s="1"/>
  <c r="P31" i="41"/>
  <c r="N30" i="41"/>
  <c r="Q30" i="41" s="1"/>
  <c r="BA31" i="41"/>
  <c r="N31" i="41" s="1"/>
  <c r="CA31" i="41"/>
  <c r="O31" i="41" s="1"/>
  <c r="BB31" i="41"/>
  <c r="AN32" i="41"/>
  <c r="AK32" i="41"/>
  <c r="AT32" i="41"/>
  <c r="AX32" i="41"/>
  <c r="AU32" i="41"/>
  <c r="AJ32" i="41"/>
  <c r="AM32" i="41"/>
  <c r="AH32" i="41"/>
  <c r="AG32" i="41"/>
  <c r="AP32" i="41"/>
  <c r="AI32" i="41"/>
  <c r="AZ32" i="41"/>
  <c r="AW32" i="41"/>
  <c r="AL32" i="41"/>
  <c r="AY32" i="41"/>
  <c r="D32" i="41"/>
  <c r="D25" i="23" s="1"/>
  <c r="E25" i="24" s="1"/>
  <c r="AO32" i="41"/>
  <c r="AR32" i="41"/>
  <c r="AS32" i="41"/>
  <c r="AV32" i="41"/>
  <c r="AQ32" i="41"/>
  <c r="B33" i="41"/>
  <c r="A34" i="41"/>
  <c r="A27" i="23" s="1"/>
  <c r="A27" i="24" s="1"/>
  <c r="B26" i="23" l="1"/>
  <c r="B26" i="24" s="1"/>
  <c r="P32" i="41"/>
  <c r="Q31" i="41"/>
  <c r="CA32" i="41"/>
  <c r="O32" i="41" s="1"/>
  <c r="BA32" i="41"/>
  <c r="AI33" i="41"/>
  <c r="AN33" i="41"/>
  <c r="AH33" i="41"/>
  <c r="AT33" i="41"/>
  <c r="AX33" i="41"/>
  <c r="AS33" i="41"/>
  <c r="AZ33" i="41"/>
  <c r="AY33" i="41"/>
  <c r="AP33" i="41"/>
  <c r="AM33" i="41"/>
  <c r="AG33" i="41"/>
  <c r="AL33" i="41"/>
  <c r="AR33" i="41"/>
  <c r="AW33" i="41"/>
  <c r="AK33" i="41"/>
  <c r="D33" i="41"/>
  <c r="D26" i="23" s="1"/>
  <c r="E26" i="24" s="1"/>
  <c r="AJ33" i="41"/>
  <c r="AO33" i="41"/>
  <c r="AU33" i="41"/>
  <c r="AQ33" i="41"/>
  <c r="AV33" i="41"/>
  <c r="A35" i="41"/>
  <c r="A28" i="23" s="1"/>
  <c r="A28" i="24" s="1"/>
  <c r="B34" i="41"/>
  <c r="BB32" i="41"/>
  <c r="B27" i="23" l="1"/>
  <c r="B27" i="24" s="1"/>
  <c r="P33" i="41"/>
  <c r="N32" i="41"/>
  <c r="Q32" i="41" s="1"/>
  <c r="CA33" i="41"/>
  <c r="O33" i="41" s="1"/>
  <c r="J38" i="61" s="1"/>
  <c r="BA33" i="41"/>
  <c r="N33" i="41" s="1"/>
  <c r="AZ34" i="41"/>
  <c r="AH34" i="41"/>
  <c r="AM34" i="41"/>
  <c r="AG34" i="41"/>
  <c r="AR34" i="41"/>
  <c r="AN34" i="41"/>
  <c r="AY34" i="41"/>
  <c r="AJ34" i="41"/>
  <c r="AT34" i="41"/>
  <c r="AQ34" i="41"/>
  <c r="AW34" i="41"/>
  <c r="D34" i="41"/>
  <c r="D27" i="23" s="1"/>
  <c r="E27" i="24" s="1"/>
  <c r="AL34" i="41"/>
  <c r="AI34" i="41"/>
  <c r="AV34" i="41"/>
  <c r="AS34" i="41"/>
  <c r="AX34" i="41"/>
  <c r="AU34" i="41"/>
  <c r="AK34" i="41"/>
  <c r="AP34" i="41"/>
  <c r="AO34" i="41"/>
  <c r="BB33" i="41"/>
  <c r="B35" i="41"/>
  <c r="A36" i="41"/>
  <c r="A29" i="23" s="1"/>
  <c r="A29" i="24" s="1"/>
  <c r="B28" i="23" l="1"/>
  <c r="B28" i="24" s="1"/>
  <c r="P34" i="41"/>
  <c r="Q33" i="41"/>
  <c r="Y33" i="41"/>
  <c r="CA34" i="41"/>
  <c r="O34" i="41" s="1"/>
  <c r="BA34" i="41"/>
  <c r="N34" i="41" s="1"/>
  <c r="B36" i="41"/>
  <c r="A37" i="41"/>
  <c r="A30" i="23" s="1"/>
  <c r="A30" i="24" s="1"/>
  <c r="AT35" i="41"/>
  <c r="AQ35" i="41"/>
  <c r="AH35" i="41"/>
  <c r="AP35" i="41"/>
  <c r="AL35" i="41"/>
  <c r="AI35" i="41"/>
  <c r="AG35" i="41"/>
  <c r="AJ35" i="41"/>
  <c r="AS35" i="41"/>
  <c r="AK35" i="41"/>
  <c r="AV35" i="41"/>
  <c r="AZ35" i="41"/>
  <c r="AX35" i="41"/>
  <c r="D35" i="41"/>
  <c r="D28" i="23" s="1"/>
  <c r="E28" i="24" s="1"/>
  <c r="AN35" i="41"/>
  <c r="AR35" i="41"/>
  <c r="AW35" i="41"/>
  <c r="AO35" i="41"/>
  <c r="AU35" i="41"/>
  <c r="AM35" i="41"/>
  <c r="AY35" i="41"/>
  <c r="BB34" i="41"/>
  <c r="FL33" i="41" l="1"/>
  <c r="FJ33" i="41"/>
  <c r="B29" i="23"/>
  <c r="B29" i="24" s="1"/>
  <c r="P35" i="41"/>
  <c r="Q34" i="41"/>
  <c r="CA35" i="41"/>
  <c r="O35" i="41" s="1"/>
  <c r="BA35" i="41"/>
  <c r="N35" i="41" s="1"/>
  <c r="BB35" i="41"/>
  <c r="A38" i="41"/>
  <c r="A31" i="23" s="1"/>
  <c r="A31" i="24" s="1"/>
  <c r="B37" i="41"/>
  <c r="AV36" i="41"/>
  <c r="AZ36" i="41"/>
  <c r="AU36" i="41"/>
  <c r="AM36" i="41"/>
  <c r="D36" i="41"/>
  <c r="D29" i="23" s="1"/>
  <c r="E29" i="24" s="1"/>
  <c r="AN36" i="41"/>
  <c r="AY36" i="41"/>
  <c r="AR36" i="41"/>
  <c r="AQ36" i="41"/>
  <c r="AI36" i="41"/>
  <c r="AX36" i="41"/>
  <c r="AS36" i="41"/>
  <c r="AP36" i="41"/>
  <c r="AH36" i="41"/>
  <c r="AT36" i="41"/>
  <c r="AJ36" i="41"/>
  <c r="AW36" i="41"/>
  <c r="AL36" i="41"/>
  <c r="AO36" i="41"/>
  <c r="AG36" i="41"/>
  <c r="AK36" i="41"/>
  <c r="B30" i="23" l="1"/>
  <c r="B30" i="24" s="1"/>
  <c r="P36" i="41"/>
  <c r="Q35" i="41"/>
  <c r="CA36" i="41"/>
  <c r="O36" i="41" s="1"/>
  <c r="BA36" i="41"/>
  <c r="N36" i="41" s="1"/>
  <c r="BB36" i="41"/>
  <c r="AX37" i="41"/>
  <c r="AU37" i="41"/>
  <c r="AT37" i="41"/>
  <c r="AW37" i="41"/>
  <c r="AP37" i="41"/>
  <c r="AM37" i="41"/>
  <c r="AZ37" i="41"/>
  <c r="AH37" i="41"/>
  <c r="AR37" i="41"/>
  <c r="AL37" i="41"/>
  <c r="AJ37" i="41"/>
  <c r="AO37" i="41"/>
  <c r="AS37" i="41"/>
  <c r="D37" i="41"/>
  <c r="D30" i="23" s="1"/>
  <c r="E30" i="24" s="1"/>
  <c r="AG37" i="41"/>
  <c r="AV37" i="41"/>
  <c r="AY37" i="41"/>
  <c r="AK37" i="41"/>
  <c r="AQ37" i="41"/>
  <c r="AI37" i="41"/>
  <c r="AN37" i="41"/>
  <c r="A39" i="41"/>
  <c r="A32" i="23" s="1"/>
  <c r="A32" i="24" s="1"/>
  <c r="B38" i="41"/>
  <c r="B31" i="23" l="1"/>
  <c r="B31" i="24" s="1"/>
  <c r="P37" i="41"/>
  <c r="Q36" i="41"/>
  <c r="CA37" i="41"/>
  <c r="O37" i="41" s="1"/>
  <c r="BA37" i="41"/>
  <c r="N37" i="41" s="1"/>
  <c r="BB37" i="41"/>
  <c r="A40" i="41"/>
  <c r="B39" i="41"/>
  <c r="B32" i="23" s="1"/>
  <c r="B32" i="24" s="1"/>
  <c r="AZ38" i="41"/>
  <c r="AH38" i="41"/>
  <c r="AJ38" i="41"/>
  <c r="AQ38" i="41"/>
  <c r="AR38" i="41"/>
  <c r="AW38" i="41"/>
  <c r="AU38" i="41"/>
  <c r="AO38" i="41"/>
  <c r="D38" i="41"/>
  <c r="D31" i="23" s="1"/>
  <c r="E31" i="24" s="1"/>
  <c r="AY38" i="41"/>
  <c r="AG38" i="41"/>
  <c r="AV38" i="41"/>
  <c r="AT38" i="41"/>
  <c r="AL38" i="41"/>
  <c r="AI38" i="41"/>
  <c r="AN38" i="41"/>
  <c r="AS38" i="41"/>
  <c r="AX38" i="41"/>
  <c r="AK38" i="41"/>
  <c r="AP38" i="41"/>
  <c r="AM38" i="41"/>
  <c r="B40" i="41" l="1"/>
  <c r="A33" i="23"/>
  <c r="A33" i="24" s="1"/>
  <c r="P38" i="41"/>
  <c r="Q37" i="41"/>
  <c r="G71" i="41"/>
  <c r="U32" i="43" s="1"/>
  <c r="G82" i="41"/>
  <c r="AU32" i="43" s="1"/>
  <c r="G73" i="41"/>
  <c r="Y32" i="43" s="1"/>
  <c r="G66" i="41"/>
  <c r="I32" i="43" s="1"/>
  <c r="G84" i="41"/>
  <c r="AY32" i="43" s="1"/>
  <c r="G74" i="41"/>
  <c r="AA32" i="43" s="1"/>
  <c r="G83" i="41"/>
  <c r="AW32" i="43" s="1"/>
  <c r="G77" i="41"/>
  <c r="AI32" i="43" s="1"/>
  <c r="G65" i="41"/>
  <c r="G32" i="43" s="1"/>
  <c r="G86" i="41"/>
  <c r="BC32" i="43" s="1"/>
  <c r="G67" i="41"/>
  <c r="K32" i="43" s="1"/>
  <c r="G72" i="41"/>
  <c r="W32" i="43" s="1"/>
  <c r="G70" i="41"/>
  <c r="S32" i="43" s="1"/>
  <c r="K81" i="1" s="1"/>
  <c r="G64" i="41"/>
  <c r="E32" i="43" s="1"/>
  <c r="G78" i="41"/>
  <c r="AK32" i="43" s="1"/>
  <c r="G76" i="41"/>
  <c r="AG32" i="43" s="1"/>
  <c r="G85" i="41"/>
  <c r="BA32" i="43" s="1"/>
  <c r="G68" i="41"/>
  <c r="M32" i="43" s="1"/>
  <c r="G79" i="41"/>
  <c r="AM32" i="43" s="1"/>
  <c r="G80" i="41"/>
  <c r="AO32" i="43" s="1"/>
  <c r="CA38" i="41"/>
  <c r="O38" i="41" s="1"/>
  <c r="Z38" i="41" s="1"/>
  <c r="Z41" i="41" s="1"/>
  <c r="BA38" i="41"/>
  <c r="AB41" i="41"/>
  <c r="I67" i="1" s="1"/>
  <c r="J29" i="1" s="1"/>
  <c r="AV39" i="41"/>
  <c r="AZ39" i="41"/>
  <c r="AP39" i="41"/>
  <c r="D39" i="41"/>
  <c r="D32" i="23" s="1"/>
  <c r="E32" i="24" s="1"/>
  <c r="AN39" i="41"/>
  <c r="AR39" i="41"/>
  <c r="AH39" i="41"/>
  <c r="AU39" i="41"/>
  <c r="AJ39" i="41"/>
  <c r="AW39" i="41"/>
  <c r="AM39" i="41"/>
  <c r="AY39" i="41"/>
  <c r="AO39" i="41"/>
  <c r="AT39" i="41"/>
  <c r="AQ39" i="41"/>
  <c r="AG39" i="41"/>
  <c r="EF41" i="41" s="1"/>
  <c r="AL39" i="41"/>
  <c r="AI39" i="41"/>
  <c r="AS39" i="41"/>
  <c r="AK39" i="41"/>
  <c r="AX39" i="41"/>
  <c r="AX40" i="41"/>
  <c r="AR40" i="41"/>
  <c r="AP40" i="41"/>
  <c r="AZ40" i="41"/>
  <c r="AH40" i="41"/>
  <c r="AV40" i="41"/>
  <c r="AT40" i="41"/>
  <c r="AN40" i="41"/>
  <c r="AL40" i="41"/>
  <c r="AJ40" i="41"/>
  <c r="D40" i="41"/>
  <c r="AY40" i="41"/>
  <c r="AW40" i="41"/>
  <c r="AO40" i="41"/>
  <c r="AU40" i="41"/>
  <c r="AS40" i="41"/>
  <c r="AQ40" i="41"/>
  <c r="AG40" i="41"/>
  <c r="AM40" i="41"/>
  <c r="AK40" i="41"/>
  <c r="AI40" i="41"/>
  <c r="BB38" i="41"/>
  <c r="L94" i="1" l="1"/>
  <c r="K94" i="1"/>
  <c r="L83" i="1"/>
  <c r="K83" i="1"/>
  <c r="L74" i="1"/>
  <c r="K74" i="1"/>
  <c r="L93" i="1"/>
  <c r="K93" i="1"/>
  <c r="K75" i="1"/>
  <c r="L75" i="1"/>
  <c r="L84" i="1"/>
  <c r="K84" i="1"/>
  <c r="K76" i="1"/>
  <c r="L76" i="1"/>
  <c r="L73" i="1"/>
  <c r="K73" i="1"/>
  <c r="L82" i="1"/>
  <c r="K82" i="1"/>
  <c r="L90" i="1"/>
  <c r="K90" i="1"/>
  <c r="L91" i="1"/>
  <c r="K91" i="1"/>
  <c r="L92" i="1"/>
  <c r="K92" i="1"/>
  <c r="K72" i="1"/>
  <c r="L72" i="1"/>
  <c r="L85" i="1"/>
  <c r="K85" i="1"/>
  <c r="K103" i="1"/>
  <c r="L103" i="1"/>
  <c r="K99" i="1"/>
  <c r="L99" i="1"/>
  <c r="K102" i="1"/>
  <c r="L102" i="1"/>
  <c r="K100" i="1"/>
  <c r="L100" i="1"/>
  <c r="L101" i="1"/>
  <c r="K101" i="1"/>
  <c r="L81" i="1"/>
  <c r="G81" i="1" s="1"/>
  <c r="D94" i="1"/>
  <c r="F94" i="1"/>
  <c r="D83" i="1"/>
  <c r="F83" i="1"/>
  <c r="D74" i="1"/>
  <c r="F74" i="1"/>
  <c r="D84" i="1"/>
  <c r="F84" i="1"/>
  <c r="D82" i="1"/>
  <c r="F82" i="1"/>
  <c r="D93" i="1"/>
  <c r="F93" i="1"/>
  <c r="D99" i="1"/>
  <c r="F99" i="1"/>
  <c r="D90" i="1"/>
  <c r="F90" i="1"/>
  <c r="D91" i="1"/>
  <c r="F91" i="1"/>
  <c r="D103" i="1"/>
  <c r="F103" i="1"/>
  <c r="D73" i="1"/>
  <c r="F73" i="1"/>
  <c r="D100" i="1"/>
  <c r="J15" i="44" s="1"/>
  <c r="F100" i="1"/>
  <c r="D76" i="1"/>
  <c r="F76" i="1"/>
  <c r="D102" i="1"/>
  <c r="F102" i="1"/>
  <c r="D92" i="1"/>
  <c r="F92" i="1"/>
  <c r="F72" i="1"/>
  <c r="D85" i="1"/>
  <c r="F85" i="1"/>
  <c r="D75" i="1"/>
  <c r="F75" i="1"/>
  <c r="D81" i="1"/>
  <c r="F81" i="1"/>
  <c r="D101" i="1"/>
  <c r="J16" i="44" s="1"/>
  <c r="F101" i="1"/>
  <c r="AO37" i="43"/>
  <c r="AO40" i="43"/>
  <c r="W37" i="43"/>
  <c r="W40" i="43"/>
  <c r="I40" i="43"/>
  <c r="I37" i="43"/>
  <c r="AM37" i="43"/>
  <c r="AM40" i="43"/>
  <c r="K37" i="43"/>
  <c r="K40" i="43"/>
  <c r="Y40" i="43"/>
  <c r="Y37" i="43"/>
  <c r="BC37" i="43"/>
  <c r="BC40" i="43"/>
  <c r="AU40" i="43"/>
  <c r="AU37" i="43"/>
  <c r="G40" i="43"/>
  <c r="G37" i="43"/>
  <c r="U40" i="43"/>
  <c r="U37" i="43"/>
  <c r="BA40" i="43"/>
  <c r="BA37" i="43"/>
  <c r="AG40" i="43"/>
  <c r="AG37" i="43"/>
  <c r="AI40" i="43"/>
  <c r="AI37" i="43"/>
  <c r="AK40" i="43"/>
  <c r="AK37" i="43"/>
  <c r="AW40" i="43"/>
  <c r="AW37" i="43"/>
  <c r="M40" i="43"/>
  <c r="M37" i="43"/>
  <c r="E40" i="43"/>
  <c r="BD32" i="43"/>
  <c r="I64" i="1" s="1"/>
  <c r="I40" i="1" s="1"/>
  <c r="B36" i="1" s="1"/>
  <c r="E37" i="43"/>
  <c r="AA40" i="43"/>
  <c r="AA37" i="43"/>
  <c r="S40" i="43"/>
  <c r="S37" i="43"/>
  <c r="AY37" i="43"/>
  <c r="AY40" i="43"/>
  <c r="AF41" i="41"/>
  <c r="J52" i="1" s="1"/>
  <c r="D33" i="23"/>
  <c r="E33" i="24" s="1"/>
  <c r="P40" i="41"/>
  <c r="B33" i="23"/>
  <c r="B33" i="24" s="1"/>
  <c r="G87" i="41"/>
  <c r="G37" i="23" s="1"/>
  <c r="H37" i="25" s="1"/>
  <c r="H40" i="25" s="1"/>
  <c r="P39" i="41"/>
  <c r="D72" i="1"/>
  <c r="N38" i="41"/>
  <c r="CA40" i="41"/>
  <c r="CA39" i="41"/>
  <c r="O39" i="41" s="1"/>
  <c r="BA40" i="41"/>
  <c r="BA39" i="41"/>
  <c r="BB40" i="41"/>
  <c r="BB39" i="41"/>
  <c r="J33" i="1" l="1"/>
  <c r="J11" i="44"/>
  <c r="I21" i="1"/>
  <c r="I23" i="1" s="1"/>
  <c r="K23" i="1" s="1"/>
  <c r="B43" i="1"/>
  <c r="I42" i="1"/>
  <c r="K42" i="1" s="1"/>
  <c r="D106" i="1"/>
  <c r="BD40" i="43"/>
  <c r="G75" i="1"/>
  <c r="H75" i="1" s="1"/>
  <c r="G73" i="1"/>
  <c r="H73" i="1" s="1"/>
  <c r="G76" i="1"/>
  <c r="H76" i="1" s="1"/>
  <c r="G85" i="1"/>
  <c r="H85" i="1" s="1"/>
  <c r="G84" i="1"/>
  <c r="H84" i="1" s="1"/>
  <c r="G83" i="1"/>
  <c r="H83" i="1" s="1"/>
  <c r="G74" i="1"/>
  <c r="H74" i="1" s="1"/>
  <c r="G72" i="1"/>
  <c r="H72" i="1" s="1"/>
  <c r="G92" i="1"/>
  <c r="H92" i="1" s="1"/>
  <c r="G93" i="1"/>
  <c r="H93" i="1" s="1"/>
  <c r="G91" i="1"/>
  <c r="H91" i="1" s="1"/>
  <c r="G90" i="1"/>
  <c r="H90" i="1" s="1"/>
  <c r="G82" i="1"/>
  <c r="G94" i="1"/>
  <c r="H94" i="1" s="1"/>
  <c r="G101" i="1"/>
  <c r="H101" i="1" s="1"/>
  <c r="G102" i="1"/>
  <c r="H102" i="1" s="1"/>
  <c r="G99" i="1"/>
  <c r="H99" i="1" s="1"/>
  <c r="G100" i="1"/>
  <c r="H100" i="1" s="1"/>
  <c r="G103" i="1"/>
  <c r="H81" i="1"/>
  <c r="F86" i="1"/>
  <c r="F104" i="1"/>
  <c r="F95" i="1"/>
  <c r="F77" i="1"/>
  <c r="BD37" i="43"/>
  <c r="Q38" i="41"/>
  <c r="Y38" i="41"/>
  <c r="AM37" i="23"/>
  <c r="H36" i="24"/>
  <c r="H39" i="24" s="1"/>
  <c r="I12" i="1"/>
  <c r="G35" i="23"/>
  <c r="CC41" i="41"/>
  <c r="CB41" i="41"/>
  <c r="BD41" i="43" s="1"/>
  <c r="N40" i="41"/>
  <c r="O40" i="41"/>
  <c r="O41" i="41" s="1"/>
  <c r="CA41" i="41"/>
  <c r="BA41" i="41"/>
  <c r="N39" i="41"/>
  <c r="Q39" i="41" s="1"/>
  <c r="J58" i="1" l="1"/>
  <c r="FL41" i="41"/>
  <c r="FJ41" i="41"/>
  <c r="J54" i="1" s="1"/>
  <c r="Y41" i="41"/>
  <c r="J56" i="1"/>
  <c r="J18" i="44" s="1"/>
  <c r="J3" i="61"/>
  <c r="G77" i="1"/>
  <c r="G86" i="1"/>
  <c r="H82" i="1"/>
  <c r="H86" i="1" s="1"/>
  <c r="H77" i="1"/>
  <c r="H95" i="1"/>
  <c r="G95" i="1"/>
  <c r="G104" i="1"/>
  <c r="H103" i="1"/>
  <c r="H104" i="1" s="1"/>
  <c r="I66" i="1"/>
  <c r="N41" i="41"/>
  <c r="I48" i="41" s="1"/>
  <c r="AN41" i="43"/>
  <c r="Q40" i="41"/>
  <c r="J35" i="1" l="1"/>
  <c r="J13" i="44"/>
  <c r="Q41" i="41"/>
  <c r="FH41" i="41"/>
  <c r="FG41" i="41"/>
  <c r="FF41" i="41"/>
  <c r="FE41" i="41"/>
  <c r="I44" i="41"/>
  <c r="I47" i="41" s="1"/>
  <c r="C5" i="50" s="1"/>
  <c r="H47" i="41"/>
  <c r="C17" i="50" l="1"/>
  <c r="C24" i="50"/>
  <c r="C27" i="50" s="1"/>
  <c r="I52" i="41"/>
  <c r="E5" i="50" s="1"/>
  <c r="E24" i="50" s="1"/>
  <c r="E27" i="50" s="1"/>
  <c r="D5" i="50"/>
  <c r="D24" i="50" s="1"/>
  <c r="D27" i="50" s="1"/>
  <c r="E29" i="50" l="1"/>
  <c r="D17" i="50"/>
  <c r="E17" i="50"/>
  <c r="E19" i="50" s="1"/>
  <c r="E28" i="50"/>
  <c r="D20" i="2"/>
  <c r="H21" i="2" s="1"/>
  <c r="H25" i="2" s="1"/>
  <c r="H20" i="2"/>
  <c r="G20" i="2"/>
  <c r="F20" i="2"/>
  <c r="E20" i="2"/>
  <c r="E33" i="2" s="1"/>
  <c r="C4" i="2"/>
  <c r="C2" i="2"/>
  <c r="C3" i="2"/>
  <c r="E31" i="2"/>
  <c r="E32" i="2"/>
  <c r="E30" i="2"/>
  <c r="E26" i="2"/>
  <c r="E58" i="50" l="1"/>
  <c r="E18" i="50"/>
  <c r="G15" i="1" l="1"/>
  <c r="B16" i="1" s="1"/>
  <c r="I15" i="1"/>
  <c r="J7" i="44" s="1"/>
  <c r="J17" i="44" l="1"/>
  <c r="J14" i="44"/>
  <c r="J48" i="1"/>
  <c r="J28" i="1" s="1"/>
  <c r="J36" i="1" s="1"/>
  <c r="B37" i="1" s="1"/>
  <c r="J55" i="1" l="1"/>
  <c r="D107" i="1" s="1"/>
  <c r="J22" i="61"/>
  <c r="J24" i="61" s="1"/>
  <c r="J39" i="61" s="1"/>
  <c r="I68" i="1" l="1"/>
  <c r="I43" i="1" s="1"/>
  <c r="K51" i="44"/>
  <c r="K66" i="1"/>
  <c r="J59" i="1" l="1"/>
  <c r="P41" i="41"/>
  <c r="I69" i="1" l="1"/>
  <c r="P14" i="69" l="1"/>
  <c r="P40" i="69" s="1"/>
  <c r="H31" i="62" l="1"/>
  <c r="J20" i="44"/>
  <c r="Q14" i="69"/>
  <c r="Q40" i="69" s="1"/>
  <c r="J21" i="44" l="1"/>
  <c r="K25" i="44" s="1"/>
  <c r="K52" i="44" s="1"/>
  <c r="K70"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3"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4"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tc={53CDCF47-1C18-B74C-8FCD-1F187581EE76}</author>
    <author>tc={BA36B4C6-FE51-0449-BB6B-4BA6729AA314}</author>
    <author>tc={D2586241-4B4C-8149-AF7C-3A976D71E50B}</author>
    <author>tc={6299BD54-428F-0942-AF97-B33CF2909EA6}</author>
  </authors>
  <commentList>
    <comment ref="I23" authorId="0" shapeId="0" xr:uid="{53CDCF47-1C18-B74C-8FCD-1F187581EE76}">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42" authorId="1" shapeId="0" xr:uid="{BA36B4C6-FE51-0449-BB6B-4BA6729AA314}">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66" authorId="2"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107" authorId="3"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4" authorId="0" shapeId="0" xr:uid="{6F22AF57-3F5C-924A-B7B0-B45967DC6023}">
      <text>
        <r>
          <rPr>
            <b/>
            <sz val="18"/>
            <color rgb="FF000000"/>
            <rFont val="Calibri"/>
            <family val="2"/>
            <scheme val="minor"/>
          </rPr>
          <t>Tove Dohn:</t>
        </r>
        <r>
          <rPr>
            <sz val="10"/>
            <color rgb="FF000000"/>
            <rFont val="Calibri"/>
            <family val="2"/>
            <scheme val="minor"/>
          </rPr>
          <t xml:space="preserve">
</t>
        </r>
        <r>
          <rPr>
            <sz val="18"/>
            <color rgb="FF000000"/>
            <rFont val="Calibri"/>
            <family val="2"/>
            <scheme val="minor"/>
          </rPr>
          <t>Der er ret til 2 omsorgsdage pr. barn pr. kalenderår til og med det år barnet fylder 7 år. Omsorgsdagene skal afvikles inden d. 31. december. Kun omsorgsdage der har været hindret pga. barsel kan overføres til kalenderåret efter.</t>
        </r>
        <r>
          <rPr>
            <sz val="10"/>
            <color rgb="FF000000"/>
            <rFont val="Calibri"/>
            <family val="2"/>
            <scheme val="minor"/>
          </rPr>
          <t xml:space="preserve">
</t>
        </r>
        <r>
          <rPr>
            <b/>
            <sz val="10"/>
            <color rgb="FF000000"/>
            <rFont val="Tahoma"/>
            <family val="2"/>
          </rPr>
          <t xml:space="preserve">
</t>
        </r>
      </text>
    </comment>
    <comment ref="I54"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2"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2"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3"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4"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4"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1"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1"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3"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3"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<sst xmlns="http://schemas.openxmlformats.org/spreadsheetml/2006/main" count="6366" uniqueCount="707">
  <si>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</si>
  <si>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</si>
  <si>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</si>
  <si>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</si>
  <si>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</si>
  <si>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</si>
  <si>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</si>
  <si>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</si>
  <si>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</si>
  <si>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</si>
  <si>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</si>
  <si>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</si>
  <si>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</si>
  <si>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</si>
  <si>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</si>
  <si>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</si>
  <si>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</si>
  <si>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</si>
  <si>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</si>
  <si>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</si>
  <si>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</si>
  <si>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</si>
  <si>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</si>
  <si>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</si>
  <si>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</si>
  <si>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</si>
  <si>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</si>
  <si>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</si>
  <si>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</si>
  <si>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</si>
  <si>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</si>
  <si>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</si>
  <si>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</si>
  <si>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</si>
  <si>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</si>
  <si>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</si>
  <si>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</si>
  <si>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</si>
  <si>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</si>
  <si>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</si>
  <si>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</si>
  <si>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</si>
  <si>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</si>
  <si>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</si>
  <si>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</si>
  <si>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</si>
  <si>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</si>
  <si>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</si>
  <si>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</si>
  <si>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</si>
  <si>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</si>
  <si>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</si>
  <si>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</si>
  <si>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</si>
  <si>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</si>
  <si>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</si>
  <si>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</si>
  <si>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</si>
  <si>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</si>
  <si>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</si>
  <si>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</si>
  <si>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</si>
  <si>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</si>
  <si>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</si>
  <si>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</si>
  <si>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</si>
  <si>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</si>
  <si>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</si>
  <si>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</si>
  <si>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</si>
  <si>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</si>
  <si>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</si>
  <si>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</si>
  <si>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</si>
  <si>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</si>
  <si>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</si>
  <si>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</si>
  <si>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</si>
  <si>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</si>
  <si>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</si>
  <si>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</si>
  <si>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</si>
  <si>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OK13-tillæg</t>
    </r>
    <r>
      <rPr>
        <i/>
        <sz val="10"/>
        <color theme="1"/>
        <rFont val="Calibri"/>
        <family val="2"/>
        <scheme val="minor"/>
      </rPr>
      <t xml:space="preserve"> (udbetales fra 1. aug. 2014 til alle lærere og bhkl.ledere)</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</si>
  <si>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</si>
  <si>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</si>
  <si>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</si>
  <si>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</si>
  <si>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</si>
  <si>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</si>
  <si>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</si>
  <si>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</si>
  <si>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</si>
  <si>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</si>
  <si>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</si>
  <si>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</si>
  <si>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</si>
  <si>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</si>
  <si>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</si>
  <si>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</si>
  <si>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</si>
  <si>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</si>
  <si>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</si>
  <si>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</si>
  <si>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</si>
  <si>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</si>
  <si>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</si>
  <si>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</si>
  <si>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</si>
  <si>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</si>
  <si>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</si>
  <si>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</si>
  <si>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</si>
  <si>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</si>
  <si>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</si>
  <si>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Påskedag</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</si>
  <si>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</si>
  <si>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</si>
  <si>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</si>
  <si>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</si>
  <si>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</si>
  <si>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</si>
  <si>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</si>
  <si>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</si>
  <si>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</si>
  <si>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</si>
  <si>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</si>
  <si>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</si>
  <si>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</si>
  <si>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</si>
  <si>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</si>
  <si>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</si>
  <si>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</si>
  <si>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</si>
  <si>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</si>
  <si>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</si>
  <si>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</si>
  <si>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</si>
  <si>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</si>
  <si>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</si>
  <si>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</si>
  <si>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</si>
  <si>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</si>
  <si>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</si>
  <si>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</si>
  <si>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</si>
  <si>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</si>
  <si>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</si>
  <si>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</si>
  <si>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</si>
  <si>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</si>
  <si>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</si>
  <si>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</si>
  <si>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</si>
  <si>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</si>
  <si>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</si>
  <si>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</si>
  <si>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</si>
  <si>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</si>
  <si>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</si>
  <si>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</si>
  <si>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</si>
  <si>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</si>
  <si>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</si>
  <si>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</si>
  <si>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</si>
  <si>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</si>
  <si>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</si>
  <si>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</si>
  <si>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</si>
  <si>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</si>
  <si>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r>
      <t>OK18-tillæg</t>
    </r>
    <r>
      <rPr>
        <i/>
        <sz val="10"/>
        <color theme="1"/>
        <rFont val="Calibri"/>
        <family val="2"/>
        <scheme val="minor"/>
      </rPr>
      <t xml:space="preserve"> (udbetales fra 1. oktober 2018 til alle lærere og bhkl.ledere)</t>
    </r>
  </si>
  <si>
    <t>Soucheftillæg</t>
  </si>
  <si>
    <t>Pr. time (Lin. 17 * 12 / 1924)</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</si>
  <si>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</si>
  <si>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</si>
  <si>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</si>
  <si>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</si>
  <si>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</si>
  <si>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</si>
  <si>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</si>
  <si>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</si>
  <si>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</si>
  <si>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</si>
  <si>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</si>
  <si>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</si>
  <si>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</si>
  <si>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</si>
  <si>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</si>
  <si>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</si>
  <si>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</si>
  <si>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</si>
  <si>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</si>
  <si>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</si>
  <si>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</si>
  <si>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</si>
  <si>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</si>
  <si>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</si>
  <si>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</si>
  <si>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</si>
  <si>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</si>
  <si>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</si>
  <si>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</si>
  <si>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</si>
  <si>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</si>
  <si>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</si>
  <si>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</si>
  <si>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</si>
  <si>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</si>
  <si>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</si>
  <si>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</si>
  <si>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</si>
  <si>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</si>
  <si>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</si>
  <si>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</si>
  <si>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</si>
  <si>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</si>
  <si>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</si>
  <si>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</si>
  <si>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</si>
  <si>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</si>
  <si>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</si>
  <si>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</si>
  <si>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</si>
  <si>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</si>
  <si>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</si>
  <si>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</si>
  <si>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</si>
  <si>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</si>
  <si>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</si>
  <si>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</si>
  <si>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</si>
  <si>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</si>
  <si>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</si>
  <si>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</si>
  <si>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</si>
  <si>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</si>
  <si>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</si>
  <si>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</si>
  <si>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</si>
  <si>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</si>
  <si>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</si>
  <si>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</si>
  <si>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</si>
  <si>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</si>
  <si>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</si>
  <si>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</si>
  <si>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</si>
  <si>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</si>
  <si>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</si>
  <si>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</si>
  <si>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</si>
  <si>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</si>
  <si>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</si>
  <si>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</si>
  <si>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</si>
  <si>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</si>
  <si>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</si>
  <si>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</si>
  <si>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</si>
  <si>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</si>
  <si>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</si>
  <si>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</si>
  <si>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</si>
  <si>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</si>
  <si>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</si>
  <si>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</si>
  <si>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</si>
  <si>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</si>
  <si>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</si>
  <si>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</si>
  <si>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</si>
  <si>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</si>
  <si>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</si>
  <si>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</si>
  <si>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</si>
  <si>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</si>
  <si>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</si>
  <si>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</si>
  <si>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</si>
  <si>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</si>
  <si>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</si>
  <si>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</si>
  <si>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</si>
  <si>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</si>
  <si>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</si>
  <si>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</si>
  <si>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</si>
  <si>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</si>
  <si>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</si>
  <si>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</si>
  <si>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</si>
  <si>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 xml:space="preserve">Ændringer i arbejdstiden </t>
  </si>
  <si>
    <t>Arbejdsdage på weekenddage</t>
  </si>
  <si>
    <t xml:space="preserve">List her varslet afspadsering. Afspadseringen må ikke være en del af en evt. ændret arbejdstid i kolonne U og V. </t>
  </si>
  <si>
    <t>Rest timer til afspadsering</t>
  </si>
  <si>
    <t>Afspadsringstimer overført fra sidste måned:</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</si>
  <si>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</si>
  <si>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</si>
  <si>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</si>
  <si>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</si>
  <si>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</si>
  <si>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</si>
  <si>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</si>
  <si>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</si>
  <si>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</si>
  <si>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</si>
  <si>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</si>
  <si>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</si>
  <si>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</si>
  <si>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</si>
  <si>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</si>
  <si>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</si>
  <si>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2. påskedag</t>
  </si>
  <si>
    <t>Har alle mdr med</t>
  </si>
  <si>
    <t>Afspadseringstimer optjent</t>
  </si>
  <si>
    <t>Afspadseringstimer afholdt</t>
  </si>
  <si>
    <t>Arbejdstimer på fagdage og emnedage ifølge mdr.kalender</t>
  </si>
  <si>
    <t>Juledag</t>
  </si>
  <si>
    <t>2. pinsedag</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</si>
  <si>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</si>
  <si>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</si>
  <si>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</si>
  <si>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</si>
  <si>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Arbejde på hverdage fra 17:00 - 06:00</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</si>
  <si>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</si>
  <si>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</si>
  <si>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</si>
  <si>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</si>
  <si>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</si>
  <si>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</si>
  <si>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</si>
  <si>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</si>
  <si>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</si>
  <si>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</si>
  <si>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</si>
  <si>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</si>
  <si>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</si>
  <si>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</si>
  <si>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</si>
  <si>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</si>
  <si>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</si>
  <si>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</si>
  <si>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</si>
  <si>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</si>
  <si>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</si>
  <si>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</si>
  <si>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</si>
  <si>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</si>
  <si>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</si>
  <si>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</si>
  <si>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</si>
  <si>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</si>
  <si>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</si>
  <si>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</si>
  <si>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</si>
  <si>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</si>
  <si>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</si>
  <si>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</si>
  <si>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</si>
  <si>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</si>
  <si>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</si>
  <si>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</si>
  <si>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</si>
  <si>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</si>
  <si>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</si>
  <si>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</si>
  <si>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</si>
  <si>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</si>
  <si>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</si>
  <si>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</si>
  <si>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</si>
  <si>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</si>
  <si>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</si>
  <si>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</si>
  <si>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</si>
  <si>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</si>
  <si>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</si>
  <si>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</si>
  <si>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</si>
  <si>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</si>
  <si>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</si>
  <si>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</si>
  <si>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</si>
  <si>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</si>
  <si>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</si>
  <si>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</si>
  <si>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</si>
  <si>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</si>
  <si>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</si>
  <si>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</si>
  <si>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</si>
  <si>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</si>
  <si>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</si>
  <si>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</si>
  <si>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</si>
  <si>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</si>
  <si>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i arbejdstiden</t>
  </si>
  <si>
    <t>Ændring i antal timer på hverdage imellem kl. 17-06 i forhold til kolonne "R"</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</si>
  <si>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</si>
  <si>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</si>
  <si>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t>Ændring i arbejdstimer på hverdage imellem 17-06</t>
  </si>
  <si>
    <r>
      <t xml:space="preserve">Opgørelse total for normperioden </t>
    </r>
    <r>
      <rPr>
        <sz val="12"/>
        <color theme="0"/>
        <rFont val="Calibri (Tekst)"/>
      </rPr>
      <t>(negativ tal = undertid, positiv tal = merarbejde/overarbejde)</t>
    </r>
  </si>
  <si>
    <t>Afspadseringssaldo ved normperioden slut</t>
  </si>
  <si>
    <t>De hvide kolonner: I, J, S, T OG U er kolonner hvor der evt. skal træffes et valg med "X".</t>
  </si>
  <si>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t>
    </r>
  </si>
  <si>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</si>
  <si>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</si>
  <si>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</si>
  <si>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</si>
  <si>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</si>
  <si>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</si>
  <si>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</si>
  <si>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</si>
  <si>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</si>
  <si>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</si>
  <si>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</si>
  <si>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</si>
  <si>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</si>
  <si>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</si>
  <si>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Olrovsdage</t>
  </si>
  <si>
    <t>Orlov (I kalenderen angivet med mørkegrøn)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</si>
  <si>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</si>
  <si>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</si>
  <si>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</si>
  <si>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</si>
  <si>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</si>
  <si>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</si>
  <si>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</si>
  <si>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</si>
  <si>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</si>
  <si>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</si>
  <si>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</si>
  <si>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</si>
  <si>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</si>
  <si>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</si>
  <si>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</si>
  <si>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</si>
  <si>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</si>
  <si>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</si>
  <si>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</si>
  <si>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</si>
  <si>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</si>
  <si>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</si>
  <si>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 xml:space="preserve">Tiden i række 79 viser om normperiodens timetal går op, om der er planlagt med for mange timer eller med for få timer. Ønskes timetallet her ændret kan skolen med fordel anvende "målsøgning". Stå på cellen "D79" og klik på menuen 'Funktioner' og vælg 'Målsøgning', eller vælg 'Data' i båndet og klik på 'Målsøgning' i ikonet 'Hvad-hvis'. Cellen der skal ændres vælges - værdien sættes til nul og man beder om ændring på det valgte. </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</si>
  <si>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</si>
  <si>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</si>
  <si>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</si>
  <si>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</si>
  <si>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</si>
  <si>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</si>
  <si>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</si>
  <si>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</si>
  <si>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</si>
  <si>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</si>
  <si>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4,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</si>
  <si>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</si>
  <si>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</si>
  <si>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</si>
  <si>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</si>
  <si>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</si>
  <si>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</si>
  <si>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</si>
  <si>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</si>
  <si>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r>
      <rPr>
        <b/>
        <sz val="12"/>
        <color theme="4" tint="-0.499984740745262"/>
        <rFont val="Arial"/>
        <family val="2"/>
      </rPr>
      <t xml:space="preserve"> TIL PRINT: </t>
    </r>
    <r>
      <rPr>
        <sz val="12"/>
        <color theme="1"/>
        <rFont val="Arial"/>
        <family val="2"/>
      </rPr>
      <t>Månedskalenderne august - juli, opgaver, skema 1-4 og opgørelse er til print og udlevering til læreren.</t>
    </r>
  </si>
  <si>
    <t>Vælg "x" hvis ændring i arbejdstimer i forhold til kolonne "N". Ændring(af fast karakter) i den planlagte arbejdstid uden for tidsrummet 7.30-16.30 skal varsles med mindst 4 uger.</t>
  </si>
  <si>
    <t>Hvis "x" er der pålagt arbejde lør/søn eller på en SH-dag.</t>
  </si>
  <si>
    <t>Vælg "x" hvis der planlægges arbejde lørdage og søndage eller SH-dage.</t>
  </si>
  <si>
    <t>Vælg "x" hvis der planlægges lejrskole, studieture eller lign., med overnatning (Arrangementer med elever).</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</si>
  <si>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</si>
  <si>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</si>
  <si>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</si>
  <si>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</si>
  <si>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</si>
  <si>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</si>
  <si>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Estimeret</t>
  </si>
  <si>
    <t>Aftalt lokalt</t>
  </si>
  <si>
    <t>Er tiden estimeret eller aftalt lokalt? Vælg med "rullelisten"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</si>
  <si>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</si>
  <si>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</si>
  <si>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</si>
  <si>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</si>
  <si>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</si>
  <si>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</si>
  <si>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</si>
  <si>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</si>
  <si>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r>
      <t xml:space="preserve">Beskrivelse af møder og arrangementer på hverdage i tidsrummet 17-06. </t>
    </r>
    <r>
      <rPr>
        <b/>
        <sz val="12"/>
        <rFont val="Arial"/>
        <family val="2"/>
      </rPr>
      <t>IKKE ved lejrskole og andre elev-arrangementer med overnatning.</t>
    </r>
  </si>
  <si>
    <t>Hvis "X" vedrører tjenesten lejrskole, studieture eller lign., med elev-overnatning.</t>
  </si>
  <si>
    <t>(forberedelse og opgaver på min. 60 timer)</t>
  </si>
  <si>
    <t>Opgaver der tæller mere end 60 timer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</si>
  <si>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</si>
  <si>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</si>
  <si>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</si>
  <si>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Hvis begge arrangementer</t>
  </si>
  <si>
    <t>Hvis kun dag</t>
  </si>
  <si>
    <t>Hvis kun aften</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</si>
  <si>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</si>
  <si>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</si>
  <si>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</si>
  <si>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I fanen Skemaoplysninger fjernes de opgaver der var planlagt særligt i måneder og som nu ikke længere er en del af den ansattes arbejdstid i delperioden. I månedeskalenderne markeres de dage der ikke er med i delperioden som "Ikke relevante". Timerne som i kolonne "K - R" tidligere var "gule" tælles ikke længere med i normperioden. I fanen "Opgørelse" vises nu hvordan arbejdstiden stemmer med den ansattes beskæftigelsesgrad.</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</si>
  <si>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</si>
  <si>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</si>
  <si>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</si>
  <si>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</si>
  <si>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</si>
  <si>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</si>
  <si>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</si>
  <si>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</si>
  <si>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</si>
  <si>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</si>
  <si>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</si>
  <si>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</si>
  <si>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</si>
  <si>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Skemaoplysninger</t>
  </si>
  <si>
    <t>Opgaver</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</si>
  <si>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</si>
  <si>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</si>
  <si>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</si>
  <si>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</si>
  <si>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</si>
  <si>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t>Stamdata</t>
  </si>
  <si>
    <t>Celle E12. Planlægges der for et helt skoleår skal der her stå "Ja". Planlægges der for en del af et skoleår skal der stå "nej"</t>
  </si>
  <si>
    <t>Skoleårets måneder august - juli</t>
  </si>
  <si>
    <t>Arbejdstidsoversigt</t>
  </si>
  <si>
    <t>Efter at skolen er færdig med at planlægge arbejdstiden for den enkelte lærer og børnehaveklasseleder, kan man med fordel checke følgende:</t>
  </si>
  <si>
    <t>Gode råd til check</t>
  </si>
  <si>
    <t>Efter at skolen har planlagt den ansattes arbejdstid, råder vi skolen til at gå fanen "gode råd til check" igennem. Punkterne der her er beskrevet, er de punkter der oftes begås fejl i.</t>
  </si>
  <si>
    <t>Rigtig god arbejdslyst</t>
  </si>
  <si>
    <t>Oplys hvis tilskrevet dage eller hvis den ansatte er startet denne mdr. Tast også her evt. ovf. særlige feriedage fra sidste år (Kræver en skriftlig aftale).</t>
  </si>
  <si>
    <t>Arbedstid eks. lørdage og søndage</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</si>
  <si>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</si>
  <si>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</si>
  <si>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</si>
  <si>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</si>
  <si>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</si>
  <si>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omsorgsdage/seniordage. Her er det vigtigt der ikke ændres i selve kalenderen, men at ajurføringen af afholdte dage udelukkende sker i skemaet under kalenderen. Læs noten i skemaet.</t>
    </r>
  </si>
  <si>
    <t>Antal arbejdsdage</t>
  </si>
  <si>
    <t>Antal sh-dage</t>
  </si>
  <si>
    <t xml:space="preserve">Pulje til øvrige opgaver(Opgaver der tæller mindre end 60 timer pr. år). 	</t>
  </si>
  <si>
    <t xml:space="preserve">I skoleåret er der 8 søgnehelligdage. Disse dage er helligdage, der IKKE falder på en lørdag eller søndag. </t>
  </si>
  <si>
    <t>SKEMA 1</t>
  </si>
  <si>
    <t>SKEMA 2</t>
  </si>
  <si>
    <t>SKEMA 3</t>
  </si>
  <si>
    <t>SKEMA 4</t>
  </si>
  <si>
    <t>2024-2025</t>
  </si>
  <si>
    <t>Kristi himmelfatsdag</t>
  </si>
  <si>
    <t>2. Pinsedag</t>
  </si>
  <si>
    <t>Kr. Himmefartsdag</t>
  </si>
  <si>
    <t>Undervisningstimer i normperioden vedr.:</t>
  </si>
  <si>
    <t>Samlede antal undervisningstimer i normperioden:</t>
  </si>
  <si>
    <t>Er undervisningstimerne planlagt for et helt skoleår?</t>
  </si>
  <si>
    <t>Hvis undervisningstimerne ikke vedr. et helt skoleår opregnes undervisningstimerne for delperioden til et skoleår i forhold til antal mulige arbejdsdage. Undervisningstimerne der danner grundlag for udbetaling af undervisningstillæg udgør:</t>
  </si>
  <si>
    <t>Seniorbonus jf. Cirkulære om seniorbonus for tjenestemænd i staten</t>
  </si>
  <si>
    <t>I forbindelse med den nye arbejdstidsaftale gældende fra august 2022 har Friskolerne udarbejdet et planlægningsværtøj til planlægning af lærernes og børnehaveklasselederenes arbejdstid.</t>
  </si>
  <si>
    <t xml:space="preserve">Værktøjet kan udover planlægning også bruges til at at udarbejde en statusopgørelse hver 3. måned samt opgøre normperioden. </t>
  </si>
  <si>
    <t>Værktøjet lever desuden op til den nye lov om arbejdstidsregistrering, hvor de planlagte arbejdstimer pr. dag er registreret på forhånd og hvor det er muligt at registrere evt. fravigelser.</t>
  </si>
  <si>
    <t>Fanerne: Stamoplysninger, skemaoplysninger, august, arbejdstidsoversigt og opgaver er øverst makeret med en blå pil samt en tekst der beskriver opgaven i den enkelte fane.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</si>
  <si>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under kalenderen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</si>
  <si>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Skemaet beregner automatisk undervisningstimetallet fra delperioden til et helt skoleår. Det er dog en forudsætning at skolen i fanen "stamoplysninger" har oplyst der ikke planlægges for et helt skoleår.</t>
    </r>
  </si>
  <si>
    <t>Planlægges der ikke for et helt skoleår men for en delperiode, gøres de dage der ikke planlægges med "ikke relevante". Også lørdage, søndag og SH-dage. TIPS: Ikke relevante dage kan kopieres ned i en hel måned ved først at vælge den første dag som "Ikke relevant" (evt. de to første dage) og dernæst at "trække" i cellens nederste højre hjørne - ned i månedens kolonne. HUSK i fanen "stamoplysninger" at oplyse at der ikke planlægges for et helt skoleår.</t>
  </si>
  <si>
    <t>Ansættes en lærer først d. 1. oktober, skal ALLE dage i august og september vælges som "ikke relevante dage". På denne måde får skolen korrekt optælling af normperiodens dage, som nu ikke længere er et helt skoleår.</t>
  </si>
  <si>
    <t>Orlovsdage er dage med ret til frihed efter barselsloven og servicelovens §119(orlov til pasning af nærtstående der ønsker at dø i eget hjem) såfremt orloven varer længere end 30 dage. Orlovsdagene tæller da med 7,4 timer * beskæftigelsesgraden. Orlovsdage vælges på mulige arbejdsdage, og ikke på lørdage, søndage og sh-dage.</t>
  </si>
  <si>
    <t>Undervisningstimerne der danner grundlag for udmøntning af det månedlige undervisningstillæg skal altid svare til et helt skoleår. Planlægges der ikke for et helt skoleår, skal skolen i fanen "stamoplysninger" oplyse at der ikke er tale om et helt skoleår. Med denne oplysning opregnes undervisningstimetallet udregnet for en del af et skoleår til et helt skoleår. Dette tal kan aflæses i fanen "undervisningstillæg" celle J24.</t>
  </si>
  <si>
    <t xml:space="preserve">Det totale antal dage fratrukket  ferie, lørdage, søndage, søgne/helligdage, samt 200 skoledage udgør: (365 kalenderdage - 104 lør/søn - 8 S/H-dage - 25 feriedage- 200 skoledage = 28 restdage. Disse 28 dage er i princippet arbejdsdage. Hvis der ikke disponeres over disse dage(Planlægges arbejdstid), vil de blive betragtet som afspadseringsdage - også kaldet 0-dage. Har en ansat ikke en 5 dages arbejdsuge, vælges de arbejdsfrie dage som nuldage. </t>
  </si>
  <si>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 xml:space="preserve">Skoleskema for skemadage. Her er mulighed for 4 skemaer i løbet af et skoleår. Udfyld skemaet og vælg hvorvidt der planlægges lektioner eller elevpausetid. Vælges lektioner medtælles tiden som undervisning der i fanen "undervisningstillæg" danner grundlag for udbetaling af undervisningstillæg. Vælges elevpausetid er det tid hvor eleverne holder pauser eller hvor læreren fører tilsyn og hvor der ikke skal betales undervisningstillæg. Elevpausetid er den tid der i skoleskemaet ligger imellem 2 lektioner. Denne tid er tid hvor læreren afslutter en lektion og gør klar til en ny. Elevpausetid der planlægges imellem 2 lektioner er tid hvor ledelsen ikke kan forvente at læreren udfører opgaver listet i fanen "opgaver". Elevpausetid kan også være lærerens tilsynstid til feks. morgensang, hvor opgaven består i at føre tilsyn, men hvor der ikke skal betales undervisningstillæg. </t>
    </r>
    <r>
      <rPr>
        <b/>
        <sz val="12"/>
        <color theme="3" tint="-0.249977111117893"/>
        <rFont val="Arial"/>
        <family val="2"/>
      </rPr>
      <t>OPGAVER DER PLACERES SENERE PÅ ÅRET:</t>
    </r>
    <r>
      <rPr>
        <b/>
        <sz val="12"/>
        <color theme="4" tint="-0.499984740745262"/>
        <rFont val="Arial"/>
        <family val="2"/>
      </rPr>
      <t xml:space="preserve"> </t>
    </r>
    <r>
      <rPr>
        <sz val="12"/>
        <color theme="1"/>
        <rFont val="Arial"/>
        <family val="2"/>
      </rPr>
      <t>Under skema 1 listes opgaver der placeres senere på året/i særlige måneder. Dette så tiden til de særlige opgaver tælles med i den måned opgaven planlægges i.</t>
    </r>
  </si>
  <si>
    <t>L</t>
  </si>
  <si>
    <t>E</t>
  </si>
  <si>
    <t>Fra kl:</t>
  </si>
  <si>
    <t>Til kl:</t>
  </si>
  <si>
    <t>Vælg m. pil: Lektion eller elevpausetid(Tilsyn)</t>
  </si>
  <si>
    <t>X</t>
  </si>
  <si>
    <t>Ikke relevante ulempetillægstimer</t>
  </si>
  <si>
    <t>Opgørelse af et skoleår</t>
  </si>
  <si>
    <t>Når et skoleår er gået har den ansatte krav på en opgørelse af arbejdstiden.</t>
  </si>
  <si>
    <t>Opgørelse af en del af et skoleår</t>
  </si>
  <si>
    <t>Hvis en lærer afslutter sin ansættelse i løbet af skoleåret, eller læreren får ændret beskæftigelsesgrad skal der ske en opgørelse af delnormperioden.</t>
  </si>
  <si>
    <t>Gør sådan:</t>
  </si>
  <si>
    <t>I fanen "stamdata" oplyses der i celle "E12" at der ikke længere er tale om et helt skoleår. Vælg "nej". Denne ændring skal ske, da arbejdstiden for en periode på mindre end et helt skoleår planlægges og opgøres med antal mulige arbejdsdage * 7,4 timer * beskæftigelsesgraden, og ikke ud fra 1924 timer der kun gælder for et helt skoleår.</t>
  </si>
  <si>
    <t>Skemaoplysning</t>
  </si>
  <si>
    <t>Er der opgaver der er planlagt senere på året i særlig måneder, og opgaven/månederne ikke skal tælle med i opgørelsen af delnormperioden skal timerne fjernes. Check derfor i fanen "skemaoplysninger" om der er planlagt opgaver senere på året der ikke skal tælle med i denne opgørelse og slet timerne. Dette checkes og ændres fra række 46-90.</t>
  </si>
  <si>
    <t>August - juli</t>
  </si>
  <si>
    <t>De dage og måneder der ikke skal tælles med i opgørelsen af delperioden skal nu ændres til "ikke relevante".</t>
  </si>
  <si>
    <t>Ikke relevante vælges derfor for alle de dage den ansatte ikke er ansat eller skal tælle med i opgørelsen.</t>
  </si>
  <si>
    <t>Løbende registrering af ændringer</t>
  </si>
  <si>
    <t>Ulempetillæg på weekenddage</t>
  </si>
  <si>
    <t>Ulempetillæg ændringer på weekenddage</t>
  </si>
  <si>
    <t>17-06 timer til udbetaling inkl. ændringer 17-06</t>
  </si>
  <si>
    <t>Weekendtimer</t>
  </si>
  <si>
    <t>Weekendtillæg på 50 pct.</t>
  </si>
  <si>
    <t>Til udbetaling</t>
  </si>
  <si>
    <t>Ulempetillæg udbetales med 25% af nettetimelønnen</t>
  </si>
  <si>
    <t>Ulempetillæg afspadseres med 25% af nettotimelønnen</t>
  </si>
  <si>
    <t>Der er indgået lokalaftale omkring ulempetillæg</t>
  </si>
  <si>
    <t>Weekendtimer og weekendtillæg afspadseres</t>
  </si>
  <si>
    <t>Weekentimer og weekendtillæg udbetales</t>
  </si>
  <si>
    <t>Der er indgået lokalaftale omkring weekendtimer og weekendtillæg</t>
  </si>
  <si>
    <t>Der er indgået lokalaftale omkring weekendtimer, weekendtillæg afspadseres</t>
  </si>
  <si>
    <t>Der er indgået lokalaftale omkring weekendtimer, weekendtillæg udbetales</t>
  </si>
  <si>
    <t>Der er indgået lokalaftale omkring weekendtillæg, weekendtimerne afspadseres</t>
  </si>
  <si>
    <t>Der er indgået lokalaftale omkring weekendtillæg, weekendtimerne udbetales</t>
  </si>
  <si>
    <t>Til afsapsering</t>
  </si>
  <si>
    <t>Weekendtimerne. AFSPADSERES</t>
  </si>
  <si>
    <t>Weekendtimerne AFSPADSERES</t>
  </si>
  <si>
    <t>Weekendtimerne. UDBETALES</t>
  </si>
  <si>
    <t>Weekendtimerne UDBETALES</t>
  </si>
  <si>
    <t>Ændring i arbejdstiden der ikke vedrører weekenddage på ikke relevante dage</t>
  </si>
  <si>
    <t>Arbejdstimer 17-06 på ikke relevante</t>
  </si>
  <si>
    <t>Weekendtimer talt med i månedsnorm. Timerne afspadseres og derfor trækkes de ud igen</t>
  </si>
  <si>
    <t>Bruger til at trække weekendtimer der afspadseres eller udbetales ud af den enkelte måneds timeregnskab da timerne ellers tælles med.</t>
  </si>
  <si>
    <t>Ændringi weekendtimer der ikke skal tælle med</t>
  </si>
  <si>
    <t>Ændringer i weekendtimer der ikke skal tælles med i celle I51.</t>
  </si>
  <si>
    <t>ændringer på ikke relevante</t>
  </si>
  <si>
    <t>Hvis der ved en fejl står timer ud for en dag der er valgt som weekenddag, skal disse timer ikke tælles med.</t>
  </si>
  <si>
    <t>Celle 49</t>
  </si>
  <si>
    <t>Ved aftale om lokalaftale på weekendtimer, skal timerne trækkes ud af mdr. regnskabet</t>
  </si>
  <si>
    <t>Pkt. 6. Bruges i celle I49</t>
  </si>
  <si>
    <t>Pkt. 4 bruges i celle I49</t>
  </si>
  <si>
    <t>Pkt. 5. bruges i celle I 49</t>
  </si>
  <si>
    <t>Pkt. 7. bruges i celle I 49</t>
  </si>
  <si>
    <t>Pkt. 3. bruges i celle I 49</t>
  </si>
  <si>
    <t>Weekendtimer og weekendtillæg udbetales</t>
  </si>
  <si>
    <t>Pkt. 2. bruges i celle i49</t>
  </si>
  <si>
    <t>Valg Pkt. 1. i stamdate vedr. weekendtimer -  bruges i celle i49</t>
  </si>
  <si>
    <t>Bruges i celle I49</t>
  </si>
  <si>
    <t>Disse udregninger gør at månedens timer tæller korrekt. At weekendtimer tælles ud af månedstimetalles og at det også stemmer hvis dagene efterfølgende rettes til ikke relevante.</t>
  </si>
  <si>
    <t>Opgørelsen kan aflæses i fanen "opgørelse", og forudsætter at skolen løbende har registreret evt. ændringer i forhold til de planlagte timer. Evt. ændringer registreres i fanerne august - juli. Vælg her med et "X" hvorvidt der er tale om en ændring i arbejdstiden, undervisningstiden eller planlagt arbejdstid imellem 17-06. Vælg med et "X" i kolonne S hvis ændringen sker i forhold til den planlagte arbejdstid registreret i kolonne N. Vælg "X" i kolonne T hvis ændringen vedr. undervisningstiden planlagt i kolonne O og vælg "X" i kolonne U hvis ændringen vedr. tid imellem kl. 17-06 i forhold til den planlagte tid i kolonne R. Efter at skolen med et "X" har registreret at der er sket en ændring lyser den eller de celler op i kolonne V, W og X hvor den faktiske ændring skal registreres. Er der tale om flere timer, registreres ændringen med et positivt tal, er der tale om færre timer registreres ændringen med et negativt tal.</t>
  </si>
  <si>
    <t>I kolonne "C" vælges dagene den ansatte ikke er ansat som "ikke relevante", hvorefter dagene bliver sorte og ikke tælles med i opgørelsen. Det er dog vigtigt at ALLE dage ændres til "ikke relevante". Også lørdage, søndage, S/H dage og feriedage.</t>
  </si>
  <si>
    <t>Hvis en lærer feks: opsiger sit arbejde d. 31. december vælges samtlige dage fra og med d. 1. januar til og med d. 31. juli som "ikke relevant". Det gælder både hverdage, weekenddage, s/h-dage og planlagte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</si>
  <si>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</si>
  <si>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Når ovennævnte ændringer er sket, kan opgørelsen af skoleåret eller delnormperioden aflæses i fanen "opgørelse".</t>
  </si>
  <si>
    <t>I række 58 aflæses hvorvidt den ansatte har arbejdet flere timer end normperioden indeholdte. Er tallet postivt har den ansatte arbejdet mere end normperioden indeholdte og skal udbetales eller afspadseres.</t>
  </si>
  <si>
    <t>MERTIMER: Timer op til en fuldtidsansættelse honoreres med den ansattes egen timeløn * mertimerne + pension.</t>
  </si>
  <si>
    <t>OVERTIMER: Timer over en fuldtidsnorm honoreres med den ansattes egen timeløn + 50%. Overtidsbetaling er uden pension.</t>
  </si>
  <si>
    <t>AFSPADSERINGSTIMER: Har den ansatte afspadseringstimer der ved normperiodens opgørelse ikke er afspadseret udbetales timerne i henhold til reglerne om ovennævnte mer/overarbejde.</t>
  </si>
  <si>
    <t>Sådan aflæses opgørelsen</t>
  </si>
  <si>
    <t>Ved opgørelse af en delperiode, vælges "ikke relevante dage", hvormed arbejdstiden ikke tælles med. Værktøjet er opdateret så alle aktiviteter tæller med nul timer. Både arbejdstid, 17-06 timer mm.</t>
  </si>
  <si>
    <t>Navn på alle skemaer</t>
  </si>
  <si>
    <t>Lærerens navn kan aflæses i alle faner.</t>
  </si>
  <si>
    <t>Opgørelse af arbejdstiden</t>
  </si>
  <si>
    <t>For at imødekomme spørgsmål til hvordan man opgør et skoleår eller en del af et skoleår, har vi lagt en ny fane ind. "Opgørelse af arbejdstiden".</t>
  </si>
  <si>
    <r>
      <t xml:space="preserve">Skema 1-4: </t>
    </r>
    <r>
      <rPr>
        <sz val="14"/>
        <color theme="4" tint="-0.499984740745262"/>
        <rFont val="Calibri"/>
        <family val="2"/>
        <scheme val="minor"/>
      </rPr>
      <t xml:space="preserve">I denne fane udfyldes skoleskema med lektioner og elevpausetid samt nederst i skemaet opgaver der planlægges i særlige måneder. Start med i celle C9/skema 1 at oplyse tidspunktet for skoleskemaets start. Fra række 11 til række 29 vælges antal minutter skemaets moduler varer. Et modul kan være en lektion, elevpausetid eller evt. hultime. I skema 1 vælges i kolonne D, F, H, J og L om der planlægges med en lektion (L) hvor der er tilknyttet undervisningstillæg  eller om der planlægges med elevpausetid (E) - den tid der ligger imellem to lektioner, og hvor skolen ikke kan forvente læreren udfører opgaver listet i fanen "opgaver". Elevpausetid er typisk tilsynstid, pause eller måske gårdvagt. Efter valget af enten "L" for lektion eller "E" for elevpausetid beskrives lektionen/elevpaustiden i kolonne E, G, I, K eller M. </t>
    </r>
    <r>
      <rPr>
        <b/>
        <sz val="14"/>
        <color theme="4" tint="-0.499984740745262"/>
        <rFont val="Calibri"/>
        <family val="2"/>
        <scheme val="minor"/>
      </rPr>
      <t xml:space="preserve">BEMÆRK AT SKEMET FØRST TÆLLER UNDERVISNINGSTIMER ELLER ELEVPAUSE TID NÅR DER ER VALGT ANTAL MINUTTER, "L" FOR LEKTION ELLER "E" FOR ELEVPAUSETID OG ANGIVET EN TEKST DER BESKRIVER MODULET. </t>
    </r>
    <r>
      <rPr>
        <sz val="14"/>
        <color theme="4" tint="-0.499984740745262"/>
        <rFont val="Calibri"/>
        <family val="2"/>
        <scheme val="minor"/>
      </rPr>
      <t xml:space="preserve">Har skolen brug for at der planlægges med "hultimer" er det også muligt. Skemaet tæller lige beskrevet så snart der er valgt antal minutter pr. modul, om det er en lektion (L) eller elevpausetid (E) samt en tekst der beskriver lektionen eller elevpausetiden. En hultime vælges derfor med antal minutter men uden valg af lektion eller elevpausetid Vælges lektion farves lektionsfeltet grønt. Vælges elevpausetid farves elevpausefeltet lys-gult. </t>
    </r>
    <r>
      <rPr>
        <b/>
        <sz val="14"/>
        <color theme="4" tint="-0.499984740745262"/>
        <rFont val="Calibri"/>
        <family val="2"/>
        <scheme val="minor"/>
      </rPr>
      <t>Det er muligt at skemalægge 4 forskellige skemaperioder for en normperiode.</t>
    </r>
  </si>
  <si>
    <t>"E" for elevpause</t>
  </si>
  <si>
    <t>"L" for lektion</t>
  </si>
  <si>
    <t>Lektion vælges i skema 1 i kolonne: D, F, H, J og L. Skema 2 i kolonne R, T, V, X og Y. Skema 3 i kolonne AF, AH, AJ, AL og AN. Skema 4 i kolonne AT, AV, AX, AZ og BB. En lektion er et modul hvortil undervisning er tilknyttet. Oplys antal minutter lektionen varer, og beskriv lektionen. Lektionstimerne overføres automatisk til månederne august - juli og arket "undervisningstillæg".</t>
  </si>
  <si>
    <t>Elevpause vælges i skema 1 i kolonne: D, F, H, J og L. Skema 2 i kolonne R, T, V, X og Y. Skema 3 i kolonne AF, AH, AJ, AL og AN. Skema 4 i kolonne AT, AV, AX, AZ og BB. Elevpausetid er den tid der ligger imellem 2 lektioner og hvor skolen ikke kan forvente læreren udfører opgaver listet i fanen "opgaver". Elevpausetid kan bruges til tilsyn, gårdvagter, pauser eller lign. Oplys antal minutter elevpausetiden varer, og beskriv lærerens opgave i elevpausetiden. Elevpausetiden overføres automatisk til månederne august - juli og  fanen "opgaver".</t>
  </si>
  <si>
    <t>Tast her skoleskema med lektioner og tid til elevpauser, varighed, fag mm. Start med at udfylde celle "C9" - Skriv her startstidspunkt for skoledagens start. Er startstidspunktet kl. 8.00 skrives 08:00. Oplys derefter antal minutter hver lektion, pause/tilsyn varer. Eksempel: 45 min = 0:45 - 1 time = 1:00 - 1 time og 10 min. = 1:10</t>
  </si>
  <si>
    <t>Tast her skoleskema med lektioner og tid til elevpauser, varighed, fag mm. Start med at udfylde celle "Q9" - Skriv her startstidspunkt for skoledagens start. Er startstidspunktet kl. 8.00 skrives 08:00. Oplys derefter antal minutter hver lektion, pause/tilsyn varer. Eksempel: 45 min = 0:45 - 1 time = 1:00 - 1 time og 10 min. = 1:10</t>
  </si>
  <si>
    <t>Tast her skoleskema med lektioner og tid til elevpauser, varighed, fag mm. Start med at udfylde celle "AE9" - Skriv her startstidspunkt for skoledagens start. Er startstidspunktet kl. 8.00 skrives 08:00. Oplys derefter antal minutter hver lektion, pause/tilsyn varer. Eksempel: 45 min = 0:45 - 1 time = 1:00 - 1 time og 10 min. = 1:10</t>
  </si>
  <si>
    <t>Tast her skoleskema med lektioner og tid til elevpauser, varighed, fag mm. Start med at udfylde celle "AS9" - Skriv her startstidspunkt for skoledagens start. Er startstidspunktet kl. 8.00 skrives 08:00. Oplys derefter antal minutter hver lektion, pause/tilsyn varer. Eksempel: 45 min = 0:45 - 1 time = 1:00 - 1 time og 10 min. = 1:10</t>
  </si>
  <si>
    <t>Antal min. modulet er: (45 min. = 0:45)</t>
  </si>
  <si>
    <t>Det er nu muligt at vælge ved hvert modul om der planlægges en lektion eller elevpausetid. Lektion vælges med "L", og elevpausetid vælges med "E". Elevpausetid er den tid der ligger imellem 2 lektioner, og hvor man ikke kan forvente læreren varetager opgaver listet i fanen "opgaver". Skemaet tæller hhv. undervisningstimer og elevpausetimer hvis der er angivet tid, valgt "L" eller "E" og der også er skrevet en tekst i cellen ud for "L" og "E". Har læreren en hultime kan den registreres med tid, men ikke med "L" eller "E" og ikke med tekst. Det er ikke hensigten at lærerne skal have hultimer i deres skema, men hvis det ikke kan undgås, kan ledelsen forvente at læreren bruger tiden i den planlagte "hultime" til at udføre opgaver listet i fanen "opgaver". Det kan være feks. forberedelse eller tilsyn af skolens lokaler.</t>
  </si>
  <si>
    <t>17-06 timer til udbetaling kræver der er beskrevet et 17-06 arranement KOLONNE H</t>
  </si>
  <si>
    <t>Ulempetillæg på weekenddage - kræver der er sat kryds i weekendarbejde. KOLONNE I</t>
  </si>
  <si>
    <t>Ulempetillæg ændringer på weekenddage. Kræver der er sat kryds i ændring i timetal og at det er en weekeend. KOLONNE I OG S</t>
  </si>
  <si>
    <t>17-06 timer til afspadsering kræver der er beskrevet et 17-06 arrangement. KOLONNE H</t>
  </si>
  <si>
    <t>Ulempetillæg på weekenddage til afspadsering. Kræver der er sat kryds i weekendarb. KOLONNE I</t>
  </si>
  <si>
    <t>Ulempetillæg ændringer på hverdage. Kræver der er sat x i at der er sket en ændring på hverdage imellem 17-07. KOLONNE U</t>
  </si>
  <si>
    <t>Ulempetillæg ændringer på hverdage. Kræver der er sat x i at der er sket en ændring på hverdage imellem 17-06. KOLONNE U</t>
  </si>
  <si>
    <t xml:space="preserve">17-06 timer til udbetaling kræver der er beskrevet et 17-06 arranement </t>
  </si>
  <si>
    <t>Ulempetillæg ændringer på hverdage. Kræver der er sat kryds i at der er sket en ændring. KOLONNE U</t>
  </si>
  <si>
    <t>Ændring i weekendtimer KRÆVER X I KOLONNE I OG S</t>
  </si>
  <si>
    <t>Weekendtimer og weekendtillæg. KRÆVER X I KOLONNE I</t>
  </si>
  <si>
    <t>Ikke relevante weekendtimer</t>
  </si>
  <si>
    <t>Ikke relevante ændringer på weekendtimer og tillæg</t>
  </si>
  <si>
    <t>Ikke relevante weekendtimer og weekendtillæg</t>
  </si>
  <si>
    <t>Weekendtillæg på weekenddage</t>
  </si>
  <si>
    <t>Ændring i weekendtimer</t>
  </si>
  <si>
    <t>Ikke relevante ændringer i weekendtimer</t>
  </si>
  <si>
    <t>Weekendtimer på weekenddage</t>
  </si>
  <si>
    <r>
      <t xml:space="preserve">Ændring i arbejdstid imellem 07:30 - 17:00. </t>
    </r>
    <r>
      <rPr>
        <b/>
        <sz val="10"/>
        <rFont val="Arial"/>
        <family val="2"/>
      </rPr>
      <t>Hvis ændringen vedr. en weekenddag er det vigtigt at der er valgt et "X" i kolonne I.</t>
    </r>
  </si>
  <si>
    <t>Omsorgsdage</t>
  </si>
  <si>
    <r>
      <t xml:space="preserve">Vælg med "X" om der afholdes en omsorgsdag eller særlig feriedag samt dato </t>
    </r>
    <r>
      <rPr>
        <sz val="10"/>
        <rFont val="Arial"/>
        <family val="2"/>
      </rPr>
      <t>(Afholdelse af disse dage medfører IKKE en ændring i arbejdstiden, men registreres i dette skema).</t>
    </r>
  </si>
  <si>
    <t>Omsorgsdag</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</si>
  <si>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evt. omsorgsdage. Læs noten herom i skemaet.</t>
  </si>
  <si>
    <t>Optælling af særlige feriedage og omsorgsdage</t>
  </si>
  <si>
    <t>under hver måned er der mulighed for at registrere skyldige særlige feriedage (feriefridage, 6. ferieuge) og omsorgsdage. Efter afskaffelse af seniorbonusdage med løn, er seniorbonusdagene ikke længere med.</t>
  </si>
  <si>
    <t>w</t>
  </si>
  <si>
    <t>Arbejdstimer 17-06 på ikke relevante. Bruges også i sammentælling af 17-06 timer i arb.tidsoversigten</t>
  </si>
  <si>
    <t>Hvis der i kolonne "I" er valgt et kryds, betyder det at der er planlagt arbejde på en weekend dag eller der er registreret en ændring i arbejdstiden på weekenddagen i kolonne "S". Er der planlagt arbejde på en lørdag eller søndag må dagen ikke være en weekenddag eller skemadag, men skal vælges som feks. emnedag, pædagogiske dag eller en anden dag der ikke har betegnelsen "weekend eller skema 1-4". Hvis det er en weekenddag der ikke er planlagt arbejde på eller registreret en ændring i kolonne "S", må der ikke være valgt et "X" i kolonne I.</t>
  </si>
  <si>
    <t>Check derfor om der er kryds i kolonne "I". Er der et kryds skal weekenddagen være ændret til andet end weekenddag eller skema 1-4 dag, eller at der på weekendagen er registreret en ændring i kolonne "S".</t>
  </si>
  <si>
    <t>Arbejde på weekenddage:</t>
  </si>
  <si>
    <t xml:space="preserve">Fanen arbejdstidsoversigt er fanen hvor den ansattes arbejdstid samles og hvor resttimerne fordeles på skema 1-4 dage. </t>
  </si>
  <si>
    <t>Efter at månedskalenderne er udfyldt har vi nu styr på antal arbejdstimer på emnedage, fagdage, lejrskoledage, 17-06 arrangementer mm. Det eneste vi nu mangler at sætte timer på er skema 1-4, hvilket er det vi bruger resttiden på i fanen "arbejdstidsoversigt".</t>
  </si>
  <si>
    <r>
      <rPr>
        <b/>
        <sz val="12"/>
        <color theme="1"/>
        <rFont val="Calibri"/>
        <family val="2"/>
        <scheme val="minor"/>
      </rPr>
      <t xml:space="preserve">Ændring på en weekenddag: </t>
    </r>
    <r>
      <rPr>
        <sz val="12"/>
        <color theme="1"/>
        <rFont val="Calibri"/>
        <family val="2"/>
        <scheme val="minor"/>
      </rPr>
      <t>Check her at der også er sat et "X" i kolonne "I". Ellers vælges "X" i kolonne I. Dette for at de arbejdstidsbestemte tillæg tæller rigtigt.</t>
    </r>
  </si>
  <si>
    <t>Sørg altid for at hvis der sker ændringer i arbejdstiden i forhold til det planlagte, skal ændringerne registreres i månederne august - juli. Se denne beskrivelse under opgørelse af et helt skoleår - denne fanes række 5 og 6.</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</si>
  <si>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</si>
  <si>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De særlige feriedage optjenes i et kalenderår og afvikles i det kommende ferieår maj-april (året efter). Der optjenes 0,42 dag pr. måneds ansættelse. Er man ansat under statens ferieaftale og været ansat hele optjeningsåret(2023), har man derfor ret til at afvikle 5 særlige feriedage til afvikling i ferieåret efter(1. maj 2024 - 30. april 2025).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2025, har ledelsen retten til at planlægge dagene med 30 dages varsel, således de er afviklet når ferieåret slutter d. 30. april 2025. Særlige feriedage der ikke er afviklet d. 30. april, skal udbetales eller aftales(skriftligt) til overførsel til det kommende ferieår. En evt. aftale om overførsels af særlige feriedage til et nyt ferieår skal være skriftlig aftalt senest d. 30. april 2025.</t>
  </si>
  <si>
    <t>Opgørelse af et skoleår eller en del af et skoleår:</t>
  </si>
  <si>
    <t>Arbejdstid til undervisningsdage der fordels i skemaerne herunder:</t>
  </si>
  <si>
    <t>Antal arbejdstimer på normale skemadage jf. Fanen arbejdstidsoversigt skema 3:</t>
  </si>
  <si>
    <t>Arbejdsdage uden undervisning (pædagogiske dage)</t>
  </si>
  <si>
    <t>Tid til øvrige opgaver(Forberedelse samt øvrige opgaver med og uden estimeret tid). Timerne fordeles i skemaet herunder.</t>
  </si>
  <si>
    <t>2. Øvrige opgaver</t>
  </si>
  <si>
    <t>Skjules</t>
  </si>
  <si>
    <t>Skjules række 58 til 66</t>
  </si>
  <si>
    <r>
      <t xml:space="preserve">Skema 2 </t>
    </r>
    <r>
      <rPr>
        <sz val="14"/>
        <color theme="4" tint="-0.499984740745262"/>
        <rFont val="Calibri"/>
        <family val="2"/>
        <scheme val="minor"/>
      </rPr>
      <t>viser hvordan arbejdstiden i normperioden fordeler sig, og hvor mange timer skolen skal planlægge på undervisningsdage (række 36). I række 43 beregnes en gennemsnitlig arbejdsdags længde der evt. kan bruges til at rammesætte arbejdstiden på skemadage i skema 3.</t>
    </r>
  </si>
  <si>
    <r>
      <rPr>
        <b/>
        <sz val="14"/>
        <color theme="4" tint="-0.499984740745262"/>
        <rFont val="Calibri"/>
        <family val="2"/>
        <scheme val="minor"/>
      </rPr>
      <t>Skema 1</t>
    </r>
    <r>
      <rPr>
        <sz val="14"/>
        <color theme="4" tint="-0.499984740745262"/>
        <rFont val="Calibri"/>
        <family val="2"/>
        <scheme val="minor"/>
      </rPr>
      <t xml:space="preserve"> beregner normperiodens samlede arbejdstid og hvordan norperiodens arbejdsdage fordeler sig. Hvis der planlægges for et helt skoleår, og læreren er på arbejde alle ugens 5 mulige arbejdsdage skal der oftes tælles 200 undervisningsdage i række 23.</t>
    </r>
  </si>
  <si>
    <r>
      <rPr>
        <b/>
        <sz val="14"/>
        <color theme="4" tint="-0.499984740745262"/>
        <rFont val="Calibri"/>
        <family val="2"/>
        <scheme val="minor"/>
      </rPr>
      <t xml:space="preserve">Skema 3 </t>
    </r>
    <r>
      <rPr>
        <sz val="14"/>
        <color theme="4" tint="-0.499984740745262"/>
        <rFont val="Calibri"/>
        <family val="2"/>
        <scheme val="minor"/>
      </rPr>
      <t>Tiden der er tilbage til skemadage (udregnet i skema 2), skal nu fordeles på skemadagene i skema 3. Skolen skal sørge for at bruge alt arbejdstiden hvorfor tallet i række 107 skal gå så meget i "nul" som muligt. Der må aldrig planlægges med flere timer end den ansatte er ansat til, derfor må række 107 ikke give et positivt tal. Få timer i undertid er ok.</t>
    </r>
  </si>
  <si>
    <r>
      <rPr>
        <b/>
        <sz val="14"/>
        <color theme="4" tint="-0.499984740745262"/>
        <rFont val="Calibri"/>
        <family val="2"/>
        <scheme val="minor"/>
      </rPr>
      <t>Skema 1</t>
    </r>
    <r>
      <rPr>
        <sz val="14"/>
        <color theme="4" tint="-0.499984740745262"/>
        <rFont val="Calibri"/>
        <family val="2"/>
        <scheme val="minor"/>
      </rPr>
      <t xml:space="preserve"> viser en fordeling af de opgaver der er planlagt i normperioden samt hvor mange timer der endnu ikke er planlagt og som skal fordeles til øvrige opgaver i skema 2.</t>
    </r>
  </si>
  <si>
    <r>
      <rPr>
        <b/>
        <sz val="14"/>
        <color theme="4" tint="-0.499984740745262"/>
        <rFont val="Calibri"/>
        <family val="2"/>
        <scheme val="minor"/>
      </rPr>
      <t>Skema 2:</t>
    </r>
    <r>
      <rPr>
        <sz val="14"/>
        <color theme="4" tint="-0.499984740745262"/>
        <rFont val="Calibri"/>
        <family val="2"/>
        <scheme val="minor"/>
      </rPr>
      <t xml:space="preserve"> List her tiden til forberedelse og opgaver der estimeres til min. 60 klokketimer for et helt skoleår samt øvrige opgaver. Vælg om tiden er estimeret eller aftalt lokalt. (Bruges kun som en information).</t>
    </r>
  </si>
  <si>
    <t>Oplys her den aftalte akord på pause/tilsynstid (Den oplyste akord skal passe til normperioden)</t>
  </si>
  <si>
    <t xml:space="preserve">Arbejdstidsoversigten er en oversigt over hvordan den ansattes arbejdstid fordeler sig på pædagogiske dage, fagdage, emnedage, lejrture mm. Timerne her er summen af timer oplyst i de 12 månedskalendere. Fanen viser også hvor mange timer der er tilbage som skolen skal planlægge læreren til at arbejde på helt almindelige skemadage. i celle J36 er angivet resttimerne der ikke er planlagt til pædagogiske dage, fagdage, emnedage, lejrture osv, og som skolen på skemadage skal planlægge. En gennemsnitlig skemadags længde kan aflæses i celle I43. Fordel resttiden på skemadagene fra række 72 og ned, og check i celle D107 at timerne den ansatte er ansat og aflønnet efter nu også er planlagt.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</si>
  <si>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t>Efter at fanerne "skemaoplysninger" og månedskalenderne er udfyldte har vi styr på arbejdstiden til undervisning, elevpausetid, opgaver der placeres senere på året, fagdage, emnedage, undervisningsdage, lejrskoledage, 17-06 timer mm. Det eneste vi nu mangler at redegøre for er den tid der er til øvrige opgaver. Altså de opgaver vi ikke allerede har planlagt. List de opgaver der fylder mere en 60 klokketimer på et skoleår og estimer tiden dertil. Se til om det timetal der er tilbage til opgaver under 60 klokketimer i celle K52 stemmer med de opgaver der listes herunder. Vurderes det at timerne stemmer med opgaverne er arbejdstidsplanlægningen færdig. Er der få få timer skal der fjernes opgaver eller beskæftigelsesgraden skal sættes op. Er der for mange timer skal der tillægges opgaver/timer.</t>
  </si>
  <si>
    <t>K27 viser hvor mange timer der er til øvrige opgaver der tæller mere end 60 klokketimer og til opgaver der tæller mindre end 60 klokketimer. Check at der her er timer nok til de opgaver skolen oplyser tid til og også til opgaver hvor skolen ikke oplyser tid til.</t>
  </si>
  <si>
    <t>K52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</si>
  <si>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t>Check at der er oplyst et timetal i de celler der er oplyst med gult.</t>
  </si>
  <si>
    <t>Celle I23 viser det antal skoledage læreren skal undervise. Dagene representerer skemadage, fagdage, emnedage, ekskursionsdage og lejrskoledage. Normalt undervises der 200 skoledage. Hvis ikke der står 200 dage, skal der kunne svares på hvorfor. Det kan være at læreren ikke har en 5 dages arbejdsuge eller at lærerne har en pædagogisk dag på en hverdag, hvor forældrene overtager undervisningen.</t>
  </si>
  <si>
    <r>
      <t xml:space="preserve">MÅLSØGNING: Timerne i celle "k52"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"K52" og klik på menuen 'Funktioner' og vælg 'Målsøgning', eller vælg 'Data' i båndet og klik på "Hvad-hvis" eller "what/if". I angiv celle skal der stå: "K52". Til værdi skal der stå det timetal der ønskes (evt. nul). Ved ændring af celle - Klikkes her i celle "E13" i fanen stamoplysninger. På denne måde tilpasses beskæftigelsesgraden den ønskede værdi.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</si>
</sst>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57">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b/>
      <sz val="10"/>
      <color rgb="FFFF2F82"/>
      <name val="Arial"/>
      <family val="2"/>
    </font>
    <font>
      <b/>
      <sz val="10"/>
      <color rgb="FF00B050"/>
      <name val="Arial"/>
      <family val="2"/>
    </font>
    <font>
      <b/>
      <sz val="10"/>
      <color theme="5" tint="-0.249977111117893"/>
      <name val="Arial"/>
      <family val="2"/>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sz val="10"/>
      <color rgb="FF000000"/>
      <name val="Calibri"/>
      <family val="2"/>
      <scheme val="minor"/>
    </font>
    <font>
      <b/>
      <sz val="10"/>
      <color rgb="FF000000"/>
      <name val="Calibri"/>
      <family val="2"/>
    </font>
    <font>
      <sz val="10"/>
      <color rgb="FF000000"/>
      <name val="Calibri"/>
      <family val="2"/>
    </font>
    <font>
      <sz val="9"/>
      <color theme="0"/>
      <name val="Helvetica"/>
      <family val="2"/>
    </font>
    <font>
      <u/>
      <sz val="10"/>
      <name val="Arial"/>
      <family val="2"/>
    </font>
    <font>
      <b/>
      <sz val="18"/>
      <color theme="1"/>
      <name val="Calibri"/>
      <family val="2"/>
      <scheme val="minor"/>
    </font>
    <font>
      <b/>
      <sz val="12"/>
      <color theme="3" tint="-0.249977111117893"/>
      <name val="Arial"/>
      <family val="2"/>
    </font>
    <font>
      <sz val="12"/>
      <color rgb="FFC00000"/>
      <name val="Calibri"/>
      <family val="2"/>
      <scheme val="minor"/>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12"/>
      <color theme="1"/>
      <name val="Calibri (Tekst)"/>
    </font>
    <font>
      <sz val="8"/>
      <color theme="4" tint="-0.499984740745262"/>
      <name val="Arial"/>
      <family val="2"/>
    </font>
    <font>
      <sz val="12"/>
      <color theme="4" tint="-0.499984740745262"/>
      <name val="Arial"/>
      <family val="2"/>
    </font>
    <font>
      <sz val="8"/>
      <color rgb="FFC00000"/>
      <name val="Calibri"/>
      <family val="2"/>
      <scheme val="minor"/>
    </font>
    <font>
      <b/>
      <sz val="10"/>
      <color theme="3"/>
      <name val="Arial"/>
      <family val="2"/>
    </font>
    <font>
      <b/>
      <sz val="10"/>
      <color rgb="FFC00000"/>
      <name val="Arial"/>
      <family val="2"/>
    </font>
    <font>
      <sz val="11"/>
      <color rgb="FFC00000"/>
      <name val="Calibri"/>
      <family val="2"/>
      <scheme val="minor"/>
    </font>
    <font>
      <b/>
      <sz val="18"/>
      <color rgb="FF000000"/>
      <name val="Calibri"/>
      <family val="2"/>
      <scheme val="minor"/>
    </font>
    <font>
      <sz val="18"/>
      <color rgb="FF000000"/>
      <name val="Calibri"/>
      <family val="2"/>
      <scheme val="minor"/>
    </font>
    <font>
      <sz val="18"/>
      <name val="Arial"/>
      <family val="2"/>
    </font>
    <font>
      <b/>
      <sz val="12"/>
      <color theme="4" tint="-0.499984740745262"/>
      <name val="Calibri"/>
      <family val="2"/>
      <scheme val="minor"/>
    </font>
    <font>
      <sz val="22"/>
      <color rgb="FFFF0000"/>
      <name val="Calibri (Tekst)"/>
    </font>
    <font>
      <sz val="12"/>
      <color rgb="FFFF0000"/>
      <name val="Calibri (Tekst)"/>
    </font>
    <font>
      <sz val="48"/>
      <color rgb="FFFF0000"/>
      <name val="Calibri (Tekst)"/>
    </font>
    <font>
      <sz val="20"/>
      <color rgb="FFFF0000"/>
      <name val="Calibri (Tekst)"/>
    </font>
    <font>
      <sz val="14"/>
      <color rgb="FFFF0000"/>
      <name val="Calibri (Tekst)"/>
    </font>
    <font>
      <sz val="10"/>
      <color rgb="FFFF0000"/>
      <name val="Calibri (Tekst)"/>
    </font>
  </fonts>
  <fills count="4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
      <patternFill patternType="solid">
        <fgColor theme="2"/>
        <bgColor indexed="64"/>
      </patternFill>
    </fill>
    <fill>
      <patternFill patternType="solid">
        <fgColor rgb="FFF6FF78"/>
        <bgColor indexed="64"/>
      </patternFill>
    </fill>
    <fill>
      <patternFill patternType="solid">
        <fgColor theme="4"/>
        <bgColor indexed="64"/>
      </patternFill>
    </fill>
  </fills>
  <borders count="9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style="medium">
        <color indexed="64"/>
      </bottom>
      <diagonal/>
    </border>
  </borders>
  <cellStyleXfs count="539">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cellStyleXfs>
  <cellXfs count="1530">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12" fillId="0" borderId="0" xfId="0" applyFont="1" applyAlignment="1">
      <alignment horizontal="center" vertic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2" fontId="0" fillId="2" borderId="0" xfId="0" applyNumberFormat="1" applyFill="1" applyAlignment="1">
      <alignment horizont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166" fontId="0" fillId="5" borderId="27" xfId="0" applyNumberFormat="1" applyFill="1" applyBorder="1" applyAlignment="1">
      <alignment horizontal="left"/>
    </xf>
    <xf numFmtId="2" fontId="0" fillId="5" borderId="14" xfId="0" applyNumberFormat="1" applyFill="1" applyBorder="1"/>
    <xf numFmtId="2" fontId="76" fillId="31" borderId="25" xfId="0" applyNumberFormat="1" applyFont="1" applyFill="1" applyBorder="1"/>
    <xf numFmtId="2" fontId="7" fillId="4" borderId="22" xfId="0" applyNumberFormat="1" applyFont="1" applyFill="1" applyBorder="1"/>
    <xf numFmtId="2" fontId="76" fillId="35" borderId="1" xfId="0" applyNumberFormat="1" applyFont="1" applyFill="1" applyBorder="1" applyAlignment="1">
      <alignment horizontal="center" wrapText="1"/>
    </xf>
    <xf numFmtId="2" fontId="76" fillId="35" borderId="1" xfId="0" applyNumberFormat="1" applyFont="1" applyFill="1" applyBorder="1" applyAlignment="1">
      <alignment horizontal="center"/>
    </xf>
    <xf numFmtId="2" fontId="76" fillId="35"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0" fontId="17" fillId="36" borderId="33" xfId="0" applyFont="1" applyFill="1" applyBorder="1"/>
    <xf numFmtId="0" fontId="17" fillId="36"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6" borderId="36" xfId="0" applyFont="1" applyFill="1" applyBorder="1" applyAlignment="1">
      <alignment horizontal="center" wrapText="1"/>
    </xf>
    <xf numFmtId="0" fontId="17" fillId="36" borderId="60" xfId="0" applyFont="1" applyFill="1" applyBorder="1" applyAlignment="1">
      <alignment horizontal="center" wrapText="1"/>
    </xf>
    <xf numFmtId="0" fontId="17" fillId="36"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6" borderId="1" xfId="372" applyNumberFormat="1" applyFont="1" applyFill="1" applyBorder="1" applyAlignment="1">
      <alignment horizontal="right"/>
    </xf>
    <xf numFmtId="0" fontId="22" fillId="4" borderId="4" xfId="372" applyFill="1" applyBorder="1" applyAlignment="1" applyProtection="1">
      <alignment horizontal="right"/>
      <protection locked="0"/>
    </xf>
    <xf numFmtId="49" fontId="61" fillId="4" borderId="1"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2" fontId="22" fillId="4" borderId="42" xfId="372" applyNumberFormat="1" applyFill="1" applyBorder="1" applyAlignment="1" applyProtection="1">
      <alignment horizontal="right"/>
      <protection locked="0"/>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77" fillId="0" borderId="0" xfId="372" applyFont="1" applyAlignment="1">
      <alignment horizontal="left"/>
    </xf>
    <xf numFmtId="2" fontId="22" fillId="4" borderId="42" xfId="372" applyNumberFormat="1" applyFill="1" applyBorder="1" applyAlignment="1">
      <alignment horizontal="righ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9" fontId="0" fillId="9" borderId="0" xfId="0" applyNumberFormat="1" applyFill="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6" borderId="68" xfId="0" applyFont="1" applyFill="1" applyBorder="1"/>
    <xf numFmtId="2" fontId="17" fillId="36" borderId="35" xfId="0" applyNumberFormat="1" applyFont="1" applyFill="1" applyBorder="1"/>
    <xf numFmtId="2" fontId="17" fillId="36" borderId="3" xfId="0" applyNumberFormat="1" applyFont="1" applyFill="1" applyBorder="1"/>
    <xf numFmtId="2" fontId="17" fillId="36" borderId="63" xfId="0" applyNumberFormat="1" applyFont="1" applyFill="1" applyBorder="1"/>
    <xf numFmtId="2" fontId="17" fillId="36" borderId="84" xfId="0" applyNumberFormat="1" applyFont="1" applyFill="1" applyBorder="1"/>
    <xf numFmtId="0" fontId="66" fillId="0" borderId="85" xfId="372" applyFont="1" applyBorder="1"/>
    <xf numFmtId="0" fontId="66" fillId="2" borderId="85" xfId="372" applyFont="1" applyFill="1" applyBorder="1"/>
    <xf numFmtId="0" fontId="43" fillId="0" borderId="85"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22" fillId="2" borderId="7" xfId="372" applyFill="1" applyBorder="1" applyAlignment="1" applyProtection="1">
      <alignment horizontal="center"/>
      <protection locked="0"/>
    </xf>
    <xf numFmtId="0" fontId="78" fillId="5" borderId="14" xfId="0" applyFont="1" applyFill="1" applyBorder="1" applyAlignment="1">
      <alignment vertical="center"/>
    </xf>
    <xf numFmtId="0" fontId="76" fillId="36" borderId="22" xfId="0" applyFont="1" applyFill="1" applyBorder="1" applyAlignment="1">
      <alignment horizontal="right"/>
    </xf>
    <xf numFmtId="2" fontId="88" fillId="36" borderId="25" xfId="0" applyNumberFormat="1" applyFont="1" applyFill="1" applyBorder="1" applyAlignment="1">
      <alignment vertical="center"/>
    </xf>
    <xf numFmtId="0" fontId="85" fillId="36" borderId="22" xfId="0" applyFont="1" applyFill="1" applyBorder="1" applyAlignment="1">
      <alignment horizontal="right"/>
    </xf>
    <xf numFmtId="0" fontId="17" fillId="36" borderId="1" xfId="0" applyFont="1" applyFill="1" applyBorder="1"/>
    <xf numFmtId="2" fontId="17" fillId="36" borderId="1" xfId="0" applyNumberFormat="1" applyFont="1" applyFill="1" applyBorder="1"/>
    <xf numFmtId="2" fontId="17" fillId="36"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6"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6" xfId="0" applyNumberFormat="1" applyBorder="1"/>
    <xf numFmtId="2" fontId="0" fillId="4" borderId="86" xfId="0" applyNumberFormat="1" applyFill="1" applyBorder="1"/>
    <xf numFmtId="2" fontId="17" fillId="36" borderId="87" xfId="0" applyNumberFormat="1" applyFont="1" applyFill="1" applyBorder="1"/>
    <xf numFmtId="2" fontId="17" fillId="36"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0" fontId="68" fillId="37" borderId="4" xfId="0" applyFont="1" applyFill="1" applyBorder="1"/>
    <xf numFmtId="0" fontId="68" fillId="37" borderId="5" xfId="0" applyFont="1" applyFill="1" applyBorder="1"/>
    <xf numFmtId="0" fontId="68" fillId="37" borderId="5" xfId="0" applyFont="1" applyFill="1" applyBorder="1" applyAlignment="1">
      <alignment horizontal="right"/>
    </xf>
    <xf numFmtId="0" fontId="68" fillId="37"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8" borderId="45" xfId="374" applyFont="1" applyFill="1" applyBorder="1"/>
    <xf numFmtId="0" fontId="67" fillId="38"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8" borderId="0" xfId="505" applyFont="1" applyFill="1" applyAlignment="1">
      <alignment horizontal="justify" vertical="justify" wrapText="1"/>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2" fontId="65" fillId="38"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14" fontId="105" fillId="31" borderId="33" xfId="0" applyNumberFormat="1" applyFont="1" applyFill="1" applyBorder="1" applyAlignment="1">
      <alignment horizontal="center"/>
    </xf>
    <xf numFmtId="0" fontId="114" fillId="2" borderId="0" xfId="372" applyFont="1" applyFill="1"/>
    <xf numFmtId="2" fontId="114" fillId="2" borderId="0" xfId="372" applyNumberFormat="1" applyFont="1" applyFill="1"/>
    <xf numFmtId="0" fontId="115" fillId="0" borderId="0" xfId="372" applyFont="1"/>
    <xf numFmtId="0" fontId="116" fillId="0" borderId="0" xfId="377" applyFont="1" applyBorder="1" applyProtection="1"/>
    <xf numFmtId="0" fontId="114" fillId="0" borderId="0" xfId="372" applyFont="1" applyAlignment="1">
      <alignment horizontal="left"/>
    </xf>
    <xf numFmtId="0" fontId="117" fillId="0" borderId="0" xfId="0" applyFont="1"/>
    <xf numFmtId="0" fontId="118" fillId="0" borderId="0" xfId="372" applyFont="1"/>
    <xf numFmtId="0" fontId="115" fillId="0" borderId="0" xfId="0" applyFont="1"/>
    <xf numFmtId="0" fontId="119" fillId="0" borderId="0" xfId="538" applyFont="1" applyBorder="1" applyProtection="1"/>
    <xf numFmtId="0" fontId="119" fillId="0" borderId="0" xfId="372" applyFont="1" applyAlignment="1">
      <alignment horizontal="right"/>
    </xf>
    <xf numFmtId="0" fontId="115" fillId="2" borderId="0" xfId="372" applyFont="1" applyFill="1"/>
    <xf numFmtId="0" fontId="116" fillId="2" borderId="0" xfId="377" applyFont="1" applyFill="1" applyBorder="1" applyProtection="1"/>
    <xf numFmtId="0" fontId="118" fillId="2" borderId="0" xfId="372" applyFont="1" applyFill="1"/>
    <xf numFmtId="0" fontId="119" fillId="2" borderId="0" xfId="538" applyFont="1" applyFill="1" applyBorder="1" applyProtection="1"/>
    <xf numFmtId="0" fontId="119" fillId="2" borderId="0" xfId="372" applyFont="1" applyFill="1" applyAlignment="1">
      <alignment horizontal="right"/>
    </xf>
    <xf numFmtId="0" fontId="117" fillId="2" borderId="0" xfId="0" applyFont="1" applyFill="1"/>
    <xf numFmtId="0" fontId="115" fillId="4" borderId="0" xfId="372" applyFont="1" applyFill="1"/>
    <xf numFmtId="0" fontId="115" fillId="15" borderId="0" xfId="372" applyFont="1" applyFill="1"/>
    <xf numFmtId="0" fontId="115" fillId="14" borderId="0" xfId="372" applyFont="1" applyFill="1"/>
    <xf numFmtId="2" fontId="115" fillId="0" borderId="0" xfId="372" applyNumberFormat="1" applyFont="1" applyAlignment="1" applyProtection="1">
      <alignment horizontal="left"/>
      <protection locked="0"/>
    </xf>
    <xf numFmtId="2" fontId="115" fillId="2" borderId="0" xfId="372" applyNumberFormat="1" applyFont="1" applyFill="1" applyAlignment="1" applyProtection="1">
      <alignment horizontal="left"/>
      <protection locked="0"/>
    </xf>
    <xf numFmtId="2" fontId="117" fillId="0" borderId="0" xfId="0" applyNumberFormat="1" applyFont="1"/>
    <xf numFmtId="0" fontId="117" fillId="4" borderId="0" xfId="0" applyFont="1" applyFill="1"/>
    <xf numFmtId="0" fontId="115"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4" borderId="0" xfId="0" applyNumberFormat="1" applyFont="1" applyFill="1" applyAlignment="1" applyProtection="1">
      <alignment horizontal="left"/>
      <protection locked="0"/>
    </xf>
    <xf numFmtId="2" fontId="79" fillId="44" borderId="0" xfId="0" applyNumberFormat="1" applyFont="1" applyFill="1" applyAlignment="1" applyProtection="1">
      <alignment horizontal="left"/>
      <protection locked="0"/>
    </xf>
    <xf numFmtId="0" fontId="14" fillId="0" borderId="0" xfId="0" applyFont="1"/>
    <xf numFmtId="0" fontId="22" fillId="4" borderId="7" xfId="372" applyFill="1" applyBorder="1" applyAlignment="1">
      <alignment horizontal="center"/>
    </xf>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3"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0" fontId="7" fillId="4" borderId="18" xfId="0"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1" fillId="0" borderId="0" xfId="374" applyFont="1"/>
    <xf numFmtId="0" fontId="0" fillId="2" borderId="1" xfId="0" applyFill="1" applyBorder="1" applyAlignment="1" applyProtection="1">
      <alignment horizontal="left"/>
      <protection locked="0"/>
    </xf>
    <xf numFmtId="1" fontId="50" fillId="2" borderId="7" xfId="372" applyNumberFormat="1" applyFont="1" applyFill="1" applyBorder="1" applyAlignment="1">
      <alignment horizontal="center"/>
    </xf>
    <xf numFmtId="0" fontId="22" fillId="2" borderId="10" xfId="372" applyFill="1" applyBorder="1" applyAlignment="1" applyProtection="1">
      <alignment horizontal="left" wrapText="1"/>
      <protection locked="0"/>
    </xf>
    <xf numFmtId="1" fontId="22" fillId="2" borderId="7" xfId="372" applyNumberFormat="1" applyFill="1" applyBorder="1" applyProtection="1">
      <protection locked="0"/>
    </xf>
    <xf numFmtId="0" fontId="34" fillId="2" borderId="7" xfId="372" applyFont="1" applyFill="1" applyBorder="1" applyAlignment="1" applyProtection="1">
      <alignment horizontal="center"/>
      <protection locked="0"/>
    </xf>
    <xf numFmtId="0" fontId="132" fillId="4" borderId="7" xfId="372" applyFont="1" applyFill="1" applyBorder="1" applyAlignment="1">
      <alignment horizontal="center"/>
    </xf>
    <xf numFmtId="0" fontId="22" fillId="4" borderId="6" xfId="372" applyFill="1" applyBorder="1" applyAlignment="1">
      <alignment horizontal="center"/>
    </xf>
    <xf numFmtId="0" fontId="50" fillId="2" borderId="5" xfId="372" applyFont="1" applyFill="1" applyBorder="1" applyProtection="1">
      <protection locked="0"/>
    </xf>
    <xf numFmtId="0" fontId="50" fillId="2" borderId="27" xfId="372" applyFont="1" applyFill="1" applyBorder="1" applyProtection="1">
      <protection locked="0"/>
    </xf>
    <xf numFmtId="0" fontId="0" fillId="2" borderId="64" xfId="0" applyFill="1" applyBorder="1" applyProtection="1">
      <protection locked="0"/>
    </xf>
    <xf numFmtId="2" fontId="85" fillId="31" borderId="22" xfId="0" applyNumberFormat="1" applyFont="1" applyFill="1" applyBorder="1"/>
    <xf numFmtId="0" fontId="62" fillId="0" borderId="0" xfId="505" applyFont="1" applyAlignment="1">
      <alignment wrapText="1"/>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27" xfId="0" applyFill="1" applyBorder="1" applyAlignment="1">
      <alignment vertical="center"/>
    </xf>
    <xf numFmtId="0" fontId="0" fillId="5" borderId="5" xfId="0" applyFill="1" applyBorder="1" applyAlignment="1">
      <alignment vertical="center"/>
    </xf>
    <xf numFmtId="0" fontId="135" fillId="0" borderId="0" xfId="0" applyFont="1"/>
    <xf numFmtId="0" fontId="0" fillId="2" borderId="1" xfId="0" applyFill="1" applyBorder="1" applyAlignment="1" applyProtection="1">
      <alignment horizontal="left" wrapText="1"/>
      <protection locked="0"/>
    </xf>
    <xf numFmtId="0" fontId="0" fillId="2" borderId="14" xfId="0" applyFill="1" applyBorder="1" applyAlignment="1" applyProtection="1">
      <alignment horizontal="left"/>
      <protection locked="0"/>
    </xf>
    <xf numFmtId="0" fontId="0" fillId="2" borderId="16" xfId="0" applyFill="1" applyBorder="1" applyAlignment="1" applyProtection="1">
      <alignment horizontal="left"/>
      <protection locked="0"/>
    </xf>
    <xf numFmtId="0" fontId="0" fillId="2" borderId="17" xfId="0" applyFill="1" applyBorder="1" applyAlignment="1" applyProtection="1">
      <alignment horizontal="left"/>
      <protection locked="0"/>
    </xf>
    <xf numFmtId="166" fontId="0" fillId="3" borderId="4" xfId="0" applyNumberFormat="1" applyFill="1" applyBorder="1" applyAlignment="1" applyProtection="1">
      <alignment horizontal="center" wrapText="1"/>
      <protection locked="0"/>
    </xf>
    <xf numFmtId="166" fontId="0" fillId="4" borderId="1" xfId="0" applyNumberFormat="1" applyFill="1" applyBorder="1" applyAlignment="1" applyProtection="1">
      <alignment horizontal="center" wrapText="1"/>
      <protection locked="0"/>
    </xf>
    <xf numFmtId="0" fontId="0" fillId="2" borderId="14" xfId="0" applyFill="1" applyBorder="1" applyAlignment="1" applyProtection="1">
      <alignment horizontal="left" wrapText="1"/>
      <protection locked="0"/>
    </xf>
    <xf numFmtId="0" fontId="0" fillId="2" borderId="16" xfId="0" applyFill="1" applyBorder="1" applyAlignment="1" applyProtection="1">
      <alignment horizontal="left" wrapText="1"/>
      <protection locked="0"/>
    </xf>
    <xf numFmtId="166" fontId="0" fillId="5" borderId="27" xfId="0" applyNumberFormat="1" applyFill="1" applyBorder="1" applyAlignment="1">
      <alignment horizontal="right"/>
    </xf>
    <xf numFmtId="0" fontId="0" fillId="5" borderId="10" xfId="0" applyFill="1" applyBorder="1" applyAlignment="1">
      <alignment horizontal="center"/>
    </xf>
    <xf numFmtId="2" fontId="14" fillId="5" borderId="1" xfId="0" applyNumberFormat="1" applyFont="1" applyFill="1" applyBorder="1"/>
    <xf numFmtId="2" fontId="14" fillId="5" borderId="16" xfId="0" applyNumberFormat="1" applyFont="1" applyFill="1" applyBorder="1"/>
    <xf numFmtId="0" fontId="61" fillId="4" borderId="14" xfId="372" applyFont="1" applyFill="1" applyBorder="1" applyAlignment="1" applyProtection="1">
      <alignment horizontal="right"/>
      <protection locked="0"/>
    </xf>
    <xf numFmtId="0" fontId="22" fillId="4" borderId="14" xfId="372" applyFill="1" applyBorder="1"/>
    <xf numFmtId="0" fontId="61" fillId="4" borderId="40" xfId="372" applyFont="1" applyFill="1" applyBorder="1" applyAlignment="1" applyProtection="1">
      <alignment horizontal="right"/>
      <protection locked="0"/>
    </xf>
    <xf numFmtId="0" fontId="17" fillId="22" borderId="0" xfId="0" applyFont="1" applyFill="1"/>
    <xf numFmtId="0" fontId="136" fillId="0" borderId="0" xfId="0" applyFont="1"/>
    <xf numFmtId="0" fontId="138" fillId="0" borderId="0" xfId="0" applyFont="1"/>
    <xf numFmtId="0" fontId="139" fillId="0" borderId="0" xfId="0" applyFont="1" applyAlignment="1">
      <alignment horizontal="left"/>
    </xf>
    <xf numFmtId="0" fontId="0" fillId="0" borderId="33" xfId="0" applyBorder="1" applyAlignment="1">
      <alignment horizontal="center" wrapText="1"/>
    </xf>
    <xf numFmtId="0" fontId="0" fillId="46" borderId="0" xfId="0" applyFill="1" applyAlignment="1">
      <alignment wrapText="1"/>
    </xf>
    <xf numFmtId="0" fontId="0" fillId="46" borderId="78" xfId="0" applyFill="1" applyBorder="1" applyAlignment="1">
      <alignment wrapText="1"/>
    </xf>
    <xf numFmtId="0" fontId="0" fillId="0" borderId="33" xfId="0" applyBorder="1"/>
    <xf numFmtId="0" fontId="17" fillId="22" borderId="0" xfId="0" applyFont="1" applyFill="1" applyAlignment="1">
      <alignment horizontal="center"/>
    </xf>
    <xf numFmtId="0" fontId="0" fillId="0" borderId="1" xfId="0" applyBorder="1" applyAlignment="1">
      <alignment wrapText="1"/>
    </xf>
    <xf numFmtId="0" fontId="0" fillId="46" borderId="1" xfId="0" applyFill="1" applyBorder="1" applyAlignment="1">
      <alignment horizontal="center" wrapText="1"/>
    </xf>
    <xf numFmtId="0" fontId="0" fillId="0" borderId="9" xfId="0" applyBorder="1" applyAlignment="1">
      <alignment horizontal="center" wrapText="1"/>
    </xf>
    <xf numFmtId="0" fontId="0" fillId="46" borderId="14" xfId="0" applyFill="1" applyBorder="1" applyAlignment="1">
      <alignment wrapText="1"/>
    </xf>
    <xf numFmtId="0" fontId="0" fillId="0" borderId="14" xfId="0" applyBorder="1"/>
    <xf numFmtId="0" fontId="114" fillId="2" borderId="0" xfId="372" applyFont="1" applyFill="1" applyAlignment="1">
      <alignment horizontal="center"/>
    </xf>
    <xf numFmtId="0" fontId="107" fillId="2" borderId="0" xfId="372" applyFont="1" applyFill="1" applyAlignment="1">
      <alignment horizontal="left"/>
    </xf>
    <xf numFmtId="0" fontId="77" fillId="2" borderId="0" xfId="372" applyFont="1" applyFill="1" applyAlignment="1">
      <alignment horizontal="left"/>
    </xf>
    <xf numFmtId="0" fontId="117" fillId="2" borderId="0" xfId="0" applyFont="1" applyFill="1" applyAlignment="1">
      <alignment horizontal="left"/>
    </xf>
    <xf numFmtId="9" fontId="107" fillId="2" borderId="0" xfId="372" applyNumberFormat="1" applyFont="1" applyFill="1" applyAlignment="1">
      <alignment horizontal="left"/>
    </xf>
    <xf numFmtId="0" fontId="141" fillId="2" borderId="0" xfId="372" applyFont="1" applyFill="1"/>
    <xf numFmtId="0" fontId="110" fillId="2" borderId="0" xfId="372" applyFont="1" applyFill="1" applyAlignment="1">
      <alignment horizontal="left"/>
    </xf>
    <xf numFmtId="0" fontId="111" fillId="2" borderId="0" xfId="372" applyFont="1" applyFill="1" applyAlignment="1">
      <alignment horizontal="left"/>
    </xf>
    <xf numFmtId="0" fontId="112" fillId="2" borderId="0" xfId="372" applyFont="1" applyFill="1" applyAlignment="1">
      <alignment horizontal="left"/>
    </xf>
    <xf numFmtId="0" fontId="113" fillId="2" borderId="0" xfId="372" applyFont="1" applyFill="1" applyAlignment="1">
      <alignment horizontal="left"/>
    </xf>
    <xf numFmtId="0" fontId="135" fillId="0" borderId="23" xfId="0" applyFont="1" applyBorder="1"/>
    <xf numFmtId="0" fontId="135" fillId="0" borderId="24" xfId="0" applyFont="1" applyBorder="1"/>
    <xf numFmtId="0" fontId="0" fillId="46" borderId="0" xfId="0" applyFill="1"/>
    <xf numFmtId="0" fontId="0" fillId="46" borderId="78" xfId="0" applyFill="1" applyBorder="1"/>
    <xf numFmtId="0" fontId="135" fillId="46" borderId="24" xfId="0" applyFont="1" applyFill="1" applyBorder="1"/>
    <xf numFmtId="0" fontId="0" fillId="46" borderId="1" xfId="0" applyFill="1" applyBorder="1"/>
    <xf numFmtId="0" fontId="0" fillId="46" borderId="14" xfId="0" applyFill="1" applyBorder="1"/>
    <xf numFmtId="0" fontId="135" fillId="46" borderId="25" xfId="0" applyFont="1" applyFill="1" applyBorder="1"/>
    <xf numFmtId="0" fontId="142" fillId="2" borderId="0" xfId="372" applyFont="1" applyFill="1"/>
    <xf numFmtId="0" fontId="144" fillId="2" borderId="0" xfId="372" applyFont="1" applyFill="1"/>
    <xf numFmtId="2" fontId="144" fillId="0" borderId="0" xfId="372" applyNumberFormat="1" applyFont="1"/>
    <xf numFmtId="2" fontId="145" fillId="0" borderId="0" xfId="372" applyNumberFormat="1" applyFont="1"/>
    <xf numFmtId="0" fontId="145" fillId="2" borderId="0" xfId="372" applyFont="1" applyFill="1" applyAlignment="1">
      <alignment horizontal="left"/>
    </xf>
    <xf numFmtId="0" fontId="0" fillId="27" borderId="9" xfId="0" applyFill="1" applyBorder="1" applyAlignment="1">
      <alignment horizontal="center" wrapText="1"/>
    </xf>
    <xf numFmtId="0" fontId="0" fillId="27" borderId="1" xfId="0" applyFill="1" applyBorder="1" applyAlignment="1">
      <alignment wrapText="1"/>
    </xf>
    <xf numFmtId="0" fontId="0" fillId="27" borderId="14" xfId="0" applyFill="1" applyBorder="1" applyAlignment="1">
      <alignment wrapText="1"/>
    </xf>
    <xf numFmtId="0" fontId="135" fillId="27" borderId="24" xfId="0" applyFont="1" applyFill="1" applyBorder="1"/>
    <xf numFmtId="0" fontId="0" fillId="27" borderId="1" xfId="0" applyFill="1" applyBorder="1" applyAlignment="1">
      <alignment horizontal="center" wrapText="1"/>
    </xf>
    <xf numFmtId="0" fontId="0" fillId="46" borderId="4" xfId="0" applyFill="1" applyBorder="1" applyAlignment="1">
      <alignment wrapText="1"/>
    </xf>
    <xf numFmtId="0" fontId="0" fillId="46" borderId="4" xfId="0" applyFill="1" applyBorder="1"/>
    <xf numFmtId="0" fontId="135" fillId="27" borderId="45" xfId="0" applyFont="1" applyFill="1" applyBorder="1"/>
    <xf numFmtId="0" fontId="135" fillId="27" borderId="76" xfId="0" applyFont="1" applyFill="1" applyBorder="1"/>
    <xf numFmtId="0" fontId="0" fillId="27" borderId="9" xfId="0" applyFill="1" applyBorder="1" applyAlignment="1">
      <alignment wrapText="1"/>
    </xf>
    <xf numFmtId="0" fontId="17" fillId="22" borderId="14" xfId="0" applyFont="1" applyFill="1" applyBorder="1"/>
    <xf numFmtId="0" fontId="0" fillId="0" borderId="95" xfId="0" applyBorder="1"/>
    <xf numFmtId="0" fontId="17" fillId="0" borderId="78" xfId="0" applyFont="1" applyBorder="1"/>
    <xf numFmtId="2" fontId="17" fillId="0" borderId="78" xfId="0" applyNumberFormat="1" applyFont="1" applyBorder="1" applyAlignment="1">
      <alignment horizontal="center"/>
    </xf>
    <xf numFmtId="166" fontId="17" fillId="0" borderId="78" xfId="0" applyNumberFormat="1" applyFont="1" applyBorder="1" applyAlignment="1">
      <alignment wrapText="1"/>
    </xf>
    <xf numFmtId="166" fontId="0" fillId="2" borderId="1" xfId="0" applyNumberFormat="1" applyFill="1" applyBorder="1" applyAlignment="1" applyProtection="1">
      <alignment horizontal="center"/>
      <protection locked="0"/>
    </xf>
    <xf numFmtId="166" fontId="0" fillId="2" borderId="16" xfId="0" applyNumberFormat="1" applyFill="1" applyBorder="1" applyAlignment="1" applyProtection="1">
      <alignment horizontal="center"/>
      <protection locked="0"/>
    </xf>
    <xf numFmtId="166" fontId="0" fillId="2" borderId="1" xfId="0" applyNumberFormat="1" applyFill="1" applyBorder="1" applyAlignment="1">
      <alignment horizontal="center"/>
    </xf>
    <xf numFmtId="166" fontId="0" fillId="2" borderId="16" xfId="0" applyNumberFormat="1" applyFill="1" applyBorder="1" applyAlignment="1">
      <alignment horizontal="center"/>
    </xf>
    <xf numFmtId="0" fontId="0" fillId="4" borderId="5" xfId="0" applyFill="1" applyBorder="1" applyAlignment="1">
      <alignment horizontal="center" wrapText="1"/>
    </xf>
    <xf numFmtId="0" fontId="0" fillId="4" borderId="9" xfId="0" applyFill="1" applyBorder="1" applyAlignment="1">
      <alignment wrapText="1"/>
    </xf>
    <xf numFmtId="0" fontId="13" fillId="0" borderId="0" xfId="0" applyFont="1" applyAlignment="1">
      <alignment wrapText="1"/>
    </xf>
    <xf numFmtId="0" fontId="13" fillId="46" borderId="78" xfId="0" applyFont="1" applyFill="1" applyBorder="1" applyAlignment="1">
      <alignment wrapText="1"/>
    </xf>
    <xf numFmtId="0" fontId="13" fillId="46" borderId="0" xfId="0" applyFont="1" applyFill="1" applyAlignment="1">
      <alignment wrapText="1"/>
    </xf>
    <xf numFmtId="0" fontId="13" fillId="0" borderId="33" xfId="0" applyFont="1" applyBorder="1" applyAlignment="1">
      <alignment horizontal="center" wrapText="1"/>
    </xf>
    <xf numFmtId="0" fontId="149" fillId="4" borderId="59" xfId="372" applyFont="1" applyFill="1" applyBorder="1" applyAlignment="1">
      <alignment horizontal="center" vertical="center" wrapText="1"/>
    </xf>
    <xf numFmtId="2" fontId="85" fillId="48" borderId="22" xfId="0" applyNumberFormat="1" applyFon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Alignment="1" applyProtection="1">
      <alignment horizontal="left" wrapText="1"/>
      <protection locked="0"/>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17" fillId="0" borderId="0" xfId="0" applyFont="1" applyAlignment="1">
      <alignment horizontal="left" wrapText="1"/>
    </xf>
    <xf numFmtId="0" fontId="127" fillId="0" borderId="0" xfId="0" applyFont="1" applyAlignment="1">
      <alignment wrapText="1"/>
    </xf>
    <xf numFmtId="0" fontId="95" fillId="0" borderId="0" xfId="0" applyFont="1" applyAlignment="1">
      <alignment horizontal="left" wrapText="1"/>
    </xf>
    <xf numFmtId="0" fontId="92" fillId="31" borderId="0" xfId="0" applyFont="1" applyFill="1" applyAlignment="1">
      <alignment horizontal="center" vertical="center"/>
    </xf>
    <xf numFmtId="2" fontId="0" fillId="5" borderId="40" xfId="0" applyNumberFormat="1" applyFill="1" applyBorder="1"/>
    <xf numFmtId="2" fontId="17" fillId="31" borderId="40" xfId="0" applyNumberFormat="1" applyFont="1" applyFill="1" applyBorder="1"/>
    <xf numFmtId="0" fontId="151" fillId="0" borderId="0" xfId="0" applyFont="1" applyAlignment="1">
      <alignment horizontal="center" vertical="center"/>
    </xf>
    <xf numFmtId="0" fontId="152" fillId="2" borderId="0" xfId="0" applyFont="1" applyFill="1"/>
    <xf numFmtId="2" fontId="152" fillId="2" borderId="0" xfId="0" applyNumberFormat="1" applyFont="1" applyFill="1" applyAlignment="1">
      <alignment horizontal="center"/>
    </xf>
    <xf numFmtId="0" fontId="152" fillId="0" borderId="0" xfId="0" applyFont="1"/>
    <xf numFmtId="0" fontId="152" fillId="8" borderId="13" xfId="0" applyFont="1" applyFill="1" applyBorder="1"/>
    <xf numFmtId="0" fontId="152" fillId="8" borderId="5" xfId="0" applyFont="1" applyFill="1" applyBorder="1"/>
    <xf numFmtId="0" fontId="152" fillId="8" borderId="6" xfId="0" applyFont="1" applyFill="1" applyBorder="1"/>
    <xf numFmtId="0" fontId="152" fillId="4" borderId="14" xfId="0" applyFont="1" applyFill="1" applyBorder="1"/>
    <xf numFmtId="4" fontId="152" fillId="5" borderId="14" xfId="0" applyNumberFormat="1" applyFont="1" applyFill="1" applyBorder="1" applyAlignment="1">
      <alignment horizontal="right"/>
    </xf>
    <xf numFmtId="49" fontId="152" fillId="5" borderId="53" xfId="0" applyNumberFormat="1" applyFont="1" applyFill="1" applyBorder="1" applyAlignment="1">
      <alignment horizontal="left"/>
    </xf>
    <xf numFmtId="49" fontId="152" fillId="5" borderId="10" xfId="0" applyNumberFormat="1" applyFont="1" applyFill="1" applyBorder="1" applyAlignment="1">
      <alignment horizontal="left"/>
    </xf>
    <xf numFmtId="49" fontId="152" fillId="5" borderId="7" xfId="0" applyNumberFormat="1" applyFont="1" applyFill="1" applyBorder="1" applyAlignment="1">
      <alignment horizontal="left"/>
    </xf>
    <xf numFmtId="4" fontId="152" fillId="5" borderId="64" xfId="0" applyNumberFormat="1" applyFont="1" applyFill="1" applyBorder="1" applyAlignment="1">
      <alignment horizontal="right"/>
    </xf>
    <xf numFmtId="2" fontId="152" fillId="5" borderId="14" xfId="0" applyNumberFormat="1" applyFont="1" applyFill="1" applyBorder="1" applyAlignment="1">
      <alignment horizontal="right"/>
    </xf>
    <xf numFmtId="2" fontId="152" fillId="5" borderId="63" xfId="0" applyNumberFormat="1" applyFont="1" applyFill="1" applyBorder="1" applyAlignment="1">
      <alignment horizontal="right"/>
    </xf>
    <xf numFmtId="4" fontId="152" fillId="4" borderId="52" xfId="0" applyNumberFormat="1" applyFont="1" applyFill="1" applyBorder="1" applyAlignment="1">
      <alignment horizontal="right"/>
    </xf>
    <xf numFmtId="4" fontId="152" fillId="5" borderId="18" xfId="0" applyNumberFormat="1" applyFont="1" applyFill="1" applyBorder="1" applyAlignment="1">
      <alignment horizontal="right"/>
    </xf>
    <xf numFmtId="2" fontId="152" fillId="5" borderId="64" xfId="0" applyNumberFormat="1" applyFont="1" applyFill="1" applyBorder="1" applyAlignment="1">
      <alignment horizontal="right"/>
    </xf>
    <xf numFmtId="4" fontId="152" fillId="4" borderId="17" xfId="0" applyNumberFormat="1" applyFont="1" applyFill="1" applyBorder="1" applyAlignment="1">
      <alignment horizontal="right"/>
    </xf>
    <xf numFmtId="0" fontId="151" fillId="0" borderId="33" xfId="0" applyFont="1" applyBorder="1" applyAlignment="1">
      <alignment horizontal="center" vertical="center"/>
    </xf>
    <xf numFmtId="49" fontId="152" fillId="2" borderId="0" xfId="0" applyNumberFormat="1" applyFont="1" applyFill="1" applyAlignment="1">
      <alignment horizontal="left" wrapText="1"/>
    </xf>
    <xf numFmtId="4" fontId="152" fillId="2" borderId="0" xfId="0" applyNumberFormat="1" applyFont="1" applyFill="1" applyAlignment="1">
      <alignment horizontal="right"/>
    </xf>
    <xf numFmtId="0" fontId="152" fillId="0" borderId="0" xfId="0" applyFont="1" applyAlignment="1">
      <alignment horizontal="center"/>
    </xf>
    <xf numFmtId="0" fontId="65" fillId="2" borderId="10" xfId="372" applyFont="1" applyFill="1" applyBorder="1" applyProtection="1">
      <protection locked="0"/>
    </xf>
    <xf numFmtId="0" fontId="37" fillId="0" borderId="0" xfId="505" applyAlignment="1">
      <alignment horizontal="justify" vertical="justify" wrapText="1"/>
    </xf>
    <xf numFmtId="0" fontId="37" fillId="28" borderId="0" xfId="505" applyFill="1" applyAlignment="1">
      <alignment horizontal="left" vertical="justify" wrapText="1"/>
    </xf>
    <xf numFmtId="0" fontId="62" fillId="0" borderId="0" xfId="505" applyFont="1" applyAlignment="1">
      <alignment horizontal="left" vertical="center" wrapText="1"/>
    </xf>
    <xf numFmtId="0" fontId="24" fillId="0" borderId="0" xfId="505" applyFont="1" applyAlignment="1">
      <alignment horizontal="center"/>
    </xf>
    <xf numFmtId="0" fontId="62" fillId="0" borderId="0" xfId="505" applyFont="1" applyAlignment="1">
      <alignment horizontal="left"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0" fillId="0" borderId="0" xfId="0" applyAlignment="1">
      <alignment horizontal="center" wrapText="1"/>
    </xf>
    <xf numFmtId="0" fontId="96" fillId="0" borderId="0" xfId="0" applyFont="1" applyAlignment="1">
      <alignment horizontal="left"/>
    </xf>
    <xf numFmtId="0" fontId="0" fillId="0" borderId="0" xfId="0" applyAlignment="1">
      <alignment horizontal="left" wrapText="1"/>
    </xf>
    <xf numFmtId="0" fontId="96" fillId="0" borderId="0" xfId="0" applyFont="1" applyAlignment="1">
      <alignment horizontal="center"/>
    </xf>
    <xf numFmtId="0" fontId="0" fillId="0" borderId="0" xfId="0" applyAlignment="1">
      <alignment horizontal="center"/>
    </xf>
    <xf numFmtId="0" fontId="126" fillId="0" borderId="0" xfId="0" applyFont="1" applyAlignment="1">
      <alignment horizontal="center" wrapText="1"/>
    </xf>
    <xf numFmtId="0" fontId="0" fillId="0" borderId="0" xfId="0" applyAlignment="1">
      <alignment horizontal="left"/>
    </xf>
    <xf numFmtId="0" fontId="78" fillId="0" borderId="0" xfId="0" applyFont="1" applyAlignment="1">
      <alignment horizontal="left" wrapText="1"/>
    </xf>
    <xf numFmtId="0" fontId="8" fillId="0" borderId="0" xfId="0" applyFont="1" applyAlignment="1">
      <alignment horizontal="left" wrapText="1"/>
    </xf>
    <xf numFmtId="0" fontId="150" fillId="0" borderId="0" xfId="0" applyFont="1" applyAlignment="1">
      <alignment horizontal="left" wrapText="1"/>
    </xf>
    <xf numFmtId="0" fontId="127" fillId="0" borderId="0" xfId="0" applyFont="1" applyAlignment="1">
      <alignment horizontal="left" wrapText="1"/>
    </xf>
    <xf numFmtId="0" fontId="93" fillId="0" borderId="0" xfId="0" applyFont="1" applyAlignment="1">
      <alignment horizontal="left"/>
    </xf>
    <xf numFmtId="0" fontId="93" fillId="0" borderId="0" xfId="0" applyFont="1" applyAlignment="1">
      <alignment horizontal="left" wrapText="1"/>
    </xf>
    <xf numFmtId="0" fontId="0" fillId="0" borderId="0" xfId="505" applyFont="1" applyAlignment="1">
      <alignment horizontal="left" vertical="justify"/>
    </xf>
    <xf numFmtId="0" fontId="2" fillId="0" borderId="0" xfId="505" applyFont="1" applyAlignment="1">
      <alignment horizontal="left" vertical="justify"/>
    </xf>
    <xf numFmtId="0" fontId="138" fillId="0" borderId="0" xfId="0" applyFont="1" applyAlignment="1">
      <alignment horizontal="left" wrapText="1"/>
    </xf>
    <xf numFmtId="0" fontId="139" fillId="0" borderId="0" xfId="0" applyFont="1" applyAlignment="1">
      <alignment horizontal="left"/>
    </xf>
    <xf numFmtId="0" fontId="138" fillId="0" borderId="0" xfId="0" applyFont="1" applyAlignment="1">
      <alignment horizontal="left"/>
    </xf>
    <xf numFmtId="0" fontId="137" fillId="0" borderId="0" xfId="0" applyFont="1" applyAlignment="1">
      <alignment horizontal="center"/>
    </xf>
    <xf numFmtId="0" fontId="92" fillId="0" borderId="24" xfId="0" applyFont="1" applyBorder="1" applyAlignment="1">
      <alignment horizontal="center" vertical="center"/>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 xfId="0" applyFill="1" applyBorder="1" applyAlignment="1">
      <alignment horizontal="left" wrapText="1"/>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5" fillId="0" borderId="0" xfId="0" applyFont="1" applyAlignment="1">
      <alignment horizontal="left" wrapText="1"/>
    </xf>
    <xf numFmtId="0" fontId="95" fillId="0" borderId="45" xfId="0" applyFont="1" applyBorder="1" applyAlignment="1">
      <alignment horizontal="left" wrapText="1"/>
    </xf>
    <xf numFmtId="0" fontId="0" fillId="0" borderId="45" xfId="0" applyBorder="1" applyAlignment="1">
      <alignment horizontal="center"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5" xfId="0" applyNumberFormat="1" applyFill="1" applyBorder="1" applyAlignment="1" applyProtection="1">
      <alignment horizontal="center"/>
      <protection locked="0"/>
    </xf>
    <xf numFmtId="0" fontId="0" fillId="2" borderId="1"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93" fillId="0" borderId="0" xfId="0" applyFont="1" applyAlignment="1">
      <alignment horizontal="left" vertical="center" wrapText="1"/>
    </xf>
    <xf numFmtId="0" fontId="95" fillId="0" borderId="0" xfId="0" applyFont="1" applyAlignment="1">
      <alignment horizontal="left" vertical="center"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93" fillId="0" borderId="0" xfId="0" applyFont="1" applyAlignment="1">
      <alignment horizontal="center" vertical="center"/>
    </xf>
    <xf numFmtId="0" fontId="93" fillId="0" borderId="0" xfId="0" applyFont="1" applyAlignment="1">
      <alignment horizontal="center" vertical="center" wrapText="1"/>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166" fontId="0" fillId="4" borderId="4" xfId="0" applyNumberFormat="1" applyFill="1" applyBorder="1" applyAlignment="1">
      <alignment horizontal="center" wrapText="1"/>
    </xf>
    <xf numFmtId="166" fontId="0" fillId="4" borderId="40" xfId="0" applyNumberFormat="1" applyFill="1" applyBorder="1" applyAlignment="1">
      <alignment horizontal="center" wrapText="1"/>
    </xf>
    <xf numFmtId="0" fontId="93" fillId="0" borderId="60" xfId="0" applyFont="1" applyBorder="1" applyAlignment="1">
      <alignment horizontal="left" vertical="center" wrapText="1"/>
    </xf>
    <xf numFmtId="0" fontId="7" fillId="4" borderId="12" xfId="0" applyFont="1" applyFill="1" applyBorder="1" applyAlignment="1">
      <alignment horizontal="center" vertical="center" wrapText="1"/>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0" fontId="87" fillId="31" borderId="36" xfId="0" applyFont="1" applyFill="1" applyBorder="1" applyAlignment="1">
      <alignment horizontal="center"/>
    </xf>
    <xf numFmtId="0" fontId="87" fillId="31" borderId="60" xfId="0" applyFont="1" applyFill="1" applyBorder="1" applyAlignment="1">
      <alignment horizontal="center"/>
    </xf>
    <xf numFmtId="0" fontId="87" fillId="31" borderId="65" xfId="0" applyFont="1" applyFill="1" applyBorder="1" applyAlignment="1">
      <alignment horizontal="center"/>
    </xf>
    <xf numFmtId="0" fontId="87" fillId="31" borderId="33" xfId="0" applyFont="1" applyFill="1" applyBorder="1" applyAlignment="1">
      <alignment horizontal="center"/>
    </xf>
    <xf numFmtId="0" fontId="87" fillId="31" borderId="0" xfId="0" applyFont="1" applyFill="1" applyAlignment="1">
      <alignment horizontal="center"/>
    </xf>
    <xf numFmtId="0" fontId="87" fillId="31" borderId="62" xfId="0" applyFont="1" applyFill="1" applyBorder="1" applyAlignment="1">
      <alignment horizontal="center"/>
    </xf>
    <xf numFmtId="0" fontId="87" fillId="31" borderId="27" xfId="0" applyFont="1" applyFill="1" applyBorder="1" applyAlignment="1">
      <alignment horizontal="center"/>
    </xf>
    <xf numFmtId="0" fontId="105" fillId="31" borderId="0" xfId="0" applyFont="1" applyFill="1" applyAlignment="1">
      <alignment horizontal="center"/>
    </xf>
    <xf numFmtId="0" fontId="105" fillId="31" borderId="78" xfId="0" applyFont="1" applyFill="1" applyBorder="1" applyAlignment="1">
      <alignment horizontal="center"/>
    </xf>
    <xf numFmtId="49" fontId="15" fillId="3" borderId="1" xfId="0" applyNumberFormat="1" applyFont="1" applyFill="1" applyBorder="1" applyAlignment="1" applyProtection="1">
      <alignment horizontal="center"/>
      <protection locked="0"/>
    </xf>
    <xf numFmtId="49" fontId="15" fillId="3" borderId="4" xfId="0" applyNumberFormat="1" applyFont="1" applyFill="1" applyBorder="1" applyAlignment="1" applyProtection="1">
      <alignment horizontal="center"/>
      <protection locked="0"/>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71" fillId="4" borderId="62" xfId="0" applyFont="1" applyFill="1" applyBorder="1" applyAlignment="1">
      <alignment horizontal="left" wrapText="1"/>
    </xf>
    <xf numFmtId="0" fontId="71" fillId="4" borderId="27" xfId="0" applyFont="1" applyFill="1" applyBorder="1" applyAlignment="1">
      <alignment horizontal="left" wrapText="1"/>
    </xf>
    <xf numFmtId="0" fontId="71" fillId="4" borderId="75" xfId="0" applyFont="1" applyFill="1" applyBorder="1" applyAlignment="1">
      <alignment horizontal="left" wrapText="1"/>
    </xf>
    <xf numFmtId="0" fontId="0" fillId="4" borderId="13" xfId="0" applyFill="1" applyBorder="1" applyAlignment="1">
      <alignment horizontal="center"/>
    </xf>
    <xf numFmtId="2" fontId="0" fillId="4" borderId="4" xfId="0" applyNumberFormat="1" applyFill="1" applyBorder="1" applyAlignment="1">
      <alignment horizontal="center" wrapText="1"/>
    </xf>
    <xf numFmtId="2" fontId="0" fillId="4" borderId="6" xfId="0" applyNumberFormat="1" applyFill="1" applyBorder="1" applyAlignment="1">
      <alignment horizontal="center" wrapText="1"/>
    </xf>
    <xf numFmtId="166" fontId="0" fillId="3" borderId="4" xfId="0" applyNumberFormat="1" applyFill="1" applyBorder="1" applyAlignment="1">
      <alignment horizontal="center" wrapText="1"/>
    </xf>
    <xf numFmtId="166" fontId="0" fillId="3" borderId="5" xfId="0" applyNumberFormat="1" applyFill="1" applyBorder="1" applyAlignment="1">
      <alignment horizontal="center" wrapText="1"/>
    </xf>
    <xf numFmtId="166" fontId="0" fillId="3" borderId="40" xfId="0" applyNumberFormat="1" applyFill="1" applyBorder="1" applyAlignment="1">
      <alignment horizontal="center" wrapText="1"/>
    </xf>
    <xf numFmtId="2" fontId="0" fillId="4" borderId="40" xfId="0" applyNumberFormat="1" applyFill="1" applyBorder="1" applyAlignment="1">
      <alignment horizontal="center" wrapText="1"/>
    </xf>
    <xf numFmtId="166" fontId="0" fillId="4" borderId="5" xfId="0" applyNumberFormat="1" applyFill="1" applyBorder="1" applyAlignment="1">
      <alignment horizontal="center" wrapText="1"/>
    </xf>
    <xf numFmtId="0" fontId="37" fillId="4" borderId="13"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123" fillId="44" borderId="13" xfId="0" applyFont="1" applyFill="1" applyBorder="1" applyAlignment="1" applyProtection="1">
      <alignment horizontal="left"/>
      <protection locked="0"/>
    </xf>
    <xf numFmtId="0" fontId="123" fillId="44" borderId="5" xfId="0" applyFont="1" applyFill="1" applyBorder="1" applyAlignment="1" applyProtection="1">
      <alignment horizontal="left"/>
      <protection locked="0"/>
    </xf>
    <xf numFmtId="0" fontId="123" fillId="44" borderId="6" xfId="0" applyFont="1" applyFill="1" applyBorder="1" applyAlignment="1" applyProtection="1">
      <alignment horizontal="left"/>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0" fontId="135" fillId="46" borderId="58" xfId="0" applyFont="1" applyFill="1" applyBorder="1" applyAlignment="1">
      <alignment horizontal="center" wrapText="1"/>
    </xf>
    <xf numFmtId="0" fontId="135" fillId="46" borderId="59" xfId="0" applyFont="1" applyFill="1" applyBorder="1" applyAlignment="1">
      <alignment horizontal="center" wrapText="1"/>
    </xf>
    <xf numFmtId="0" fontId="135" fillId="46" borderId="52" xfId="0" applyFont="1" applyFill="1" applyBorder="1" applyAlignment="1">
      <alignment horizontal="center" wrapText="1"/>
    </xf>
    <xf numFmtId="0" fontId="17" fillId="22" borderId="1" xfId="0" applyFont="1" applyFill="1" applyBorder="1" applyAlignment="1">
      <alignment horizontal="center"/>
    </xf>
    <xf numFmtId="0" fontId="17" fillId="22" borderId="14" xfId="0" applyFont="1" applyFill="1" applyBorder="1" applyAlignment="1">
      <alignment horizontal="center"/>
    </xf>
    <xf numFmtId="0" fontId="0" fillId="47" borderId="23" xfId="0" applyFill="1" applyBorder="1" applyAlignment="1">
      <alignment horizontal="center"/>
    </xf>
    <xf numFmtId="0" fontId="0" fillId="47" borderId="24" xfId="0" applyFill="1" applyBorder="1" applyAlignment="1">
      <alignment horizontal="center"/>
    </xf>
    <xf numFmtId="0" fontId="0" fillId="47" borderId="25" xfId="0" applyFill="1" applyBorder="1" applyAlignment="1">
      <alignment horizontal="center"/>
    </xf>
    <xf numFmtId="0" fontId="13" fillId="0" borderId="0" xfId="0" applyFont="1" applyAlignment="1">
      <alignment horizontal="center" wrapText="1"/>
    </xf>
    <xf numFmtId="0" fontId="143" fillId="0" borderId="0" xfId="0" applyFont="1" applyAlignment="1">
      <alignment horizontal="center" wrapText="1"/>
    </xf>
    <xf numFmtId="0" fontId="135" fillId="0" borderId="58" xfId="0" applyFont="1" applyBorder="1" applyAlignment="1">
      <alignment horizontal="center" wrapText="1"/>
    </xf>
    <xf numFmtId="0" fontId="135" fillId="0" borderId="59" xfId="0" applyFont="1" applyBorder="1" applyAlignment="1">
      <alignment horizontal="center" wrapText="1"/>
    </xf>
    <xf numFmtId="0" fontId="135" fillId="0" borderId="37" xfId="0" applyFont="1" applyBorder="1" applyAlignment="1">
      <alignment horizontal="center" wrapText="1"/>
    </xf>
    <xf numFmtId="0" fontId="146" fillId="0" borderId="58" xfId="0" applyFont="1" applyBorder="1" applyAlignment="1">
      <alignment horizontal="center" wrapText="1"/>
    </xf>
    <xf numFmtId="0" fontId="146" fillId="0" borderId="52" xfId="0" applyFont="1" applyBorder="1" applyAlignment="1">
      <alignment horizontal="center" wrapText="1"/>
    </xf>
    <xf numFmtId="0" fontId="37" fillId="0" borderId="80" xfId="372" applyFont="1" applyBorder="1" applyAlignment="1">
      <alignment horizontal="center" vertical="center" wrapText="1"/>
    </xf>
    <xf numFmtId="0" fontId="37" fillId="0" borderId="12" xfId="372" applyFont="1" applyBorder="1" applyAlignment="1">
      <alignment horizontal="center" vertical="center" wrapText="1"/>
    </xf>
    <xf numFmtId="0" fontId="18" fillId="0" borderId="0" xfId="0" applyFont="1" applyAlignment="1">
      <alignment horizontal="center"/>
    </xf>
    <xf numFmtId="0" fontId="37" fillId="0" borderId="81" xfId="372" applyFont="1" applyBorder="1" applyAlignment="1">
      <alignment horizontal="center" vertical="center" wrapText="1"/>
    </xf>
    <xf numFmtId="0" fontId="37" fillId="0" borderId="34" xfId="372" applyFont="1" applyBorder="1" applyAlignment="1">
      <alignment horizontal="center" vertical="center" wrapText="1"/>
    </xf>
    <xf numFmtId="0" fontId="77" fillId="4" borderId="66" xfId="372" applyFont="1" applyFill="1" applyBorder="1" applyAlignment="1">
      <alignment horizontal="left"/>
    </xf>
    <xf numFmtId="0" fontId="77" fillId="4" borderId="94"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61" fillId="0" borderId="5" xfId="372"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0" fontId="122" fillId="4" borderId="10" xfId="372" applyFont="1" applyFill="1" applyBorder="1" applyAlignment="1">
      <alignment horizontal="center"/>
    </xf>
    <xf numFmtId="0" fontId="122" fillId="4" borderId="77" xfId="372" applyFont="1" applyFill="1" applyBorder="1" applyAlignment="1">
      <alignment horizontal="center"/>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0" fontId="37" fillId="5" borderId="5" xfId="372" applyFont="1" applyFill="1" applyBorder="1" applyAlignment="1">
      <alignment horizontal="center"/>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0" xfId="372" applyFont="1" applyFill="1" applyBorder="1" applyAlignment="1">
      <alignment horizontal="center"/>
    </xf>
    <xf numFmtId="0" fontId="82" fillId="31" borderId="65" xfId="372" applyFont="1" applyFill="1" applyBorder="1" applyAlignment="1">
      <alignment horizontal="center"/>
    </xf>
    <xf numFmtId="0" fontId="91" fillId="3" borderId="4"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61" fillId="5" borderId="5" xfId="372" applyFont="1" applyFill="1" applyBorder="1" applyAlignment="1">
      <alignment horizontal="left"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91" fillId="3" borderId="6" xfId="372" applyFont="1" applyFill="1" applyBorder="1" applyAlignment="1">
      <alignment horizontal="center" vertical="center" wrapText="1"/>
    </xf>
    <xf numFmtId="0" fontId="37" fillId="0" borderId="35" xfId="372" applyFont="1" applyBorder="1" applyAlignment="1">
      <alignment horizontal="center" vertical="center" wrapText="1"/>
    </xf>
    <xf numFmtId="0" fontId="53" fillId="0" borderId="80" xfId="372" applyFont="1" applyBorder="1" applyAlignment="1">
      <alignment horizontal="center" vertical="center" wrapText="1"/>
    </xf>
    <xf numFmtId="0" fontId="53" fillId="0" borderId="35" xfId="372" applyFont="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37" fillId="0" borderId="8" xfId="372" applyFont="1" applyBorder="1" applyAlignment="1">
      <alignment horizontal="center" vertic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1" fillId="3" borderId="13" xfId="372" applyFont="1" applyFill="1" applyBorder="1" applyAlignment="1">
      <alignment horizontal="center" vertical="center" wrapText="1"/>
    </xf>
    <xf numFmtId="0" fontId="115" fillId="2" borderId="0" xfId="372" applyFont="1" applyFill="1" applyAlignment="1">
      <alignment horizontal="left"/>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8" borderId="9" xfId="372" applyFont="1" applyFill="1" applyBorder="1" applyAlignment="1">
      <alignment horizontal="left"/>
    </xf>
    <xf numFmtId="0" fontId="65" fillId="38" borderId="1" xfId="372" applyFont="1" applyFill="1" applyBorder="1" applyAlignment="1">
      <alignment horizontal="left"/>
    </xf>
    <xf numFmtId="2" fontId="65" fillId="38" borderId="1" xfId="372" applyNumberFormat="1" applyFont="1" applyFill="1" applyBorder="1" applyAlignment="1">
      <alignment horizontal="center"/>
    </xf>
    <xf numFmtId="2" fontId="65" fillId="38" borderId="4" xfId="372" applyNumberFormat="1" applyFont="1" applyFill="1" applyBorder="1" applyAlignment="1">
      <alignment horizontal="center"/>
    </xf>
    <xf numFmtId="2" fontId="65" fillId="38"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2" fontId="65" fillId="38" borderId="5" xfId="372" applyNumberFormat="1" applyFont="1" applyFill="1" applyBorder="1" applyAlignment="1">
      <alignment horizontal="center"/>
    </xf>
    <xf numFmtId="2" fontId="65" fillId="38" borderId="40" xfId="372" applyNumberFormat="1" applyFont="1" applyFill="1" applyBorder="1" applyAlignment="1">
      <alignment horizontal="center"/>
    </xf>
    <xf numFmtId="0" fontId="65" fillId="38" borderId="13" xfId="372" applyFont="1" applyFill="1" applyBorder="1" applyAlignment="1">
      <alignment horizontal="left"/>
    </xf>
    <xf numFmtId="0" fontId="65" fillId="38" borderId="5" xfId="372" applyFont="1" applyFill="1" applyBorder="1" applyAlignment="1">
      <alignment horizontal="left"/>
    </xf>
    <xf numFmtId="0" fontId="65" fillId="38"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22" fillId="40" borderId="13" xfId="0" applyFont="1" applyFill="1" applyBorder="1" applyAlignment="1">
      <alignment horizontal="left"/>
    </xf>
    <xf numFmtId="0" fontId="22" fillId="40" borderId="5" xfId="0" applyFont="1" applyFill="1" applyBorder="1" applyAlignment="1">
      <alignment horizontal="left"/>
    </xf>
    <xf numFmtId="0" fontId="22" fillId="40" borderId="6" xfId="0" applyFont="1" applyFill="1" applyBorder="1" applyAlignment="1">
      <alignment horizontal="left"/>
    </xf>
    <xf numFmtId="2" fontId="22" fillId="40" borderId="4" xfId="0" applyNumberFormat="1" applyFont="1" applyFill="1" applyBorder="1" applyAlignment="1">
      <alignment horizontal="center"/>
    </xf>
    <xf numFmtId="2" fontId="22" fillId="40" borderId="5" xfId="0" applyNumberFormat="1" applyFont="1" applyFill="1" applyBorder="1" applyAlignment="1">
      <alignment horizontal="center"/>
    </xf>
    <xf numFmtId="2" fontId="22" fillId="40" borderId="40" xfId="0" applyNumberFormat="1" applyFont="1" applyFill="1" applyBorder="1" applyAlignment="1">
      <alignment horizontal="center"/>
    </xf>
    <xf numFmtId="0" fontId="123" fillId="41" borderId="13" xfId="0" applyFont="1" applyFill="1" applyBorder="1" applyAlignment="1">
      <alignment horizontal="left"/>
    </xf>
    <xf numFmtId="0" fontId="123" fillId="41" borderId="5" xfId="0" applyFont="1" applyFill="1" applyBorder="1" applyAlignment="1">
      <alignment horizontal="left"/>
    </xf>
    <xf numFmtId="0" fontId="123" fillId="41" borderId="6" xfId="0" applyFont="1" applyFill="1" applyBorder="1" applyAlignment="1">
      <alignment horizontal="left"/>
    </xf>
    <xf numFmtId="2" fontId="123" fillId="41" borderId="4" xfId="0" applyNumberFormat="1" applyFont="1" applyFill="1" applyBorder="1" applyAlignment="1">
      <alignment horizontal="center"/>
    </xf>
    <xf numFmtId="2" fontId="123" fillId="41" borderId="5" xfId="0" applyNumberFormat="1" applyFont="1" applyFill="1" applyBorder="1" applyAlignment="1">
      <alignment horizontal="center"/>
    </xf>
    <xf numFmtId="2" fontId="123" fillId="41"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0" fontId="124" fillId="43" borderId="13" xfId="0" applyFont="1" applyFill="1" applyBorder="1" applyAlignment="1">
      <alignment horizontal="left"/>
    </xf>
    <xf numFmtId="0" fontId="124" fillId="43" borderId="5" xfId="0" applyFont="1" applyFill="1" applyBorder="1" applyAlignment="1">
      <alignment horizontal="left"/>
    </xf>
    <xf numFmtId="0" fontId="124" fillId="43" borderId="6" xfId="0" applyFont="1" applyFill="1" applyBorder="1" applyAlignment="1">
      <alignment horizontal="left"/>
    </xf>
    <xf numFmtId="2" fontId="124" fillId="43" borderId="4" xfId="0" applyNumberFormat="1" applyFont="1" applyFill="1" applyBorder="1" applyAlignment="1">
      <alignment horizontal="center"/>
    </xf>
    <xf numFmtId="2" fontId="124" fillId="43" borderId="5" xfId="0" applyNumberFormat="1" applyFont="1" applyFill="1" applyBorder="1" applyAlignment="1">
      <alignment horizontal="center"/>
    </xf>
    <xf numFmtId="2" fontId="124" fillId="43" borderId="40" xfId="0" applyNumberFormat="1" applyFont="1" applyFill="1" applyBorder="1" applyAlignment="1">
      <alignment horizontal="center"/>
    </xf>
    <xf numFmtId="0" fontId="124" fillId="45" borderId="29" xfId="0" applyFont="1" applyFill="1" applyBorder="1" applyAlignment="1">
      <alignment horizontal="left"/>
    </xf>
    <xf numFmtId="0" fontId="124" fillId="45" borderId="43" xfId="0" applyFont="1" applyFill="1" applyBorder="1" applyAlignment="1">
      <alignment horizontal="left"/>
    </xf>
    <xf numFmtId="0" fontId="124" fillId="45" borderId="91" xfId="0" applyFont="1" applyFill="1" applyBorder="1" applyAlignment="1">
      <alignment horizontal="left"/>
    </xf>
    <xf numFmtId="2" fontId="124" fillId="45" borderId="92" xfId="0" applyNumberFormat="1" applyFont="1" applyFill="1" applyBorder="1" applyAlignment="1">
      <alignment horizontal="center"/>
    </xf>
    <xf numFmtId="2" fontId="124" fillId="45" borderId="43" xfId="0" applyNumberFormat="1" applyFont="1" applyFill="1" applyBorder="1" applyAlignment="1">
      <alignment horizontal="center"/>
    </xf>
    <xf numFmtId="2" fontId="124" fillId="45" borderId="44" xfId="0" applyNumberFormat="1" applyFont="1" applyFill="1" applyBorder="1" applyAlignment="1">
      <alignment horizontal="center"/>
    </xf>
    <xf numFmtId="0" fontId="125" fillId="39" borderId="13" xfId="0" applyFont="1" applyFill="1" applyBorder="1" applyAlignment="1">
      <alignment horizontal="left"/>
    </xf>
    <xf numFmtId="0" fontId="125" fillId="39" borderId="5" xfId="0" applyFont="1" applyFill="1" applyBorder="1" applyAlignment="1">
      <alignment horizontal="left"/>
    </xf>
    <xf numFmtId="0" fontId="125" fillId="39" borderId="40" xfId="0" applyFont="1" applyFill="1" applyBorder="1" applyAlignment="1">
      <alignment horizontal="left"/>
    </xf>
    <xf numFmtId="0" fontId="123" fillId="39" borderId="13" xfId="0" applyFont="1" applyFill="1" applyBorder="1" applyAlignment="1">
      <alignment horizontal="left"/>
    </xf>
    <xf numFmtId="0" fontId="123" fillId="39" borderId="5" xfId="0" applyFont="1" applyFill="1" applyBorder="1" applyAlignment="1">
      <alignment horizontal="left"/>
    </xf>
    <xf numFmtId="0" fontId="123" fillId="39" borderId="6" xfId="0" applyFont="1" applyFill="1" applyBorder="1" applyAlignment="1">
      <alignment horizontal="left"/>
    </xf>
    <xf numFmtId="2" fontId="123" fillId="39" borderId="4" xfId="0" applyNumberFormat="1" applyFont="1" applyFill="1" applyBorder="1" applyAlignment="1">
      <alignment horizontal="center"/>
    </xf>
    <xf numFmtId="2" fontId="123" fillId="39" borderId="5" xfId="0" applyNumberFormat="1" applyFont="1" applyFill="1" applyBorder="1" applyAlignment="1">
      <alignment horizontal="center"/>
    </xf>
    <xf numFmtId="2" fontId="123" fillId="39" borderId="40" xfId="0" applyNumberFormat="1" applyFont="1" applyFill="1" applyBorder="1" applyAlignment="1">
      <alignment horizontal="center"/>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135" fillId="46" borderId="36" xfId="0" applyFont="1" applyFill="1" applyBorder="1" applyAlignment="1">
      <alignment horizontal="center"/>
    </xf>
    <xf numFmtId="0" fontId="135" fillId="46" borderId="60" xfId="0" applyFont="1" applyFill="1" applyBorder="1" applyAlignment="1">
      <alignment horizontal="center"/>
    </xf>
    <xf numFmtId="0" fontId="135" fillId="46" borderId="65" xfId="0" applyFont="1" applyFill="1" applyBorder="1" applyAlignment="1">
      <alignment horizontal="center"/>
    </xf>
    <xf numFmtId="0" fontId="135" fillId="0" borderId="36" xfId="0" applyFont="1" applyBorder="1" applyAlignment="1">
      <alignment horizontal="center"/>
    </xf>
    <xf numFmtId="0" fontId="135" fillId="0" borderId="60" xfId="0" applyFont="1" applyBorder="1" applyAlignment="1">
      <alignment horizontal="center"/>
    </xf>
    <xf numFmtId="0" fontId="135" fillId="0" borderId="65" xfId="0" applyFont="1" applyBorder="1" applyAlignment="1">
      <alignment horizontal="center"/>
    </xf>
    <xf numFmtId="0" fontId="135" fillId="46" borderId="36" xfId="0" applyFont="1" applyFill="1" applyBorder="1" applyAlignment="1">
      <alignment horizontal="center" wrapText="1"/>
    </xf>
    <xf numFmtId="0" fontId="135" fillId="46" borderId="60" xfId="0" applyFont="1" applyFill="1" applyBorder="1" applyAlignment="1">
      <alignment horizontal="center" wrapText="1"/>
    </xf>
    <xf numFmtId="0" fontId="135" fillId="46" borderId="65" xfId="0" applyFont="1" applyFill="1" applyBorder="1" applyAlignment="1">
      <alignment horizontal="center" wrapText="1"/>
    </xf>
    <xf numFmtId="0" fontId="135" fillId="46" borderId="58" xfId="0" applyFont="1" applyFill="1" applyBorder="1" applyAlignment="1">
      <alignment horizontal="center"/>
    </xf>
    <xf numFmtId="0" fontId="135" fillId="46" borderId="59" xfId="0" applyFont="1" applyFill="1" applyBorder="1" applyAlignment="1">
      <alignment horizontal="center"/>
    </xf>
    <xf numFmtId="0" fontId="135" fillId="46" borderId="52" xfId="0" applyFont="1" applyFill="1" applyBorder="1" applyAlignment="1">
      <alignment horizontal="center"/>
    </xf>
    <xf numFmtId="0" fontId="135" fillId="0" borderId="52" xfId="0" applyFont="1" applyBorder="1" applyAlignment="1">
      <alignment horizontal="center" wrapText="1"/>
    </xf>
    <xf numFmtId="0" fontId="17" fillId="22" borderId="4" xfId="0" applyFont="1" applyFill="1" applyBorder="1" applyAlignment="1">
      <alignment horizontal="center"/>
    </xf>
    <xf numFmtId="0" fontId="0" fillId="46" borderId="0" xfId="0" applyFill="1" applyAlignment="1">
      <alignment horizontal="center"/>
    </xf>
    <xf numFmtId="0" fontId="0" fillId="46" borderId="78" xfId="0" applyFill="1" applyBorder="1" applyAlignment="1">
      <alignment horizontal="center"/>
    </xf>
    <xf numFmtId="0" fontId="17" fillId="22" borderId="0" xfId="0" applyFont="1" applyFill="1" applyAlignment="1">
      <alignment horizontal="center"/>
    </xf>
    <xf numFmtId="0" fontId="17" fillId="22" borderId="78" xfId="0" applyFont="1" applyFill="1" applyBorder="1" applyAlignment="1">
      <alignment horizontal="center"/>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149" fillId="4" borderId="37" xfId="372" applyFont="1" applyFill="1" applyBorder="1" applyAlignment="1">
      <alignment horizontal="center" vertical="center"/>
    </xf>
    <xf numFmtId="0" fontId="149" fillId="4" borderId="38" xfId="372" applyFont="1" applyFill="1" applyBorder="1" applyAlignment="1">
      <alignment horizontal="center" vertical="center"/>
    </xf>
    <xf numFmtId="0" fontId="149"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88" xfId="372" applyFont="1" applyFill="1" applyBorder="1" applyAlignment="1">
      <alignment horizontal="left"/>
    </xf>
    <xf numFmtId="2" fontId="65" fillId="31" borderId="83"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0" fontId="91" fillId="3" borderId="3" xfId="372" applyFont="1" applyFill="1" applyBorder="1" applyAlignment="1">
      <alignment horizontal="center" vertical="center" wrapText="1"/>
    </xf>
    <xf numFmtId="0" fontId="91" fillId="3" borderId="0" xfId="372" applyFont="1" applyFill="1" applyAlignment="1">
      <alignment horizontal="center" vertical="center" wrapText="1"/>
    </xf>
    <xf numFmtId="0" fontId="91" fillId="3" borderId="78" xfId="372" applyFont="1" applyFill="1" applyBorder="1" applyAlignment="1">
      <alignment horizontal="center" vertical="center" wrapText="1"/>
    </xf>
    <xf numFmtId="2" fontId="22" fillId="27" borderId="1" xfId="372" applyNumberFormat="1" applyFill="1" applyBorder="1" applyAlignment="1">
      <alignment horizontal="center"/>
    </xf>
    <xf numFmtId="2" fontId="22" fillId="27" borderId="14" xfId="372" applyNumberFormat="1" applyFill="1" applyBorder="1" applyAlignment="1">
      <alignment horizontal="center"/>
    </xf>
    <xf numFmtId="2" fontId="61" fillId="32" borderId="1" xfId="372" applyNumberFormat="1" applyFont="1" applyFill="1" applyBorder="1" applyAlignment="1">
      <alignment horizontal="center"/>
    </xf>
    <xf numFmtId="2" fontId="61" fillId="32" borderId="14" xfId="372" applyNumberFormat="1" applyFont="1" applyFill="1" applyBorder="1" applyAlignment="1">
      <alignment horizontal="center"/>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0" fontId="115" fillId="0" borderId="0" xfId="372" applyFont="1" applyAlignment="1">
      <alignment horizontal="left"/>
    </xf>
    <xf numFmtId="0" fontId="65" fillId="0" borderId="0" xfId="372" applyFont="1" applyAlignment="1">
      <alignment horizontal="left"/>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0" fontId="149" fillId="4" borderId="59" xfId="372" applyFont="1" applyFill="1" applyBorder="1" applyAlignment="1">
      <alignment horizontal="center" vertical="center"/>
    </xf>
    <xf numFmtId="0" fontId="149" fillId="4" borderId="52" xfId="372" applyFont="1" applyFill="1" applyBorder="1" applyAlignment="1">
      <alignment horizontal="center" vertic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2" fontId="22" fillId="0" borderId="5" xfId="372" applyNumberFormat="1" applyBorder="1" applyAlignment="1">
      <alignment horizontal="center"/>
    </xf>
    <xf numFmtId="2" fontId="22" fillId="0" borderId="40" xfId="372" applyNumberFormat="1" applyBorder="1" applyAlignment="1">
      <alignment horizontal="center"/>
    </xf>
    <xf numFmtId="0" fontId="123" fillId="42" borderId="13" xfId="0" applyFont="1" applyFill="1" applyBorder="1" applyAlignment="1">
      <alignment horizontal="left"/>
    </xf>
    <xf numFmtId="0" fontId="123" fillId="42" borderId="5" xfId="0" applyFont="1" applyFill="1" applyBorder="1" applyAlignment="1">
      <alignment horizontal="left"/>
    </xf>
    <xf numFmtId="0" fontId="123" fillId="42" borderId="6" xfId="0" applyFont="1" applyFill="1" applyBorder="1" applyAlignment="1">
      <alignment horizontal="left"/>
    </xf>
    <xf numFmtId="0" fontId="125" fillId="39" borderId="90" xfId="0" applyFont="1" applyFill="1" applyBorder="1" applyAlignment="1">
      <alignment horizontal="left"/>
    </xf>
    <xf numFmtId="2" fontId="123" fillId="39" borderId="90" xfId="0" applyNumberFormat="1" applyFont="1" applyFill="1" applyBorder="1" applyAlignment="1">
      <alignment horizontal="center"/>
    </xf>
    <xf numFmtId="2" fontId="123" fillId="42" borderId="4" xfId="0" applyNumberFormat="1" applyFont="1" applyFill="1" applyBorder="1" applyAlignment="1">
      <alignment horizontal="center"/>
    </xf>
    <xf numFmtId="2" fontId="123" fillId="42" borderId="5" xfId="0" applyNumberFormat="1" applyFont="1" applyFill="1" applyBorder="1" applyAlignment="1">
      <alignment horizontal="center"/>
    </xf>
    <xf numFmtId="2" fontId="123" fillId="42" borderId="90" xfId="0" applyNumberFormat="1" applyFont="1" applyFill="1" applyBorder="1" applyAlignment="1">
      <alignment horizontal="center"/>
    </xf>
    <xf numFmtId="2" fontId="124" fillId="43" borderId="90" xfId="0" applyNumberFormat="1" applyFont="1" applyFill="1" applyBorder="1" applyAlignment="1">
      <alignment horizontal="center"/>
    </xf>
    <xf numFmtId="2" fontId="123" fillId="42"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0" fontId="92" fillId="31" borderId="61" xfId="0" applyFont="1" applyFill="1" applyBorder="1" applyAlignment="1">
      <alignment horizontal="center" vertical="center"/>
    </xf>
    <xf numFmtId="0" fontId="92" fillId="31" borderId="46" xfId="0" applyFont="1" applyFill="1" applyBorder="1" applyAlignment="1">
      <alignment horizontal="center" vertical="center"/>
    </xf>
    <xf numFmtId="0" fontId="92" fillId="31" borderId="0" xfId="0" applyFont="1" applyFill="1" applyAlignment="1">
      <alignment horizontal="center" vertical="center"/>
    </xf>
    <xf numFmtId="49" fontId="0" fillId="5" borderId="26" xfId="0" applyNumberFormat="1" applyFill="1" applyBorder="1" applyAlignment="1">
      <alignment horizontal="left" wrapText="1"/>
    </xf>
    <xf numFmtId="49" fontId="0" fillId="5" borderId="12" xfId="0" applyNumberFormat="1" applyFill="1" applyBorder="1" applyAlignment="1">
      <alignment horizontal="left" wrapText="1"/>
    </xf>
    <xf numFmtId="4" fontId="19" fillId="5" borderId="12" xfId="0" applyNumberFormat="1" applyFont="1" applyFill="1" applyBorder="1" applyAlignment="1">
      <alignment horizontal="center" wrapText="1"/>
    </xf>
    <xf numFmtId="4" fontId="19" fillId="5" borderId="18" xfId="0" applyNumberFormat="1" applyFont="1" applyFill="1" applyBorder="1" applyAlignment="1">
      <alignment horizontal="center" wrapText="1"/>
    </xf>
    <xf numFmtId="49" fontId="0" fillId="5" borderId="9" xfId="0" applyNumberFormat="1" applyFill="1" applyBorder="1" applyAlignment="1">
      <alignment horizontal="left" wrapText="1"/>
    </xf>
    <xf numFmtId="49" fontId="0" fillId="5" borderId="1" xfId="0" applyNumberFormat="1" applyFill="1" applyBorder="1" applyAlignment="1">
      <alignment horizontal="left" wrapText="1"/>
    </xf>
    <xf numFmtId="4" fontId="19" fillId="5" borderId="1" xfId="0" applyNumberFormat="1" applyFont="1" applyFill="1" applyBorder="1" applyAlignment="1">
      <alignment horizontal="center" wrapText="1"/>
    </xf>
    <xf numFmtId="4" fontId="19" fillId="5" borderId="14" xfId="0" applyNumberFormat="1" applyFont="1" applyFill="1" applyBorder="1" applyAlignment="1">
      <alignment horizontal="center" wrapText="1"/>
    </xf>
    <xf numFmtId="0" fontId="18" fillId="0" borderId="0" xfId="0" applyFont="1" applyAlignment="1">
      <alignment horizontal="center" wrapText="1"/>
    </xf>
    <xf numFmtId="0" fontId="0" fillId="7" borderId="4" xfId="0" applyFill="1" applyBorder="1" applyAlignment="1">
      <alignment horizontal="left" wrapText="1"/>
    </xf>
    <xf numFmtId="0" fontId="0" fillId="7" borderId="5" xfId="0" applyFill="1" applyBorder="1" applyAlignment="1">
      <alignment horizontal="left" wrapText="1"/>
    </xf>
    <xf numFmtId="2" fontId="17" fillId="31" borderId="13" xfId="0" applyNumberFormat="1" applyFont="1" applyFill="1" applyBorder="1" applyAlignment="1">
      <alignment horizontal="center"/>
    </xf>
    <xf numFmtId="2" fontId="17" fillId="31" borderId="40" xfId="0" applyNumberFormat="1" applyFont="1" applyFill="1" applyBorder="1" applyAlignment="1">
      <alignment horizontal="center"/>
    </xf>
    <xf numFmtId="0" fontId="9" fillId="4" borderId="23" xfId="0" applyFont="1" applyFill="1" applyBorder="1" applyAlignment="1">
      <alignment horizontal="center" wrapText="1"/>
    </xf>
    <xf numFmtId="0" fontId="9" fillId="4" borderId="24" xfId="0" applyFont="1" applyFill="1" applyBorder="1" applyAlignment="1">
      <alignment horizontal="center" wrapText="1"/>
    </xf>
    <xf numFmtId="0" fontId="9" fillId="4" borderId="25" xfId="0" applyFont="1" applyFill="1" applyBorder="1" applyAlignment="1">
      <alignment horizontal="center" wrapText="1"/>
    </xf>
    <xf numFmtId="49" fontId="0" fillId="4" borderId="9" xfId="0" applyNumberFormat="1" applyFill="1" applyBorder="1" applyAlignment="1">
      <alignment horizontal="left" wrapText="1"/>
    </xf>
    <xf numFmtId="49" fontId="0" fillId="4" borderId="1" xfId="0" applyNumberFormat="1" applyFill="1" applyBorder="1" applyAlignment="1">
      <alignment horizontal="left" wrapText="1"/>
    </xf>
    <xf numFmtId="4" fontId="19" fillId="4" borderId="1" xfId="0" applyNumberFormat="1" applyFont="1" applyFill="1" applyBorder="1" applyAlignment="1">
      <alignment horizontal="center" wrapText="1"/>
    </xf>
    <xf numFmtId="4" fontId="19" fillId="4" borderId="14" xfId="0" applyNumberFormat="1" applyFont="1" applyFill="1" applyBorder="1" applyAlignment="1">
      <alignment horizontal="center" wrapText="1"/>
    </xf>
    <xf numFmtId="2" fontId="0" fillId="4" borderId="1" xfId="0" applyNumberFormat="1" applyFill="1" applyBorder="1" applyAlignment="1">
      <alignment horizontal="center"/>
    </xf>
    <xf numFmtId="2" fontId="0" fillId="4" borderId="14" xfId="0" applyNumberFormat="1" applyFill="1" applyBorder="1" applyAlignment="1">
      <alignment horizontal="center"/>
    </xf>
    <xf numFmtId="49" fontId="0" fillId="4" borderId="15" xfId="0" applyNumberFormat="1" applyFill="1" applyBorder="1" applyAlignment="1">
      <alignment horizontal="left" wrapText="1"/>
    </xf>
    <xf numFmtId="49" fontId="0" fillId="4" borderId="16" xfId="0" applyNumberFormat="1" applyFill="1" applyBorder="1" applyAlignment="1">
      <alignment horizontal="left" wrapText="1"/>
    </xf>
    <xf numFmtId="1" fontId="0" fillId="4" borderId="16" xfId="0" applyNumberFormat="1" applyFill="1" applyBorder="1" applyAlignment="1">
      <alignment horizontal="center" wrapText="1"/>
    </xf>
    <xf numFmtId="1" fontId="0" fillId="4" borderId="17" xfId="0" applyNumberFormat="1" applyFill="1" applyBorder="1" applyAlignment="1">
      <alignment horizontal="center" wrapText="1"/>
    </xf>
    <xf numFmtId="49" fontId="0" fillId="5" borderId="4" xfId="0" applyNumberFormat="1" applyFill="1" applyBorder="1" applyAlignment="1">
      <alignment horizontal="left" wrapText="1"/>
    </xf>
    <xf numFmtId="49" fontId="0" fillId="5"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0" fontId="92" fillId="31" borderId="36" xfId="0" applyFont="1" applyFill="1" applyBorder="1" applyAlignment="1">
      <alignment horizontal="center" vertical="center"/>
    </xf>
    <xf numFmtId="0" fontId="92" fillId="31" borderId="33" xfId="0" applyFont="1" applyFill="1" applyBorder="1" applyAlignment="1">
      <alignment horizontal="center" vertical="center"/>
    </xf>
    <xf numFmtId="0" fontId="9" fillId="4" borderId="36" xfId="0" applyFont="1" applyFill="1" applyBorder="1" applyAlignment="1">
      <alignment horizontal="center" wrapText="1"/>
    </xf>
    <xf numFmtId="0" fontId="9" fillId="4" borderId="60" xfId="0" applyFont="1" applyFill="1" applyBorder="1" applyAlignment="1">
      <alignment horizontal="center" wrapText="1"/>
    </xf>
    <xf numFmtId="0" fontId="9" fillId="4" borderId="65" xfId="0"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88" xfId="0" applyFill="1" applyBorder="1" applyAlignment="1">
      <alignment horizontal="left"/>
    </xf>
    <xf numFmtId="0" fontId="0" fillId="4" borderId="11" xfId="0" applyFill="1" applyBorder="1" applyAlignment="1">
      <alignment horizontal="left"/>
    </xf>
    <xf numFmtId="0" fontId="0" fillId="4" borderId="38" xfId="0" applyFill="1" applyBorder="1" applyAlignment="1">
      <alignment horizontal="left"/>
    </xf>
    <xf numFmtId="0" fontId="0" fillId="4" borderId="31" xfId="0" applyFill="1" applyBorder="1" applyAlignment="1">
      <alignment horizontal="left"/>
    </xf>
    <xf numFmtId="0" fontId="152" fillId="0" borderId="0" xfId="0" applyFont="1" applyAlignment="1">
      <alignment horizontal="center" wrapText="1"/>
    </xf>
    <xf numFmtId="1" fontId="152" fillId="4" borderId="13" xfId="0" applyNumberFormat="1" applyFont="1" applyFill="1" applyBorder="1" applyAlignment="1">
      <alignment horizontal="center" wrapText="1"/>
    </xf>
    <xf numFmtId="1" fontId="152" fillId="4" borderId="40" xfId="0" applyNumberFormat="1" applyFont="1" applyFill="1" applyBorder="1" applyAlignment="1">
      <alignment horizontal="center" wrapText="1"/>
    </xf>
    <xf numFmtId="49" fontId="152" fillId="4" borderId="4" xfId="0" applyNumberFormat="1" applyFont="1" applyFill="1" applyBorder="1" applyAlignment="1">
      <alignment horizontal="left" wrapText="1"/>
    </xf>
    <xf numFmtId="49" fontId="152" fillId="4" borderId="5" xfId="0" applyNumberFormat="1" applyFont="1" applyFill="1" applyBorder="1" applyAlignment="1">
      <alignment horizontal="left" wrapText="1"/>
    </xf>
    <xf numFmtId="2" fontId="152" fillId="7" borderId="13" xfId="0" applyNumberFormat="1" applyFont="1" applyFill="1" applyBorder="1" applyAlignment="1">
      <alignment horizontal="center"/>
    </xf>
    <xf numFmtId="2" fontId="152" fillId="7" borderId="40" xfId="0" applyNumberFormat="1" applyFon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0" fontId="0" fillId="2" borderId="11" xfId="0" applyFill="1" applyBorder="1" applyAlignment="1">
      <alignment horizontal="center"/>
    </xf>
    <xf numFmtId="0" fontId="0" fillId="2" borderId="39" xfId="0" applyFill="1" applyBorder="1" applyAlignment="1">
      <alignment horizontal="center"/>
    </xf>
    <xf numFmtId="2" fontId="152" fillId="7" borderId="29" xfId="0" applyNumberFormat="1" applyFont="1" applyFill="1" applyBorder="1" applyAlignment="1">
      <alignment horizontal="center"/>
    </xf>
    <xf numFmtId="2" fontId="152" fillId="7" borderId="44" xfId="0" applyNumberFormat="1" applyFont="1" applyFill="1" applyBorder="1" applyAlignment="1">
      <alignment horizontal="center"/>
    </xf>
    <xf numFmtId="2" fontId="152" fillId="4" borderId="13" xfId="0" applyNumberFormat="1" applyFont="1" applyFill="1" applyBorder="1" applyAlignment="1">
      <alignment horizontal="center" wrapText="1"/>
    </xf>
    <xf numFmtId="2" fontId="152" fillId="4" borderId="40" xfId="0" applyNumberFormat="1" applyFont="1" applyFill="1" applyBorder="1" applyAlignment="1">
      <alignment horizontal="center" wrapText="1"/>
    </xf>
    <xf numFmtId="49" fontId="152" fillId="7" borderId="4" xfId="0" applyNumberFormat="1" applyFont="1" applyFill="1" applyBorder="1" applyAlignment="1">
      <alignment horizontal="left" wrapText="1"/>
    </xf>
    <xf numFmtId="49" fontId="152" fillId="7" borderId="5" xfId="0" applyNumberFormat="1" applyFont="1" applyFill="1" applyBorder="1" applyAlignment="1">
      <alignment horizontal="left" wrapText="1"/>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2" fontId="95" fillId="2" borderId="0" xfId="0" applyNumberFormat="1" applyFont="1" applyFill="1" applyAlignment="1">
      <alignment horizontal="left" wrapText="1"/>
    </xf>
    <xf numFmtId="49" fontId="0" fillId="2" borderId="1" xfId="0" applyNumberFormat="1" applyFill="1" applyBorder="1" applyAlignment="1">
      <alignment horizontal="center"/>
    </xf>
    <xf numFmtId="1" fontId="0" fillId="5" borderId="1" xfId="0" applyNumberFormat="1" applyFill="1" applyBorder="1" applyAlignment="1">
      <alignment horizontal="right"/>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93" fillId="2" borderId="0" xfId="0" applyNumberFormat="1" applyFont="1" applyFill="1" applyAlignment="1">
      <alignment horizontal="left" wrapText="1"/>
    </xf>
    <xf numFmtId="2" fontId="96" fillId="2" borderId="45" xfId="0" applyNumberFormat="1" applyFont="1" applyFill="1" applyBorder="1" applyAlignment="1">
      <alignment horizontal="left" wrapText="1"/>
    </xf>
    <xf numFmtId="0" fontId="108" fillId="2" borderId="45" xfId="0" applyFont="1" applyFill="1" applyBorder="1" applyAlignment="1">
      <alignment horizontal="center" vertical="center"/>
    </xf>
    <xf numFmtId="0" fontId="0" fillId="5" borderId="1" xfId="0"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0" fillId="0" borderId="60" xfId="0" applyBorder="1" applyAlignment="1">
      <alignment horizontal="center"/>
    </xf>
    <xf numFmtId="0" fontId="0" fillId="5" borderId="4"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154" fillId="4" borderId="36" xfId="0" applyFont="1" applyFill="1" applyBorder="1" applyAlignment="1">
      <alignment horizontal="center" wrapText="1"/>
    </xf>
    <xf numFmtId="0" fontId="154" fillId="4" borderId="60" xfId="0" applyFont="1" applyFill="1" applyBorder="1" applyAlignment="1">
      <alignment horizontal="center" wrapText="1"/>
    </xf>
    <xf numFmtId="0" fontId="154"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3"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49" fontId="0" fillId="5" borderId="6" xfId="0" applyNumberFormat="1" applyFill="1" applyBorder="1" applyAlignment="1">
      <alignment horizontal="left"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153" fillId="31" borderId="36" xfId="0" applyFont="1" applyFill="1" applyBorder="1" applyAlignment="1">
      <alignment horizontal="center" vertical="center"/>
    </xf>
    <xf numFmtId="0" fontId="153" fillId="31" borderId="33" xfId="0" applyFont="1" applyFill="1" applyBorder="1" applyAlignment="1">
      <alignment horizontal="center" vertical="center"/>
    </xf>
    <xf numFmtId="4" fontId="156" fillId="2" borderId="11" xfId="0" applyNumberFormat="1" applyFont="1" applyFill="1" applyBorder="1" applyAlignment="1">
      <alignment horizontal="center" wrapText="1"/>
    </xf>
    <xf numFmtId="4" fontId="156" fillId="2" borderId="39" xfId="0" applyNumberFormat="1" applyFont="1" applyFill="1" applyBorder="1" applyAlignment="1">
      <alignment horizontal="center" wrapText="1"/>
    </xf>
    <xf numFmtId="2" fontId="152" fillId="5" borderId="13" xfId="0" applyNumberFormat="1" applyFont="1" applyFill="1" applyBorder="1" applyAlignment="1">
      <alignment horizontal="center"/>
    </xf>
    <xf numFmtId="2" fontId="152" fillId="5" borderId="40" xfId="0" applyNumberFormat="1" applyFont="1" applyFill="1" applyBorder="1" applyAlignment="1">
      <alignment horizontal="center"/>
    </xf>
    <xf numFmtId="0" fontId="155" fillId="4" borderId="33" xfId="0" applyFont="1" applyFill="1" applyBorder="1" applyAlignment="1">
      <alignment horizontal="center" wrapText="1"/>
    </xf>
    <xf numFmtId="0" fontId="155" fillId="4" borderId="0" xfId="0" applyFont="1" applyFill="1" applyAlignment="1">
      <alignment horizontal="center" wrapText="1"/>
    </xf>
    <xf numFmtId="0" fontId="155" fillId="4" borderId="78" xfId="0" applyFont="1" applyFill="1" applyBorder="1" applyAlignment="1">
      <alignment horizontal="center" wrapText="1"/>
    </xf>
    <xf numFmtId="0" fontId="152" fillId="5" borderId="13" xfId="0" applyFont="1" applyFill="1" applyBorder="1" applyAlignment="1">
      <alignment horizontal="left"/>
    </xf>
    <xf numFmtId="0" fontId="152" fillId="5" borderId="5" xfId="0" applyFont="1" applyFill="1" applyBorder="1" applyAlignment="1">
      <alignment horizontal="left"/>
    </xf>
    <xf numFmtId="0" fontId="152" fillId="5" borderId="6" xfId="0" applyFont="1" applyFill="1" applyBorder="1" applyAlignment="1">
      <alignment horizontal="left"/>
    </xf>
    <xf numFmtId="49" fontId="152" fillId="5" borderId="13" xfId="0" applyNumberFormat="1" applyFont="1" applyFill="1" applyBorder="1" applyAlignment="1">
      <alignment horizontal="left"/>
    </xf>
    <xf numFmtId="49" fontId="152" fillId="5" borderId="5" xfId="0" applyNumberFormat="1" applyFont="1" applyFill="1" applyBorder="1" applyAlignment="1">
      <alignment horizontal="left"/>
    </xf>
    <xf numFmtId="49" fontId="152" fillId="5" borderId="6" xfId="0" applyNumberFormat="1" applyFont="1" applyFill="1" applyBorder="1" applyAlignment="1">
      <alignment horizontal="left"/>
    </xf>
    <xf numFmtId="0" fontId="133" fillId="4" borderId="34" xfId="0" applyFont="1" applyFill="1" applyBorder="1" applyAlignment="1">
      <alignment horizontal="center" vertical="center" wrapText="1"/>
    </xf>
    <xf numFmtId="0" fontId="133" fillId="4" borderId="27" xfId="0" applyFont="1" applyFill="1" applyBorder="1" applyAlignment="1">
      <alignment horizontal="center" vertical="center" wrapText="1"/>
    </xf>
    <xf numFmtId="0" fontId="133" fillId="4" borderId="75" xfId="0" applyFont="1" applyFill="1" applyBorder="1" applyAlignment="1">
      <alignment horizontal="center" vertical="center" wrapText="1"/>
    </xf>
    <xf numFmtId="0" fontId="95" fillId="0" borderId="60" xfId="0" applyFont="1" applyBorder="1" applyAlignment="1">
      <alignment horizontal="left" wrapText="1"/>
    </xf>
    <xf numFmtId="49" fontId="152" fillId="4" borderId="29" xfId="0" applyNumberFormat="1" applyFont="1" applyFill="1" applyBorder="1" applyAlignment="1">
      <alignment horizontal="left" vertical="center" wrapText="1"/>
    </xf>
    <xf numFmtId="49" fontId="152" fillId="4" borderId="43" xfId="0" applyNumberFormat="1" applyFont="1" applyFill="1" applyBorder="1" applyAlignment="1">
      <alignment horizontal="left" vertical="center" wrapText="1"/>
    </xf>
    <xf numFmtId="49" fontId="152" fillId="4" borderId="32" xfId="0" applyNumberFormat="1" applyFont="1" applyFill="1" applyBorder="1" applyAlignment="1">
      <alignment horizontal="left" vertical="center" wrapText="1"/>
    </xf>
    <xf numFmtId="49" fontId="152" fillId="5" borderId="4" xfId="0" applyNumberFormat="1" applyFont="1" applyFill="1" applyBorder="1" applyAlignment="1">
      <alignment horizontal="left" wrapText="1"/>
    </xf>
    <xf numFmtId="49" fontId="152" fillId="5" borderId="5" xfId="0" applyNumberFormat="1" applyFont="1" applyFill="1" applyBorder="1" applyAlignment="1">
      <alignment horizontal="left" wrapText="1"/>
    </xf>
    <xf numFmtId="49" fontId="155" fillId="4" borderId="3" xfId="0" applyNumberFormat="1" applyFont="1" applyFill="1" applyBorder="1" applyAlignment="1">
      <alignment horizontal="center" wrapText="1"/>
    </xf>
    <xf numFmtId="49" fontId="155" fillId="4" borderId="0" xfId="0" applyNumberFormat="1" applyFont="1" applyFill="1" applyAlignment="1">
      <alignment horizontal="center" wrapText="1"/>
    </xf>
    <xf numFmtId="49" fontId="155" fillId="4" borderId="78" xfId="0" applyNumberFormat="1" applyFont="1" applyFill="1" applyBorder="1" applyAlignment="1">
      <alignment horizontal="center" wrapText="1"/>
    </xf>
    <xf numFmtId="49" fontId="154" fillId="4" borderId="81" xfId="0" applyNumberFormat="1" applyFont="1" applyFill="1" applyBorder="1" applyAlignment="1">
      <alignment horizontal="center" wrapText="1"/>
    </xf>
    <xf numFmtId="49" fontId="154" fillId="4" borderId="60" xfId="0" applyNumberFormat="1" applyFont="1" applyFill="1" applyBorder="1" applyAlignment="1">
      <alignment horizontal="center" wrapText="1"/>
    </xf>
    <xf numFmtId="49" fontId="154" fillId="4" borderId="65" xfId="0" applyNumberFormat="1" applyFont="1" applyFill="1" applyBorder="1" applyAlignment="1">
      <alignment horizontal="center" wrapText="1"/>
    </xf>
    <xf numFmtId="49" fontId="152" fillId="2" borderId="4" xfId="0" applyNumberFormat="1" applyFont="1" applyFill="1" applyBorder="1" applyAlignment="1">
      <alignment horizontal="left" wrapText="1"/>
    </xf>
    <xf numFmtId="49" fontId="152" fillId="2" borderId="5" xfId="0" applyNumberFormat="1" applyFont="1" applyFill="1" applyBorder="1" applyAlignment="1">
      <alignment horizontal="left" wrapText="1"/>
    </xf>
    <xf numFmtId="49" fontId="152" fillId="4" borderId="11" xfId="0" applyNumberFormat="1" applyFont="1" applyFill="1" applyBorder="1" applyAlignment="1">
      <alignment horizontal="left"/>
    </xf>
    <xf numFmtId="49" fontId="152" fillId="4" borderId="38" xfId="0" applyNumberFormat="1" applyFont="1" applyFill="1" applyBorder="1" applyAlignment="1">
      <alignment horizontal="left"/>
    </xf>
    <xf numFmtId="49" fontId="152" fillId="4" borderId="31" xfId="0" applyNumberFormat="1" applyFont="1" applyFill="1" applyBorder="1" applyAlignment="1">
      <alignment horizontal="left"/>
    </xf>
    <xf numFmtId="0" fontId="152" fillId="5" borderId="41" xfId="0" applyFont="1" applyFill="1" applyBorder="1" applyAlignment="1">
      <alignment horizontal="left"/>
    </xf>
    <xf numFmtId="0" fontId="152" fillId="5" borderId="45" xfId="0" applyFont="1" applyFill="1" applyBorder="1" applyAlignment="1">
      <alignment horizontal="left"/>
    </xf>
    <xf numFmtId="0" fontId="152" fillId="5" borderId="88" xfId="0" applyFont="1" applyFill="1" applyBorder="1" applyAlignment="1">
      <alignment horizontal="left"/>
    </xf>
    <xf numFmtId="0" fontId="9" fillId="4" borderId="81" xfId="0" applyFont="1" applyFill="1" applyBorder="1" applyAlignment="1">
      <alignment horizontal="center" wrapText="1"/>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0" fontId="92" fillId="31" borderId="60" xfId="0" applyFont="1" applyFill="1" applyBorder="1" applyAlignment="1">
      <alignment horizontal="center" vertical="center"/>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49" fontId="17" fillId="31" borderId="4" xfId="0" applyNumberFormat="1" applyFont="1" applyFill="1" applyBorder="1" applyAlignment="1">
      <alignment horizontal="left" wrapText="1"/>
    </xf>
    <xf numFmtId="49" fontId="17" fillId="31" borderId="5" xfId="0" applyNumberFormat="1" applyFont="1" applyFill="1" applyBorder="1" applyAlignment="1">
      <alignment horizontal="left"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6" xfId="0" applyFont="1" applyFill="1" applyBorder="1" applyAlignment="1">
      <alignment horizontal="center" wrapText="1"/>
    </xf>
    <xf numFmtId="0" fontId="109" fillId="31" borderId="60" xfId="0" applyFont="1" applyFill="1" applyBorder="1" applyAlignment="1">
      <alignment horizontal="center" wrapText="1"/>
    </xf>
    <xf numFmtId="0" fontId="109" fillId="31" borderId="65" xfId="0" applyFont="1" applyFill="1" applyBorder="1" applyAlignment="1">
      <alignment horizontal="center" wrapText="1"/>
    </xf>
    <xf numFmtId="0" fontId="88" fillId="31" borderId="41" xfId="0" applyFont="1" applyFill="1" applyBorder="1" applyAlignment="1">
      <alignment horizontal="left" wrapText="1"/>
    </xf>
    <xf numFmtId="0" fontId="88" fillId="31" borderId="45" xfId="0" applyFont="1" applyFill="1" applyBorder="1" applyAlignment="1">
      <alignment horizontal="left" wrapText="1"/>
    </xf>
    <xf numFmtId="0" fontId="88" fillId="31" borderId="76" xfId="0" applyFont="1" applyFill="1" applyBorder="1" applyAlignment="1">
      <alignment horizontal="left" wrapText="1"/>
    </xf>
    <xf numFmtId="0" fontId="0" fillId="2" borderId="38" xfId="0" applyFill="1" applyBorder="1" applyAlignment="1" applyProtection="1">
      <alignment horizontal="left" vertical="center"/>
      <protection locked="0"/>
    </xf>
    <xf numFmtId="0" fontId="0" fillId="2" borderId="31" xfId="0" applyFill="1" applyBorder="1" applyAlignment="1" applyProtection="1">
      <alignment horizontal="left" vertical="center"/>
      <protection locked="0"/>
    </xf>
    <xf numFmtId="4" fontId="109" fillId="31" borderId="85" xfId="0" applyNumberFormat="1" applyFont="1" applyFill="1" applyBorder="1" applyAlignment="1">
      <alignment horizontal="center" vertical="center" wrapText="1"/>
    </xf>
    <xf numFmtId="4" fontId="109" fillId="31" borderId="89" xfId="0" applyNumberFormat="1" applyFont="1" applyFill="1" applyBorder="1" applyAlignment="1">
      <alignment horizontal="center" vertical="center" wrapText="1"/>
    </xf>
    <xf numFmtId="0" fontId="17" fillId="31" borderId="84" xfId="0" applyFont="1" applyFill="1" applyBorder="1" applyAlignment="1">
      <alignment horizontal="center" vertical="center" wrapText="1"/>
    </xf>
    <xf numFmtId="0" fontId="17" fillId="31" borderId="85" xfId="0" applyFont="1" applyFill="1" applyBorder="1" applyAlignment="1">
      <alignment horizontal="center" vertical="center" wrapText="1"/>
    </xf>
    <xf numFmtId="0" fontId="17" fillId="31" borderId="89"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78" fillId="5" borderId="6" xfId="0" applyFont="1" applyFill="1" applyBorder="1" applyAlignment="1">
      <alignment horizontal="left" vertical="center"/>
    </xf>
    <xf numFmtId="0" fontId="78" fillId="5" borderId="4"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88" fillId="36" borderId="23" xfId="0" applyFont="1" applyFill="1" applyBorder="1" applyAlignment="1">
      <alignment horizontal="left" vertical="center"/>
    </xf>
    <xf numFmtId="0" fontId="88" fillId="36"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85" fillId="31" borderId="84" xfId="0" applyFont="1" applyFill="1" applyBorder="1" applyAlignment="1">
      <alignment horizontal="center" wrapText="1"/>
    </xf>
    <xf numFmtId="0" fontId="85" fillId="31" borderId="85" xfId="0" applyFont="1" applyFill="1" applyBorder="1" applyAlignment="1">
      <alignment horizontal="center" wrapText="1"/>
    </xf>
    <xf numFmtId="0" fontId="86" fillId="36" borderId="23" xfId="0" applyFont="1" applyFill="1" applyBorder="1" applyAlignment="1">
      <alignment horizontal="left" vertical="center"/>
    </xf>
    <xf numFmtId="0" fontId="86" fillId="36" borderId="24" xfId="0" applyFont="1" applyFill="1" applyBorder="1" applyAlignment="1">
      <alignment horizontal="left" vertical="center"/>
    </xf>
    <xf numFmtId="0" fontId="86" fillId="36" borderId="28" xfId="0" applyFont="1" applyFill="1" applyBorder="1" applyAlignment="1">
      <alignment horizontal="left" vertical="center"/>
    </xf>
    <xf numFmtId="0" fontId="84" fillId="36" borderId="23" xfId="0" applyFont="1" applyFill="1" applyBorder="1" applyAlignment="1">
      <alignment horizontal="left" vertical="center"/>
    </xf>
    <xf numFmtId="0" fontId="84" fillId="36" borderId="24" xfId="0" applyFont="1" applyFill="1" applyBorder="1" applyAlignment="1">
      <alignment horizontal="left" vertical="center"/>
    </xf>
    <xf numFmtId="0" fontId="84" fillId="36" borderId="28" xfId="0" applyFont="1" applyFill="1" applyBorder="1" applyAlignment="1">
      <alignment horizontal="left" vertical="center"/>
    </xf>
    <xf numFmtId="0" fontId="92" fillId="31" borderId="84" xfId="0" applyFont="1" applyFill="1" applyBorder="1" applyAlignment="1">
      <alignment horizontal="center" vertical="center" textRotation="90" wrapText="1"/>
    </xf>
    <xf numFmtId="0" fontId="92" fillId="31" borderId="85" xfId="0" applyFont="1" applyFill="1" applyBorder="1" applyAlignment="1">
      <alignment horizontal="center" vertical="center" textRotation="90" wrapText="1"/>
    </xf>
    <xf numFmtId="0" fontId="92" fillId="31" borderId="89" xfId="0" applyFont="1" applyFill="1" applyBorder="1" applyAlignment="1">
      <alignment horizontal="center" vertical="center" textRotation="90" wrapText="1"/>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92" fillId="31" borderId="84" xfId="0" applyFont="1" applyFill="1" applyBorder="1" applyAlignment="1">
      <alignment horizontal="center" vertical="center" textRotation="90"/>
    </xf>
    <xf numFmtId="0" fontId="92" fillId="31" borderId="85" xfId="0" applyFont="1" applyFill="1" applyBorder="1" applyAlignment="1">
      <alignment horizontal="center" vertical="center" textRotation="90"/>
    </xf>
    <xf numFmtId="0" fontId="92" fillId="31" borderId="89" xfId="0" applyFont="1" applyFill="1" applyBorder="1" applyAlignment="1">
      <alignment horizontal="center" vertical="center" textRotation="90"/>
    </xf>
    <xf numFmtId="0" fontId="0" fillId="0" borderId="1" xfId="0" applyBorder="1" applyAlignment="1">
      <alignment horizontal="left"/>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0" fontId="0" fillId="0" borderId="16" xfId="0" applyBorder="1" applyAlignment="1">
      <alignment horizontal="left"/>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81" xfId="0" applyFont="1" applyFill="1" applyBorder="1" applyAlignment="1">
      <alignment horizontal="center"/>
    </xf>
    <xf numFmtId="0" fontId="105" fillId="31" borderId="60" xfId="0" applyFont="1" applyFill="1" applyBorder="1" applyAlignment="1">
      <alignment horizontal="center"/>
    </xf>
    <xf numFmtId="0" fontId="105" fillId="31" borderId="37"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0" fontId="105" fillId="31" borderId="0" xfId="0" applyFont="1" applyFill="1" applyAlignment="1">
      <alignment horizontal="left"/>
    </xf>
    <xf numFmtId="0" fontId="105" fillId="31" borderId="27" xfId="0" applyFont="1" applyFill="1" applyBorder="1" applyAlignment="1">
      <alignment horizontal="left"/>
    </xf>
    <xf numFmtId="0" fontId="105" fillId="31" borderId="11" xfId="0" applyFont="1" applyFill="1"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2" fontId="17" fillId="36" borderId="13" xfId="0" applyNumberFormat="1" applyFont="1" applyFill="1" applyBorder="1" applyAlignment="1">
      <alignment horizontal="center"/>
    </xf>
    <xf numFmtId="2" fontId="17" fillId="36" borderId="5" xfId="0" applyNumberFormat="1" applyFont="1" applyFill="1" applyBorder="1" applyAlignment="1">
      <alignment horizontal="center"/>
    </xf>
    <xf numFmtId="2" fontId="17" fillId="36"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2" fontId="17" fillId="36" borderId="29" xfId="0" applyNumberFormat="1" applyFont="1" applyFill="1" applyBorder="1" applyAlignment="1">
      <alignment horizontal="center"/>
    </xf>
    <xf numFmtId="2" fontId="17" fillId="36" borderId="43" xfId="0" applyNumberFormat="1" applyFont="1" applyFill="1" applyBorder="1" applyAlignment="1">
      <alignment horizontal="center"/>
    </xf>
    <xf numFmtId="2" fontId="17" fillId="36" borderId="44" xfId="0" applyNumberFormat="1" applyFont="1" applyFill="1" applyBorder="1" applyAlignment="1">
      <alignment horizontal="center"/>
    </xf>
    <xf numFmtId="0" fontId="0" fillId="0" borderId="9"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0" fillId="4" borderId="9" xfId="0" applyFill="1" applyBorder="1" applyAlignment="1">
      <alignment horizontal="left"/>
    </xf>
    <xf numFmtId="0" fontId="0" fillId="4" borderId="1"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7" fillId="31" borderId="13" xfId="0" applyFont="1" applyFill="1" applyBorder="1" applyAlignment="1">
      <alignment horizontal="center"/>
    </xf>
    <xf numFmtId="0" fontId="97" fillId="31" borderId="5" xfId="0" applyFont="1" applyFill="1" applyBorder="1" applyAlignment="1">
      <alignment horizontal="center"/>
    </xf>
    <xf numFmtId="0" fontId="97" fillId="31" borderId="40" xfId="0" applyFont="1" applyFill="1" applyBorder="1" applyAlignment="1">
      <alignment horizontal="center"/>
    </xf>
    <xf numFmtId="0" fontId="85" fillId="48" borderId="23" xfId="0" applyFont="1" applyFill="1" applyBorder="1" applyAlignment="1">
      <alignment horizontal="left"/>
    </xf>
    <xf numFmtId="0" fontId="85" fillId="48" borderId="24" xfId="0" applyFont="1" applyFill="1" applyBorder="1" applyAlignment="1">
      <alignment horizontal="left"/>
    </xf>
    <xf numFmtId="0" fontId="85" fillId="48" borderId="28" xfId="0" applyFont="1" applyFill="1" applyBorder="1" applyAlignment="1">
      <alignment horizontal="left"/>
    </xf>
    <xf numFmtId="0" fontId="85" fillId="48" borderId="23" xfId="0" applyFont="1" applyFill="1" applyBorder="1" applyAlignment="1">
      <alignment horizontal="left" wrapText="1"/>
    </xf>
    <xf numFmtId="0" fontId="85" fillId="48" borderId="24" xfId="0" applyFont="1" applyFill="1" applyBorder="1" applyAlignment="1">
      <alignment horizontal="left" wrapText="1"/>
    </xf>
    <xf numFmtId="0" fontId="85" fillId="48" borderId="28" xfId="0" applyFont="1" applyFill="1" applyBorder="1" applyAlignment="1">
      <alignment horizontal="left" wrapText="1"/>
    </xf>
    <xf numFmtId="0" fontId="92" fillId="31" borderId="78"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0" fillId="2" borderId="79" xfId="0" applyFill="1" applyBorder="1" applyAlignment="1" applyProtection="1">
      <alignment horizontal="left"/>
      <protection locked="0"/>
    </xf>
    <xf numFmtId="0" fontId="0" fillId="2" borderId="8" xfId="0" applyFill="1" applyBorder="1" applyAlignment="1" applyProtection="1">
      <alignment horizontal="left"/>
      <protection locked="0"/>
    </xf>
    <xf numFmtId="0" fontId="85" fillId="31" borderId="20" xfId="0" applyFont="1" applyFill="1" applyBorder="1" applyAlignment="1">
      <alignment horizontal="left"/>
    </xf>
    <xf numFmtId="0" fontId="85" fillId="31" borderId="21" xfId="0" applyFont="1" applyFill="1" applyBorder="1" applyAlignment="1">
      <alignment horizontal="left"/>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0" fillId="0" borderId="50" xfId="0" applyBorder="1" applyAlignment="1">
      <alignment horizontal="left"/>
    </xf>
    <xf numFmtId="0" fontId="0" fillId="0" borderId="51" xfId="0"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1" fontId="131"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5"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175" fontId="89" fillId="31" borderId="5" xfId="0" applyNumberFormat="1" applyFont="1" applyFill="1" applyBorder="1" applyAlignment="1">
      <alignment horizontal="center"/>
    </xf>
    <xf numFmtId="0" fontId="50" fillId="4" borderId="5" xfId="372" applyFont="1" applyFill="1" applyBorder="1" applyAlignment="1" applyProtection="1">
      <alignment horizontal="center"/>
      <protection locked="0"/>
    </xf>
    <xf numFmtId="0" fontId="50" fillId="4" borderId="6" xfId="372" applyFont="1" applyFill="1" applyBorder="1" applyAlignment="1" applyProtection="1">
      <alignment horizontal="center"/>
      <protection locked="0"/>
    </xf>
    <xf numFmtId="0" fontId="23" fillId="0" borderId="11" xfId="372" applyFont="1" applyBorder="1" applyAlignment="1">
      <alignment horizontal="center"/>
    </xf>
    <xf numFmtId="0" fontId="23" fillId="0" borderId="38" xfId="372" applyFont="1" applyBorder="1" applyAlignment="1">
      <alignment horizontal="center"/>
    </xf>
    <xf numFmtId="0" fontId="23" fillId="0" borderId="39" xfId="372" applyFont="1" applyBorder="1" applyAlignment="1">
      <alignment horizontal="center"/>
    </xf>
  </cellXfs>
  <cellStyles count="539">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994">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1"/>
      </font>
      <fill>
        <patternFill>
          <bgColor theme="4" tint="0.79998168889431442"/>
        </patternFill>
      </fill>
    </dxf>
    <dxf>
      <font>
        <color theme="0"/>
      </font>
      <fill>
        <patternFill>
          <bgColor theme="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patternType="solid">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bgColor rgb="FFFFFF00"/>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fgColor indexed="64"/>
          <bgColor theme="4" tint="0.79998168889431442"/>
        </patternFill>
      </fill>
    </dxf>
    <dxf>
      <font>
        <color theme="1"/>
      </font>
      <fill>
        <patternFill>
          <bgColor theme="5" tint="0.59996337778862885"/>
        </patternFill>
      </fill>
    </dxf>
    <dxf>
      <font>
        <color theme="0"/>
      </font>
      <fill>
        <patternFill patternType="solid">
          <fgColor indexed="64"/>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8" tint="0.59996337778862885"/>
        </patternFill>
      </fill>
    </dxf>
    <dxf>
      <font>
        <color theme="0"/>
      </font>
      <fill>
        <patternFill>
          <bgColor theme="1"/>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fgColor indexed="64"/>
          <bgColor theme="4" tint="0.79998168889431442"/>
        </patternFill>
      </fill>
    </dxf>
    <dxf>
      <font>
        <color theme="0"/>
      </font>
      <fill>
        <patternFill>
          <bgColor theme="1"/>
        </patternFill>
      </fill>
    </dxf>
    <dxf>
      <font>
        <color theme="0"/>
      </font>
      <fill>
        <patternFill patternType="solid">
          <fgColor auto="1"/>
          <bgColor theme="6"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fgColor auto="1"/>
          <bgColor theme="4" tint="0.59996337778862885"/>
        </patternFill>
      </fill>
    </dxf>
    <dxf>
      <font>
        <color theme="1"/>
      </font>
      <fill>
        <patternFill>
          <bgColor theme="0" tint="-0.14996795556505021"/>
        </patternFill>
      </fill>
    </dxf>
    <dxf>
      <font>
        <color theme="1"/>
      </font>
      <fill>
        <patternFill>
          <bgColor theme="7"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bgColor theme="4" tint="-0.24994659260841701"/>
        </patternFill>
      </fill>
    </dxf>
    <dxf>
      <font>
        <color theme="0"/>
      </font>
      <fill>
        <patternFill>
          <bgColor theme="6" tint="-0.24994659260841701"/>
        </patternFill>
      </fill>
    </dxf>
    <dxf>
      <font>
        <color theme="1"/>
      </font>
      <fill>
        <patternFill>
          <bgColor theme="6" tint="0.39994506668294322"/>
        </patternFill>
      </fill>
    </dxf>
    <dxf>
      <font>
        <color theme="1"/>
      </font>
      <fill>
        <patternFill>
          <bgColor theme="9" tint="0.79998168889431442"/>
        </patternFill>
      </fill>
    </dxf>
    <dxf>
      <font>
        <color theme="1"/>
      </font>
      <fill>
        <patternFill>
          <bgColor theme="5" tint="0.59996337778862885"/>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5" tint="0.59996337778862885"/>
        </patternFill>
      </fill>
    </dxf>
    <dxf>
      <font>
        <color theme="1"/>
      </font>
      <fill>
        <patternFill patternType="solid">
          <bgColor theme="4" tint="0.7999816888943144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0"/>
      </font>
      <fill>
        <patternFill>
          <bgColor theme="1"/>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5" tint="0.59996337778862885"/>
        </patternFill>
      </fill>
    </dxf>
    <dxf>
      <font>
        <color theme="0"/>
      </font>
      <fill>
        <patternFill>
          <bgColor theme="1"/>
        </patternFill>
      </fill>
    </dxf>
    <dxf>
      <font>
        <color theme="1"/>
      </font>
      <fill>
        <patternFill patternType="solid">
          <fgColor indexed="64"/>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bgColor theme="6" tint="0.39994506668294322"/>
        </patternFill>
      </fill>
    </dxf>
    <dxf>
      <font>
        <color theme="0"/>
      </font>
      <fill>
        <patternFill patternType="solid">
          <fgColor indexed="64"/>
          <bgColor theme="6"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rgb="FFFF2F82"/>
        </patternFill>
      </fill>
    </dxf>
    <dxf>
      <font>
        <color theme="1"/>
      </font>
      <fill>
        <patternFill>
          <bgColor theme="5" tint="0.59996337778862885"/>
        </patternFill>
      </fill>
    </dxf>
    <dxf>
      <font>
        <color theme="1"/>
      </font>
      <fill>
        <patternFill>
          <bgColor theme="5" tint="0.79998168889431442"/>
        </patternFill>
      </fill>
    </dxf>
    <dxf>
      <font>
        <color theme="1"/>
      </font>
      <fill>
        <patternFill>
          <bgColor theme="8" tint="0.59996337778862885"/>
        </patternFill>
      </fill>
    </dxf>
    <dxf>
      <font>
        <color theme="0"/>
      </font>
      <fill>
        <patternFill>
          <bgColor theme="1"/>
        </patternFill>
      </fill>
    </dxf>
    <dxf>
      <font>
        <color theme="1"/>
      </font>
      <fill>
        <patternFill>
          <bgColor theme="7" tint="0.39994506668294322"/>
        </patternFill>
      </fill>
    </dxf>
    <dxf>
      <font>
        <color theme="1"/>
      </font>
      <fill>
        <patternFill>
          <bgColor rgb="FFFFFF00"/>
        </patternFill>
      </fill>
    </dxf>
    <dxf>
      <font>
        <color theme="0"/>
      </font>
      <fill>
        <patternFill>
          <bgColor theme="1"/>
        </patternFill>
      </fill>
    </dxf>
    <dxf>
      <font>
        <color theme="1"/>
      </font>
      <fill>
        <patternFill>
          <bgColor theme="8" tint="0.59996337778862885"/>
        </patternFill>
      </fill>
    </dxf>
    <dxf>
      <font>
        <color theme="0"/>
      </font>
      <fill>
        <patternFill patternType="solid">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1"/>
      </font>
      <fill>
        <patternFill>
          <bgColor rgb="FFFF2F8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1"/>
        </patternFill>
      </fill>
    </dxf>
    <dxf>
      <font>
        <color theme="1"/>
      </font>
      <fill>
        <patternFill>
          <bgColor rgb="FFFFFF00"/>
        </patternFill>
      </fill>
    </dxf>
    <dxf>
      <font>
        <color theme="1"/>
      </font>
      <fill>
        <patternFill>
          <bgColor theme="5" tint="0.79998168889431442"/>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6" tint="-0.24994659260841701"/>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patternType="solid">
          <bgColor theme="4" tint="-0.2499465926084170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bgColor theme="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patternType="none">
          <bgColor auto="1"/>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3"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5" tint="0.79998168889431442"/>
        </patternFill>
      </fill>
    </dxf>
    <dxf>
      <font>
        <color theme="1"/>
      </font>
      <fill>
        <patternFill>
          <bgColor rgb="FFFF2F8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bgColor theme="6" tint="-0.24994659260841701"/>
        </patternFill>
      </fill>
    </dxf>
    <dxf>
      <font>
        <color theme="1"/>
      </font>
      <fill>
        <patternFill>
          <bgColor theme="0" tint="-0.14996795556505021"/>
        </patternFill>
      </fill>
    </dxf>
    <dxf>
      <font>
        <color theme="1"/>
      </font>
      <fill>
        <patternFill patternType="none">
          <bgColor auto="1"/>
        </patternFill>
      </fill>
    </dxf>
    <dxf>
      <font>
        <color theme="1"/>
      </font>
      <fill>
        <patternFill>
          <bgColor rgb="FFFF2F82"/>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bgColor theme="7" tint="0.3999450666829432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3"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5" tint="0.7999816888943144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1"/>
      </font>
      <fill>
        <patternFill>
          <bgColor theme="3" tint="0.59996337778862885"/>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rgb="FFFF2F82"/>
        </patternFill>
      </fill>
    </dxf>
    <dxf>
      <font>
        <color theme="1"/>
      </font>
      <fill>
        <patternFill>
          <bgColor rgb="FFFFFF00"/>
        </patternFill>
      </fill>
    </dxf>
    <dxf>
      <font>
        <color theme="1"/>
      </font>
      <fill>
        <patternFill>
          <bgColor theme="6" tint="0.39994506668294322"/>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0" tint="-0.14996795556505021"/>
        </patternFill>
      </fill>
    </dxf>
    <dxf>
      <font>
        <color theme="1"/>
      </font>
      <fill>
        <patternFill patternType="none">
          <bgColor auto="1"/>
        </patternFill>
      </fill>
    </dxf>
    <dxf>
      <font>
        <color theme="1"/>
      </font>
      <fill>
        <patternFill>
          <bgColor rgb="FFFF2F82"/>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rgb="FFFFFF00"/>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ill>
        <patternFill>
          <fgColor auto="1"/>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6FF78"/>
      <color rgb="FFFF2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15</xdr:row>
      <xdr:rowOff>67106</xdr:rowOff>
    </xdr:from>
    <xdr:to>
      <xdr:col>0</xdr:col>
      <xdr:colOff>694702</xdr:colOff>
      <xdr:row>16</xdr:row>
      <xdr:rowOff>8374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14</xdr:row>
      <xdr:rowOff>32563</xdr:rowOff>
    </xdr:from>
    <xdr:to>
      <xdr:col>0</xdr:col>
      <xdr:colOff>694702</xdr:colOff>
      <xdr:row>14</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29</xdr:row>
      <xdr:rowOff>54273</xdr:rowOff>
    </xdr:from>
    <xdr:to>
      <xdr:col>0</xdr:col>
      <xdr:colOff>769337</xdr:colOff>
      <xdr:row>31</xdr:row>
      <xdr:rowOff>206238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32</xdr:row>
      <xdr:rowOff>221486</xdr:rowOff>
    </xdr:from>
    <xdr:to>
      <xdr:col>0</xdr:col>
      <xdr:colOff>784455</xdr:colOff>
      <xdr:row>34</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35</xdr:row>
      <xdr:rowOff>130256</xdr:rowOff>
    </xdr:from>
    <xdr:to>
      <xdr:col>1</xdr:col>
      <xdr:colOff>19021</xdr:colOff>
      <xdr:row>36</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228601</xdr:colOff>
      <xdr:row>33</xdr:row>
      <xdr:rowOff>38100</xdr:rowOff>
    </xdr:from>
    <xdr:to>
      <xdr:col>1</xdr:col>
      <xdr:colOff>533401</xdr:colOff>
      <xdr:row>35</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91</xdr:row>
      <xdr:rowOff>177800</xdr:rowOff>
    </xdr:from>
    <xdr:to>
      <xdr:col>1</xdr:col>
      <xdr:colOff>584200</xdr:colOff>
      <xdr:row>95</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3</xdr:row>
      <xdr:rowOff>497566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109</xdr:row>
      <xdr:rowOff>334820</xdr:rowOff>
    </xdr:from>
    <xdr:to>
      <xdr:col>1</xdr:col>
      <xdr:colOff>633845</xdr:colOff>
      <xdr:row>110</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177800</xdr:colOff>
      <xdr:row>121</xdr:row>
      <xdr:rowOff>127000</xdr:rowOff>
    </xdr:from>
    <xdr:to>
      <xdr:col>1</xdr:col>
      <xdr:colOff>482600</xdr:colOff>
      <xdr:row>124</xdr:row>
      <xdr:rowOff>106174</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1</xdr:row>
      <xdr:rowOff>228600</xdr:rowOff>
    </xdr:from>
    <xdr:to>
      <xdr:col>1</xdr:col>
      <xdr:colOff>533400</xdr:colOff>
      <xdr:row>2</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friskoler.dk/Users/tove/Library/Application%20Support/Microsoft/Office/Office%202011%20AutoRecovery/KAL1516%20(version%201).xlsb"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tove/Downloads/Kopi_af_P&#198;D.TAP_TOMT_ARK.4.2.xlsx" TargetMode="External"/><Relationship Id="rId1" Type="http://schemas.openxmlformats.org/officeDocument/2006/relationships/externalLinkPath" Target="/Users/tove/Downloads/Kopi_af_P&#198;D.TAP_TOMT_ARK.4.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tove/Documents/Kurser/Skolea&#778;rets%20planl&#230;gning/2024-2025/Kalender2024-2025.2.xlsx" TargetMode="External"/><Relationship Id="rId1" Type="http://schemas.openxmlformats.org/officeDocument/2006/relationships/externalLinkPath" Target="/Users/tove/Documents/Kurser/Skolea&#778;rets%20planl&#230;gning/2024-2025/Kalender2024-202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jledning2015"/>
      <sheetName val="Maaned"/>
      <sheetName val="Aar"/>
      <sheetName val="1.halvaar"/>
      <sheetName val="2.halvaar"/>
      <sheetName val="Aar (tom)"/>
      <sheetName val="1.halvaar (tom)"/>
      <sheetName val="2.halvaar (tom)"/>
      <sheetName val="Minikalender"/>
    </sheetNames>
    <sheetDataSet>
      <sheetData sheetId="0"/>
      <sheetData sheetId="1">
        <row r="3">
          <cell r="A3">
            <v>2015</v>
          </cell>
        </row>
        <row r="5">
          <cell r="C5" t="str">
            <v>lø</v>
          </cell>
          <cell r="H5" t="str">
            <v>ti</v>
          </cell>
          <cell r="M5" t="str">
            <v>to</v>
          </cell>
          <cell r="R5" t="str">
            <v>sø</v>
          </cell>
          <cell r="W5" t="str">
            <v>ti</v>
          </cell>
          <cell r="AB5" t="str">
            <v>fr</v>
          </cell>
          <cell r="AG5" t="str">
            <v>ma</v>
          </cell>
          <cell r="AL5" t="str">
            <v>ti</v>
          </cell>
          <cell r="AQ5" t="str">
            <v>fr</v>
          </cell>
          <cell r="AR5" t="str">
            <v>skoledag</v>
          </cell>
          <cell r="AV5" t="str">
            <v>sø</v>
          </cell>
          <cell r="BA5" t="str">
            <v>on</v>
          </cell>
          <cell r="BF5" t="str">
            <v>fr</v>
          </cell>
        </row>
        <row r="6">
          <cell r="C6" t="str">
            <v>sø</v>
          </cell>
          <cell r="H6" t="str">
            <v>on</v>
          </cell>
          <cell r="M6" t="str">
            <v>fr</v>
          </cell>
          <cell r="R6" t="str">
            <v>ma</v>
          </cell>
          <cell r="W6" t="str">
            <v>on</v>
          </cell>
          <cell r="AB6" t="str">
            <v>lø</v>
          </cell>
          <cell r="AG6" t="str">
            <v>ti</v>
          </cell>
          <cell r="AL6" t="str">
            <v>on</v>
          </cell>
          <cell r="AQ6" t="str">
            <v>lø</v>
          </cell>
          <cell r="AR6" t="str">
            <v>fridag</v>
          </cell>
          <cell r="AV6" t="str">
            <v>ma</v>
          </cell>
          <cell r="BA6" t="str">
            <v>to</v>
          </cell>
          <cell r="BF6" t="str">
            <v>lø</v>
          </cell>
        </row>
        <row r="7">
          <cell r="C7" t="str">
            <v>ma</v>
          </cell>
          <cell r="H7" t="str">
            <v>to</v>
          </cell>
          <cell r="M7" t="str">
            <v>lø</v>
          </cell>
          <cell r="R7" t="str">
            <v>ti</v>
          </cell>
          <cell r="W7" t="str">
            <v>to</v>
          </cell>
          <cell r="AB7" t="str">
            <v>sø</v>
          </cell>
          <cell r="AG7" t="str">
            <v>on</v>
          </cell>
          <cell r="AL7" t="str">
            <v>to</v>
          </cell>
          <cell r="AQ7" t="str">
            <v>sø</v>
          </cell>
          <cell r="AR7" t="str">
            <v>fridag</v>
          </cell>
          <cell r="AV7" t="str">
            <v>ti</v>
          </cell>
          <cell r="BA7" t="str">
            <v>fr</v>
          </cell>
          <cell r="BF7" t="str">
            <v>sø</v>
          </cell>
        </row>
        <row r="8">
          <cell r="C8" t="str">
            <v>ti</v>
          </cell>
          <cell r="H8" t="str">
            <v>fr</v>
          </cell>
          <cell r="M8" t="str">
            <v>sø</v>
          </cell>
          <cell r="R8" t="str">
            <v>on</v>
          </cell>
          <cell r="W8" t="str">
            <v>fr</v>
          </cell>
          <cell r="AB8" t="str">
            <v>ma</v>
          </cell>
          <cell r="AG8" t="str">
            <v>to</v>
          </cell>
          <cell r="AL8" t="str">
            <v>fr</v>
          </cell>
          <cell r="AQ8" t="str">
            <v>ma</v>
          </cell>
          <cell r="AR8" t="str">
            <v>skoledag</v>
          </cell>
          <cell r="AV8" t="str">
            <v>on</v>
          </cell>
          <cell r="BA8" t="str">
            <v>lø</v>
          </cell>
          <cell r="BF8" t="str">
            <v>ma</v>
          </cell>
        </row>
        <row r="9">
          <cell r="C9" t="str">
            <v>on</v>
          </cell>
          <cell r="H9" t="str">
            <v>lø</v>
          </cell>
          <cell r="M9" t="str">
            <v>ma</v>
          </cell>
          <cell r="R9" t="str">
            <v>to</v>
          </cell>
          <cell r="W9" t="str">
            <v>lø</v>
          </cell>
          <cell r="AB9" t="str">
            <v>ti</v>
          </cell>
          <cell r="AG9" t="str">
            <v>fr</v>
          </cell>
          <cell r="AL9" t="str">
            <v>lø</v>
          </cell>
          <cell r="AQ9" t="str">
            <v>ti</v>
          </cell>
          <cell r="AR9" t="str">
            <v>skoledag</v>
          </cell>
          <cell r="AV9" t="str">
            <v>to</v>
          </cell>
          <cell r="BA9" t="str">
            <v>sø</v>
          </cell>
          <cell r="BF9" t="str">
            <v>ti</v>
          </cell>
        </row>
        <row r="10">
          <cell r="C10" t="str">
            <v>to</v>
          </cell>
          <cell r="H10" t="str">
            <v>sø</v>
          </cell>
          <cell r="M10" t="str">
            <v>ti</v>
          </cell>
          <cell r="R10" t="str">
            <v>fr</v>
          </cell>
          <cell r="W10" t="str">
            <v>sø</v>
          </cell>
          <cell r="AB10" t="str">
            <v>on</v>
          </cell>
          <cell r="AG10" t="str">
            <v>lø</v>
          </cell>
          <cell r="AL10" t="str">
            <v>sø</v>
          </cell>
          <cell r="AQ10" t="str">
            <v>on</v>
          </cell>
          <cell r="AR10" t="str">
            <v>skoledag</v>
          </cell>
          <cell r="AV10" t="str">
            <v>fr</v>
          </cell>
          <cell r="BA10" t="str">
            <v>ma</v>
          </cell>
          <cell r="BF10" t="str">
            <v>on</v>
          </cell>
        </row>
        <row r="11">
          <cell r="C11" t="str">
            <v>fr</v>
          </cell>
          <cell r="H11" t="str">
            <v>ma</v>
          </cell>
          <cell r="M11" t="str">
            <v>on</v>
          </cell>
          <cell r="R11" t="str">
            <v>lø</v>
          </cell>
          <cell r="W11" t="str">
            <v>ma</v>
          </cell>
          <cell r="AB11" t="str">
            <v>to</v>
          </cell>
          <cell r="AG11" t="str">
            <v>sø</v>
          </cell>
          <cell r="AL11" t="str">
            <v>ma</v>
          </cell>
          <cell r="AQ11" t="str">
            <v>to</v>
          </cell>
          <cell r="AR11" t="str">
            <v>skoledag</v>
          </cell>
          <cell r="AV11" t="str">
            <v>lø</v>
          </cell>
          <cell r="BA11" t="str">
            <v>ti</v>
          </cell>
          <cell r="BF11" t="str">
            <v>to</v>
          </cell>
        </row>
        <row r="12">
          <cell r="C12" t="str">
            <v>lø</v>
          </cell>
          <cell r="H12" t="str">
            <v>ti</v>
          </cell>
          <cell r="M12" t="str">
            <v>to</v>
          </cell>
          <cell r="R12" t="str">
            <v>sø</v>
          </cell>
          <cell r="W12" t="str">
            <v>ti</v>
          </cell>
          <cell r="AB12" t="str">
            <v>fr</v>
          </cell>
          <cell r="AG12" t="str">
            <v>ma</v>
          </cell>
          <cell r="AL12" t="str">
            <v>ti</v>
          </cell>
          <cell r="AQ12" t="str">
            <v>fr</v>
          </cell>
          <cell r="AR12" t="str">
            <v>skoledag</v>
          </cell>
          <cell r="AV12" t="str">
            <v>sø</v>
          </cell>
          <cell r="BA12" t="str">
            <v>on</v>
          </cell>
          <cell r="BF12" t="str">
            <v>fr</v>
          </cell>
        </row>
        <row r="13">
          <cell r="C13" t="str">
            <v>sø</v>
          </cell>
          <cell r="H13" t="str">
            <v>on</v>
          </cell>
          <cell r="M13" t="str">
            <v>fr</v>
          </cell>
          <cell r="R13" t="str">
            <v>ma</v>
          </cell>
          <cell r="W13" t="str">
            <v>on</v>
          </cell>
          <cell r="AB13" t="str">
            <v>lø</v>
          </cell>
          <cell r="AG13" t="str">
            <v>ti</v>
          </cell>
          <cell r="AL13" t="str">
            <v>on</v>
          </cell>
          <cell r="AQ13" t="str">
            <v>lø</v>
          </cell>
          <cell r="AR13" t="str">
            <v>fridag</v>
          </cell>
          <cell r="AV13" t="str">
            <v>ma</v>
          </cell>
          <cell r="BA13" t="str">
            <v>to</v>
          </cell>
          <cell r="BF13" t="str">
            <v>lø</v>
          </cell>
        </row>
        <row r="14">
          <cell r="C14" t="str">
            <v>ma</v>
          </cell>
          <cell r="H14" t="str">
            <v>to</v>
          </cell>
          <cell r="M14" t="str">
            <v>lø</v>
          </cell>
          <cell r="R14" t="str">
            <v>ti</v>
          </cell>
          <cell r="W14" t="str">
            <v>to</v>
          </cell>
          <cell r="AB14" t="str">
            <v>sø</v>
          </cell>
          <cell r="AG14" t="str">
            <v>on</v>
          </cell>
          <cell r="AL14" t="str">
            <v>to</v>
          </cell>
          <cell r="AQ14" t="str">
            <v>sø</v>
          </cell>
          <cell r="AR14" t="str">
            <v>fridag</v>
          </cell>
          <cell r="AV14" t="str">
            <v>ti</v>
          </cell>
          <cell r="BA14" t="str">
            <v>fr</v>
          </cell>
          <cell r="BF14" t="str">
            <v>sø</v>
          </cell>
        </row>
        <row r="15">
          <cell r="C15" t="str">
            <v>ti</v>
          </cell>
          <cell r="H15" t="str">
            <v>fr</v>
          </cell>
          <cell r="M15" t="str">
            <v>sø</v>
          </cell>
          <cell r="R15" t="str">
            <v>on</v>
          </cell>
          <cell r="W15" t="str">
            <v>fr</v>
          </cell>
          <cell r="AB15" t="str">
            <v>ma</v>
          </cell>
          <cell r="AG15" t="str">
            <v>to</v>
          </cell>
          <cell r="AL15" t="str">
            <v>fr</v>
          </cell>
          <cell r="AQ15" t="str">
            <v>ma</v>
          </cell>
          <cell r="AR15" t="str">
            <v>skoledag</v>
          </cell>
          <cell r="AV15" t="str">
            <v>on</v>
          </cell>
          <cell r="BA15" t="str">
            <v>lø</v>
          </cell>
          <cell r="BF15" t="str">
            <v>ma</v>
          </cell>
        </row>
        <row r="16">
          <cell r="C16" t="str">
            <v>on</v>
          </cell>
          <cell r="H16" t="str">
            <v>lø</v>
          </cell>
          <cell r="M16" t="str">
            <v>ma</v>
          </cell>
          <cell r="R16" t="str">
            <v>to</v>
          </cell>
          <cell r="W16" t="str">
            <v>lø</v>
          </cell>
          <cell r="AB16" t="str">
            <v>ti</v>
          </cell>
          <cell r="AG16" t="str">
            <v>fr</v>
          </cell>
          <cell r="AL16" t="str">
            <v>lø</v>
          </cell>
          <cell r="AQ16" t="str">
            <v>ti</v>
          </cell>
          <cell r="AR16" t="str">
            <v>skoledag</v>
          </cell>
          <cell r="AV16" t="str">
            <v>to</v>
          </cell>
          <cell r="BA16" t="str">
            <v>sø</v>
          </cell>
          <cell r="BF16" t="str">
            <v>ti</v>
          </cell>
        </row>
        <row r="17">
          <cell r="C17" t="str">
            <v>to</v>
          </cell>
          <cell r="H17" t="str">
            <v>sø</v>
          </cell>
          <cell r="M17" t="str">
            <v>ti</v>
          </cell>
          <cell r="R17" t="str">
            <v>fr</v>
          </cell>
          <cell r="W17" t="str">
            <v>sø</v>
          </cell>
          <cell r="AB17" t="str">
            <v>on</v>
          </cell>
          <cell r="AG17" t="str">
            <v>lø</v>
          </cell>
          <cell r="AL17" t="str">
            <v>sø</v>
          </cell>
          <cell r="AQ17" t="str">
            <v>on</v>
          </cell>
          <cell r="AR17" t="str">
            <v>skoledag</v>
          </cell>
          <cell r="AV17" t="str">
            <v>fr</v>
          </cell>
          <cell r="BA17" t="str">
            <v>ma</v>
          </cell>
          <cell r="BF17" t="str">
            <v>on</v>
          </cell>
        </row>
        <row r="18">
          <cell r="C18" t="str">
            <v>fr</v>
          </cell>
          <cell r="H18" t="str">
            <v>ma</v>
          </cell>
          <cell r="M18" t="str">
            <v>on</v>
          </cell>
          <cell r="R18" t="str">
            <v>lø</v>
          </cell>
          <cell r="W18" t="str">
            <v>ma</v>
          </cell>
          <cell r="AB18" t="str">
            <v>to</v>
          </cell>
          <cell r="AG18" t="str">
            <v>sø</v>
          </cell>
          <cell r="AL18" t="str">
            <v>ma</v>
          </cell>
          <cell r="AQ18" t="str">
            <v>to</v>
          </cell>
          <cell r="AR18" t="str">
            <v>skoledag</v>
          </cell>
          <cell r="AV18" t="str">
            <v>lø</v>
          </cell>
          <cell r="BA18" t="str">
            <v>ti</v>
          </cell>
          <cell r="BF18" t="str">
            <v>to</v>
          </cell>
        </row>
        <row r="19">
          <cell r="C19" t="str">
            <v>lø</v>
          </cell>
          <cell r="H19" t="str">
            <v>ti</v>
          </cell>
          <cell r="M19" t="str">
            <v>to</v>
          </cell>
          <cell r="R19" t="str">
            <v>sø</v>
          </cell>
          <cell r="W19" t="str">
            <v>ti</v>
          </cell>
          <cell r="AB19" t="str">
            <v>fr</v>
          </cell>
          <cell r="AG19" t="str">
            <v>ma</v>
          </cell>
          <cell r="AL19" t="str">
            <v>ti</v>
          </cell>
          <cell r="AQ19" t="str">
            <v>fr</v>
          </cell>
          <cell r="AR19" t="str">
            <v>skoledag</v>
          </cell>
          <cell r="AV19" t="str">
            <v>sø</v>
          </cell>
          <cell r="BA19" t="str">
            <v>on</v>
          </cell>
          <cell r="BF19" t="str">
            <v>fr</v>
          </cell>
        </row>
        <row r="20">
          <cell r="C20" t="str">
            <v>sø</v>
          </cell>
          <cell r="H20" t="str">
            <v>on</v>
          </cell>
          <cell r="M20" t="str">
            <v>fr</v>
          </cell>
          <cell r="R20" t="str">
            <v>ma</v>
          </cell>
          <cell r="W20" t="str">
            <v>on</v>
          </cell>
          <cell r="AB20" t="str">
            <v>lø</v>
          </cell>
          <cell r="AG20" t="str">
            <v>ti</v>
          </cell>
          <cell r="AL20" t="str">
            <v>on</v>
          </cell>
          <cell r="AQ20" t="str">
            <v>lø</v>
          </cell>
          <cell r="AR20" t="str">
            <v>fridag</v>
          </cell>
          <cell r="AV20" t="str">
            <v>ma</v>
          </cell>
          <cell r="BA20" t="str">
            <v>to</v>
          </cell>
          <cell r="BF20" t="str">
            <v>lø</v>
          </cell>
        </row>
        <row r="21">
          <cell r="C21" t="str">
            <v>ma</v>
          </cell>
          <cell r="H21" t="str">
            <v>to</v>
          </cell>
          <cell r="M21" t="str">
            <v>lø</v>
          </cell>
          <cell r="R21" t="str">
            <v>ti</v>
          </cell>
          <cell r="W21" t="str">
            <v>to</v>
          </cell>
          <cell r="AB21" t="str">
            <v>sø</v>
          </cell>
          <cell r="AG21" t="str">
            <v>on</v>
          </cell>
          <cell r="AL21" t="str">
            <v>to</v>
          </cell>
          <cell r="AQ21" t="str">
            <v>sø</v>
          </cell>
          <cell r="AR21" t="str">
            <v>fridag</v>
          </cell>
          <cell r="AV21" t="str">
            <v>ti</v>
          </cell>
          <cell r="BA21" t="str">
            <v>fr</v>
          </cell>
          <cell r="BF21" t="str">
            <v>sø</v>
          </cell>
        </row>
        <row r="22">
          <cell r="C22" t="str">
            <v>ti</v>
          </cell>
          <cell r="H22" t="str">
            <v>fr</v>
          </cell>
          <cell r="M22" t="str">
            <v>sø</v>
          </cell>
          <cell r="R22" t="str">
            <v>on</v>
          </cell>
          <cell r="W22" t="str">
            <v>fr</v>
          </cell>
          <cell r="AB22" t="str">
            <v>ma</v>
          </cell>
          <cell r="AG22" t="str">
            <v>to</v>
          </cell>
          <cell r="AL22" t="str">
            <v>fr</v>
          </cell>
          <cell r="AQ22" t="str">
            <v>ma</v>
          </cell>
          <cell r="AR22" t="str">
            <v>skoledag</v>
          </cell>
          <cell r="AV22" t="str">
            <v>on</v>
          </cell>
          <cell r="BA22" t="str">
            <v>lø</v>
          </cell>
          <cell r="BF22" t="str">
            <v>ma</v>
          </cell>
        </row>
        <row r="23">
          <cell r="C23" t="str">
            <v>on</v>
          </cell>
          <cell r="H23" t="str">
            <v>lø</v>
          </cell>
          <cell r="M23" t="str">
            <v>ma</v>
          </cell>
          <cell r="R23" t="str">
            <v>to</v>
          </cell>
          <cell r="W23" t="str">
            <v>lø</v>
          </cell>
          <cell r="AB23" t="str">
            <v>ti</v>
          </cell>
          <cell r="AG23" t="str">
            <v>fr</v>
          </cell>
          <cell r="AL23" t="str">
            <v>lø</v>
          </cell>
          <cell r="AQ23" t="str">
            <v>ti</v>
          </cell>
          <cell r="AR23" t="str">
            <v>skoledag</v>
          </cell>
          <cell r="AV23" t="str">
            <v>to</v>
          </cell>
          <cell r="BA23" t="str">
            <v>sø</v>
          </cell>
          <cell r="BF23" t="str">
            <v>ti</v>
          </cell>
        </row>
        <row r="24">
          <cell r="C24" t="str">
            <v>to</v>
          </cell>
          <cell r="H24" t="str">
            <v>sø</v>
          </cell>
          <cell r="M24" t="str">
            <v>ti</v>
          </cell>
          <cell r="R24" t="str">
            <v>fr</v>
          </cell>
          <cell r="W24" t="str">
            <v>sø</v>
          </cell>
          <cell r="AB24" t="str">
            <v>on</v>
          </cell>
          <cell r="AG24" t="str">
            <v>lø</v>
          </cell>
          <cell r="AL24" t="str">
            <v>sø</v>
          </cell>
          <cell r="AQ24" t="str">
            <v>on</v>
          </cell>
          <cell r="AR24" t="str">
            <v>skoledag</v>
          </cell>
          <cell r="AV24" t="str">
            <v>fr</v>
          </cell>
          <cell r="BA24" t="str">
            <v>ma</v>
          </cell>
          <cell r="BF24" t="str">
            <v>on</v>
          </cell>
        </row>
        <row r="25">
          <cell r="C25" t="str">
            <v>fr</v>
          </cell>
          <cell r="H25" t="str">
            <v>ma</v>
          </cell>
          <cell r="M25" t="str">
            <v>on</v>
          </cell>
          <cell r="R25" t="str">
            <v>lø</v>
          </cell>
          <cell r="W25" t="str">
            <v>ma</v>
          </cell>
          <cell r="AB25" t="str">
            <v>to</v>
          </cell>
          <cell r="AG25" t="str">
            <v>sø</v>
          </cell>
          <cell r="AL25" t="str">
            <v>ma</v>
          </cell>
          <cell r="AQ25" t="str">
            <v>to</v>
          </cell>
          <cell r="AR25" t="str">
            <v>skoledag</v>
          </cell>
          <cell r="AV25" t="str">
            <v>lø</v>
          </cell>
          <cell r="BA25" t="str">
            <v>ti</v>
          </cell>
          <cell r="BF25" t="str">
            <v>to</v>
          </cell>
        </row>
        <row r="26">
          <cell r="C26" t="str">
            <v>lø</v>
          </cell>
          <cell r="H26" t="str">
            <v>ti</v>
          </cell>
          <cell r="M26" t="str">
            <v>to</v>
          </cell>
          <cell r="R26" t="str">
            <v>sø</v>
          </cell>
          <cell r="W26" t="str">
            <v>ti</v>
          </cell>
          <cell r="AB26" t="str">
            <v>fr</v>
          </cell>
          <cell r="AG26" t="str">
            <v>ma</v>
          </cell>
          <cell r="AL26" t="str">
            <v>ti</v>
          </cell>
          <cell r="AQ26" t="str">
            <v>fr</v>
          </cell>
          <cell r="AR26" t="str">
            <v>fridag</v>
          </cell>
          <cell r="AV26" t="str">
            <v>sø</v>
          </cell>
          <cell r="BA26" t="str">
            <v>on</v>
          </cell>
          <cell r="BF26" t="str">
            <v>fr</v>
          </cell>
        </row>
        <row r="27">
          <cell r="C27" t="str">
            <v>sø</v>
          </cell>
          <cell r="H27" t="str">
            <v>on</v>
          </cell>
          <cell r="M27" t="str">
            <v>fr</v>
          </cell>
          <cell r="R27" t="str">
            <v>ma</v>
          </cell>
          <cell r="W27" t="str">
            <v>on</v>
          </cell>
          <cell r="AB27" t="str">
            <v>lø</v>
          </cell>
          <cell r="AG27" t="str">
            <v>ti</v>
          </cell>
          <cell r="AL27" t="str">
            <v>on</v>
          </cell>
          <cell r="AQ27" t="str">
            <v>lø</v>
          </cell>
          <cell r="AR27" t="str">
            <v>fridag</v>
          </cell>
          <cell r="AV27" t="str">
            <v>ma</v>
          </cell>
          <cell r="BA27" t="str">
            <v>to</v>
          </cell>
          <cell r="BF27" t="str">
            <v>lø</v>
          </cell>
        </row>
        <row r="28">
          <cell r="C28" t="str">
            <v>ma</v>
          </cell>
          <cell r="H28" t="str">
            <v>to</v>
          </cell>
          <cell r="M28" t="str">
            <v>lø</v>
          </cell>
          <cell r="R28" t="str">
            <v>ti</v>
          </cell>
          <cell r="W28" t="str">
            <v>to</v>
          </cell>
          <cell r="AB28" t="str">
            <v>sø</v>
          </cell>
          <cell r="AG28" t="str">
            <v>on</v>
          </cell>
          <cell r="AL28" t="str">
            <v>to</v>
          </cell>
          <cell r="AQ28" t="str">
            <v>sø</v>
          </cell>
          <cell r="AR28" t="str">
            <v>fridag</v>
          </cell>
          <cell r="AV28" t="str">
            <v>ti</v>
          </cell>
          <cell r="BA28" t="str">
            <v>fr</v>
          </cell>
          <cell r="BF28" t="str">
            <v>sø</v>
          </cell>
        </row>
        <row r="29">
          <cell r="C29" t="str">
            <v>ti</v>
          </cell>
          <cell r="H29" t="str">
            <v>fr</v>
          </cell>
          <cell r="M29" t="str">
            <v>sø</v>
          </cell>
          <cell r="R29" t="str">
            <v>on</v>
          </cell>
          <cell r="W29" t="str">
            <v>fr</v>
          </cell>
          <cell r="AB29" t="str">
            <v>ma</v>
          </cell>
          <cell r="AG29" t="str">
            <v>to</v>
          </cell>
          <cell r="AL29" t="str">
            <v>fr</v>
          </cell>
          <cell r="AQ29" t="str">
            <v>ma</v>
          </cell>
          <cell r="AR29" t="str">
            <v>skoledag</v>
          </cell>
          <cell r="AV29" t="str">
            <v>on</v>
          </cell>
          <cell r="BA29" t="str">
            <v>lø</v>
          </cell>
          <cell r="BF29" t="str">
            <v>ma</v>
          </cell>
        </row>
        <row r="30">
          <cell r="C30" t="str">
            <v>on</v>
          </cell>
          <cell r="H30" t="str">
            <v>lø</v>
          </cell>
          <cell r="M30" t="str">
            <v>ma</v>
          </cell>
          <cell r="R30" t="str">
            <v>to</v>
          </cell>
          <cell r="W30" t="str">
            <v>lø</v>
          </cell>
          <cell r="AB30" t="str">
            <v>ti</v>
          </cell>
          <cell r="AG30" t="str">
            <v>fr</v>
          </cell>
          <cell r="AL30" t="str">
            <v>lø</v>
          </cell>
          <cell r="AQ30" t="str">
            <v>ti</v>
          </cell>
          <cell r="AR30" t="str">
            <v>skoledag</v>
          </cell>
          <cell r="AV30" t="str">
            <v>to</v>
          </cell>
          <cell r="BA30" t="str">
            <v>sø</v>
          </cell>
          <cell r="BF30" t="str">
            <v>ti</v>
          </cell>
        </row>
        <row r="31">
          <cell r="C31" t="str">
            <v>to</v>
          </cell>
          <cell r="H31" t="str">
            <v>sø</v>
          </cell>
          <cell r="M31" t="str">
            <v>ti</v>
          </cell>
          <cell r="R31" t="str">
            <v>fr</v>
          </cell>
          <cell r="W31" t="str">
            <v>sø</v>
          </cell>
          <cell r="AB31" t="str">
            <v>on</v>
          </cell>
          <cell r="AG31" t="str">
            <v>lø</v>
          </cell>
          <cell r="AL31" t="str">
            <v>sø</v>
          </cell>
          <cell r="AQ31" t="str">
            <v>on</v>
          </cell>
          <cell r="AR31" t="str">
            <v>skoledag</v>
          </cell>
          <cell r="AV31" t="str">
            <v>fr</v>
          </cell>
          <cell r="BA31" t="str">
            <v>ma</v>
          </cell>
          <cell r="BF31" t="str">
            <v>on</v>
          </cell>
        </row>
        <row r="32">
          <cell r="C32" t="str">
            <v>fr</v>
          </cell>
          <cell r="H32" t="str">
            <v>ma</v>
          </cell>
          <cell r="M32" t="str">
            <v>on</v>
          </cell>
          <cell r="R32" t="str">
            <v>lø</v>
          </cell>
          <cell r="W32" t="str">
            <v>ma</v>
          </cell>
          <cell r="AB32" t="str">
            <v>to</v>
          </cell>
          <cell r="AG32" t="str">
            <v>sø</v>
          </cell>
          <cell r="AL32" t="str">
            <v>ma</v>
          </cell>
          <cell r="AQ32" t="str">
            <v>to</v>
          </cell>
          <cell r="AR32" t="str">
            <v>skoledag</v>
          </cell>
          <cell r="AV32" t="str">
            <v>lø</v>
          </cell>
          <cell r="BA32" t="str">
            <v>ti</v>
          </cell>
          <cell r="BF32" t="str">
            <v>to</v>
          </cell>
        </row>
        <row r="33">
          <cell r="C33" t="str">
            <v>lø</v>
          </cell>
          <cell r="H33" t="str">
            <v>ti</v>
          </cell>
          <cell r="M33" t="str">
            <v>to</v>
          </cell>
          <cell r="R33" t="str">
            <v>sø</v>
          </cell>
          <cell r="W33" t="str">
            <v>ti</v>
          </cell>
          <cell r="AB33" t="str">
            <v>fr</v>
          </cell>
          <cell r="AG33" t="str">
            <v>ma</v>
          </cell>
          <cell r="AL33" t="str">
            <v>ti</v>
          </cell>
          <cell r="AQ33" t="str">
            <v>fr</v>
          </cell>
          <cell r="AR33" t="str">
            <v>skoledag</v>
          </cell>
          <cell r="AV33" t="str">
            <v>sø</v>
          </cell>
          <cell r="BA33" t="str">
            <v>on</v>
          </cell>
          <cell r="BF33" t="str">
            <v>fr</v>
          </cell>
        </row>
        <row r="34">
          <cell r="C34" t="str">
            <v>sø</v>
          </cell>
          <cell r="H34" t="str">
            <v>on</v>
          </cell>
          <cell r="M34" t="str">
            <v>fr</v>
          </cell>
          <cell r="R34" t="str">
            <v>ma</v>
          </cell>
          <cell r="W34" t="str">
            <v>on</v>
          </cell>
          <cell r="AB34" t="str">
            <v>lø</v>
          </cell>
          <cell r="AL34" t="str">
            <v>on</v>
          </cell>
          <cell r="AQ34" t="str">
            <v>lø</v>
          </cell>
          <cell r="AR34" t="str">
            <v>fridag</v>
          </cell>
          <cell r="AV34" t="str">
            <v>ma</v>
          </cell>
          <cell r="BA34" t="str">
            <v>to</v>
          </cell>
          <cell r="BF34" t="str">
            <v>lø</v>
          </cell>
        </row>
        <row r="35">
          <cell r="C35" t="str">
            <v>ma</v>
          </cell>
          <cell r="M35" t="str">
            <v>sø</v>
          </cell>
          <cell r="W35" t="str">
            <v>to</v>
          </cell>
          <cell r="AB35" t="str">
            <v>sø</v>
          </cell>
          <cell r="AL35" t="str">
            <v>to</v>
          </cell>
          <cell r="AV35" t="str">
            <v>ti</v>
          </cell>
          <cell r="BF35" t="str">
            <v>sø</v>
          </cell>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ejledning"/>
      <sheetName val="Vejledning PDF"/>
      <sheetName val="Stamoplysninger"/>
      <sheetName val="Normal uger"/>
      <sheetName val="Rul"/>
      <sheetName val="August"/>
      <sheetName val="September"/>
      <sheetName val="Oktober"/>
      <sheetName val="November"/>
      <sheetName val="December"/>
      <sheetName val="Januar"/>
      <sheetName val="Februar"/>
      <sheetName val="Marts"/>
      <sheetName val="April"/>
      <sheetName val="Maj"/>
      <sheetName val="Juni"/>
      <sheetName val="Juli"/>
      <sheetName val="Arbejdstidsoversigt"/>
      <sheetName val="Opgørelse"/>
      <sheetName val="Aar"/>
      <sheetName val="Vejledning til arb.tidsoversigt"/>
      <sheetName val="Opgaveoversigt"/>
      <sheetName val="Aften-weekendtillæg"/>
      <sheetName val="1.halvaar"/>
      <sheetName val="2.halvaar"/>
      <sheetName val="Normal uge 1 til print"/>
      <sheetName val="Normal uge 2 til print"/>
      <sheetName val="Normal uger 3 til print"/>
      <sheetName val="Normal uger 4 til print"/>
      <sheetName val="Rul til print"/>
      <sheetName val="TOMT ÅR"/>
      <sheetName val="TOMT 1. HALVÅR"/>
      <sheetName val="TOMT 2. HALVÅR"/>
    </sheetNames>
    <sheetDataSet>
      <sheetData sheetId="0"/>
      <sheetData sheetId="1"/>
      <sheetData sheetId="2"/>
      <sheetData sheetId="3"/>
      <sheetData sheetId="4"/>
      <sheetData sheetId="5">
        <row r="15">
          <cell r="C15" t="str">
            <v>Normal uge 1</v>
          </cell>
        </row>
      </sheetData>
      <sheetData sheetId="6">
        <row r="10">
          <cell r="C10" t="str">
            <v>Normal uge 1</v>
          </cell>
        </row>
        <row r="11">
          <cell r="C11" t="str">
            <v>Weekend</v>
          </cell>
        </row>
        <row r="12">
          <cell r="C12" t="str">
            <v>Weekend</v>
          </cell>
        </row>
        <row r="13">
          <cell r="C13" t="str">
            <v>Normal uge 1</v>
          </cell>
        </row>
        <row r="14">
          <cell r="C14" t="str">
            <v>Normal uge 1</v>
          </cell>
        </row>
        <row r="15">
          <cell r="C15" t="str">
            <v>Normal uge 1</v>
          </cell>
        </row>
        <row r="16">
          <cell r="C16" t="str">
            <v>Normal uge 1</v>
          </cell>
        </row>
        <row r="17">
          <cell r="C17" t="str">
            <v>Normal uge 1</v>
          </cell>
        </row>
        <row r="18">
          <cell r="C18" t="str">
            <v>Weekend</v>
          </cell>
        </row>
        <row r="19">
          <cell r="C19" t="str">
            <v>Weekend</v>
          </cell>
        </row>
        <row r="20">
          <cell r="C20" t="str">
            <v>Normal uge 1</v>
          </cell>
        </row>
        <row r="21">
          <cell r="C21" t="str">
            <v>Normal uge 1</v>
          </cell>
        </row>
        <row r="22">
          <cell r="C22" t="str">
            <v>Normal uge 1</v>
          </cell>
        </row>
        <row r="23">
          <cell r="C23" t="str">
            <v>Normal uge 1</v>
          </cell>
        </row>
        <row r="24">
          <cell r="C24" t="str">
            <v>Normal uge 1</v>
          </cell>
        </row>
        <row r="25">
          <cell r="C25" t="str">
            <v>Weekend</v>
          </cell>
        </row>
        <row r="26">
          <cell r="C26" t="str">
            <v>Weekend</v>
          </cell>
        </row>
        <row r="27">
          <cell r="C27" t="str">
            <v>Normal uge 1</v>
          </cell>
        </row>
        <row r="28">
          <cell r="C28" t="str">
            <v>Normal uge 1</v>
          </cell>
        </row>
        <row r="29">
          <cell r="C29" t="str">
            <v>Normal uge 1</v>
          </cell>
        </row>
        <row r="30">
          <cell r="C30" t="str">
            <v>Normal uge 1</v>
          </cell>
        </row>
        <row r="31">
          <cell r="C31" t="str">
            <v>Normal uge 1</v>
          </cell>
        </row>
        <row r="32">
          <cell r="C32" t="str">
            <v>Weekend</v>
          </cell>
        </row>
        <row r="33">
          <cell r="C33" t="str">
            <v>Weekend</v>
          </cell>
        </row>
        <row r="34">
          <cell r="C34" t="str">
            <v>Normal uge 1</v>
          </cell>
        </row>
        <row r="35">
          <cell r="C35" t="str">
            <v>Normal uge 1</v>
          </cell>
        </row>
        <row r="36">
          <cell r="C36" t="str">
            <v>Normal uge 1</v>
          </cell>
        </row>
        <row r="37">
          <cell r="C37" t="str">
            <v>Normal uge 1</v>
          </cell>
        </row>
        <row r="38">
          <cell r="C38" t="str">
            <v>Normal uge 1</v>
          </cell>
        </row>
        <row r="39">
          <cell r="C39" t="str">
            <v>Weekend</v>
          </cell>
        </row>
      </sheetData>
      <sheetData sheetId="7">
        <row r="10">
          <cell r="C10" t="str">
            <v>Weekend</v>
          </cell>
        </row>
        <row r="11">
          <cell r="C11" t="str">
            <v>Normal uge 1</v>
          </cell>
        </row>
        <row r="12">
          <cell r="C12" t="str">
            <v>Normal uge 1</v>
          </cell>
        </row>
        <row r="13">
          <cell r="C13" t="str">
            <v>Normal uge 1</v>
          </cell>
        </row>
        <row r="14">
          <cell r="C14" t="str">
            <v>Normal uge 1</v>
          </cell>
        </row>
        <row r="15">
          <cell r="C15" t="str">
            <v>Normal uge 1</v>
          </cell>
        </row>
        <row r="16">
          <cell r="C16" t="str">
            <v>Weekend</v>
          </cell>
        </row>
        <row r="17">
          <cell r="C17" t="str">
            <v>Weekend</v>
          </cell>
        </row>
        <row r="18">
          <cell r="C18" t="str">
            <v>Normal uge 1</v>
          </cell>
        </row>
        <row r="19">
          <cell r="C19" t="str">
            <v>Normal uge 1</v>
          </cell>
        </row>
        <row r="20">
          <cell r="C20" t="str">
            <v>Normal uge 1</v>
          </cell>
        </row>
        <row r="21">
          <cell r="C21" t="str">
            <v>Normal uge 1</v>
          </cell>
        </row>
        <row r="22">
          <cell r="C22" t="str">
            <v>Normal uge 1</v>
          </cell>
        </row>
        <row r="23">
          <cell r="C23" t="str">
            <v>Weekend</v>
          </cell>
        </row>
        <row r="24">
          <cell r="C24" t="str">
            <v>Weekend</v>
          </cell>
        </row>
        <row r="25">
          <cell r="C25" t="str">
            <v>Normal uge 1</v>
          </cell>
        </row>
        <row r="26">
          <cell r="C26" t="str">
            <v>Normal uge 1</v>
          </cell>
        </row>
        <row r="27">
          <cell r="C27" t="str">
            <v>Normal uge 1</v>
          </cell>
        </row>
        <row r="28">
          <cell r="C28" t="str">
            <v>Normal uge 1</v>
          </cell>
        </row>
        <row r="29">
          <cell r="C29" t="str">
            <v>Normal uge 1</v>
          </cell>
        </row>
        <row r="30">
          <cell r="C30" t="str">
            <v>Weekend</v>
          </cell>
        </row>
        <row r="31">
          <cell r="C31" t="str">
            <v>Weekend</v>
          </cell>
        </row>
        <row r="32">
          <cell r="C32" t="str">
            <v>Normal uge 1</v>
          </cell>
        </row>
        <row r="33">
          <cell r="C33" t="str">
            <v>Normal uge 1</v>
          </cell>
        </row>
        <row r="34">
          <cell r="C34" t="str">
            <v>Normal uge 1</v>
          </cell>
        </row>
        <row r="35">
          <cell r="C35" t="str">
            <v>Normal uge 1</v>
          </cell>
        </row>
        <row r="36">
          <cell r="C36" t="str">
            <v>Normal uge 1</v>
          </cell>
        </row>
        <row r="37">
          <cell r="C37" t="str">
            <v>Weekend</v>
          </cell>
        </row>
        <row r="38">
          <cell r="C38" t="str">
            <v>Weekend</v>
          </cell>
        </row>
        <row r="39">
          <cell r="C39" t="str">
            <v>Normal uge 1</v>
          </cell>
        </row>
        <row r="40">
          <cell r="C40" t="str">
            <v>Normal uge 1</v>
          </cell>
        </row>
      </sheetData>
      <sheetData sheetId="8">
        <row r="10">
          <cell r="C10" t="str">
            <v>Normal uge 1</v>
          </cell>
        </row>
        <row r="11">
          <cell r="C11" t="str">
            <v>Normal uge 1</v>
          </cell>
        </row>
        <row r="12">
          <cell r="C12" t="str">
            <v>Normal uge 1</v>
          </cell>
        </row>
        <row r="13">
          <cell r="C13" t="str">
            <v>Weekend</v>
          </cell>
        </row>
        <row r="14">
          <cell r="C14" t="str">
            <v>Weekend</v>
          </cell>
        </row>
        <row r="15">
          <cell r="C15" t="str">
            <v>Normal uge 1</v>
          </cell>
        </row>
        <row r="16">
          <cell r="C16" t="str">
            <v>Normal uge 1</v>
          </cell>
        </row>
        <row r="17">
          <cell r="C17" t="str">
            <v>Normal uge 1</v>
          </cell>
        </row>
        <row r="18">
          <cell r="C18" t="str">
            <v>Normal uge 1</v>
          </cell>
        </row>
        <row r="19">
          <cell r="C19" t="str">
            <v>Normal uge 1</v>
          </cell>
        </row>
        <row r="20">
          <cell r="C20" t="str">
            <v>Weekend</v>
          </cell>
        </row>
        <row r="21">
          <cell r="C21" t="str">
            <v>Weekend</v>
          </cell>
        </row>
        <row r="22">
          <cell r="C22" t="str">
            <v>Normal uge 1</v>
          </cell>
        </row>
        <row r="23">
          <cell r="C23" t="str">
            <v>Normal uge 1</v>
          </cell>
        </row>
        <row r="24">
          <cell r="C24" t="str">
            <v>Normal uge 1</v>
          </cell>
        </row>
        <row r="25">
          <cell r="C25" t="str">
            <v>Normal uge 1</v>
          </cell>
        </row>
        <row r="26">
          <cell r="C26" t="str">
            <v>Normal uge 1</v>
          </cell>
        </row>
        <row r="27">
          <cell r="C27" t="str">
            <v>Weekend</v>
          </cell>
        </row>
        <row r="28">
          <cell r="C28" t="str">
            <v>Weekend</v>
          </cell>
        </row>
        <row r="29">
          <cell r="C29" t="str">
            <v>Normal uge 1</v>
          </cell>
        </row>
        <row r="30">
          <cell r="C30" t="str">
            <v>Normal uge 1</v>
          </cell>
        </row>
        <row r="31">
          <cell r="C31" t="str">
            <v>Normal uge 1</v>
          </cell>
        </row>
        <row r="32">
          <cell r="C32" t="str">
            <v>Normal uge 1</v>
          </cell>
        </row>
        <row r="33">
          <cell r="C33" t="str">
            <v>Normal uge 1</v>
          </cell>
        </row>
        <row r="34">
          <cell r="C34" t="str">
            <v>Weekend</v>
          </cell>
        </row>
        <row r="35">
          <cell r="C35" t="str">
            <v>Weekend</v>
          </cell>
        </row>
        <row r="36">
          <cell r="C36" t="str">
            <v>Normal uge 1</v>
          </cell>
        </row>
        <row r="37">
          <cell r="C37" t="str">
            <v>Normal uge 1</v>
          </cell>
        </row>
        <row r="38">
          <cell r="C38" t="str">
            <v>Normal uge 1</v>
          </cell>
        </row>
        <row r="39">
          <cell r="C39" t="str">
            <v>Normal uge 1</v>
          </cell>
        </row>
      </sheetData>
      <sheetData sheetId="9">
        <row r="10">
          <cell r="C10" t="str">
            <v>Normal uge 1</v>
          </cell>
        </row>
        <row r="11">
          <cell r="C11" t="str">
            <v>Weekend</v>
          </cell>
        </row>
        <row r="12">
          <cell r="C12" t="str">
            <v>Weekend</v>
          </cell>
        </row>
        <row r="13">
          <cell r="C13" t="str">
            <v>Normal uge 1</v>
          </cell>
        </row>
        <row r="14">
          <cell r="C14" t="str">
            <v>Normal uge 1</v>
          </cell>
        </row>
        <row r="15">
          <cell r="C15" t="str">
            <v>Normal uge 1</v>
          </cell>
        </row>
        <row r="16">
          <cell r="C16" t="str">
            <v>Normal uge 1</v>
          </cell>
        </row>
        <row r="17">
          <cell r="C17" t="str">
            <v>Normal uge 1</v>
          </cell>
        </row>
        <row r="18">
          <cell r="C18" t="str">
            <v>Weekend</v>
          </cell>
        </row>
        <row r="19">
          <cell r="C19" t="str">
            <v>Weekend</v>
          </cell>
        </row>
        <row r="20">
          <cell r="C20" t="str">
            <v>Normal uge 1</v>
          </cell>
        </row>
        <row r="21">
          <cell r="C21" t="str">
            <v>Normal uge 1</v>
          </cell>
        </row>
        <row r="22">
          <cell r="C22" t="str">
            <v>Normal uge 1</v>
          </cell>
        </row>
        <row r="23">
          <cell r="C23" t="str">
            <v>Normal uge 1</v>
          </cell>
        </row>
        <row r="24">
          <cell r="C24" t="str">
            <v>Normal uge 1</v>
          </cell>
        </row>
        <row r="25">
          <cell r="C25" t="str">
            <v>Weekend</v>
          </cell>
        </row>
        <row r="26">
          <cell r="C26" t="str">
            <v>Weekend</v>
          </cell>
        </row>
        <row r="27">
          <cell r="C27" t="str">
            <v>Normal uge 1</v>
          </cell>
        </row>
        <row r="28">
          <cell r="C28" t="str">
            <v>Normal uge 1</v>
          </cell>
        </row>
        <row r="29">
          <cell r="C29" t="str">
            <v>Normal uge 1</v>
          </cell>
        </row>
        <row r="30">
          <cell r="C30" t="str">
            <v>Normal uge 1</v>
          </cell>
        </row>
        <row r="31">
          <cell r="C31" t="str">
            <v>Normal uge 1</v>
          </cell>
        </row>
        <row r="32">
          <cell r="C32" t="str">
            <v>Weekend</v>
          </cell>
        </row>
        <row r="33">
          <cell r="C33" t="str">
            <v>Weekend</v>
          </cell>
        </row>
        <row r="34">
          <cell r="C34" t="str">
            <v>SH-dag</v>
          </cell>
        </row>
        <row r="35">
          <cell r="C35" t="str">
            <v>SH-dag</v>
          </cell>
        </row>
        <row r="36">
          <cell r="C36" t="str">
            <v>Normal uge 1</v>
          </cell>
        </row>
        <row r="37">
          <cell r="C37" t="str">
            <v>Normal uge 1</v>
          </cell>
        </row>
        <row r="38">
          <cell r="C38" t="str">
            <v>Normal uge 1</v>
          </cell>
        </row>
        <row r="39">
          <cell r="C39" t="str">
            <v>Weekend</v>
          </cell>
        </row>
        <row r="40">
          <cell r="C40" t="str">
            <v>Weekend</v>
          </cell>
        </row>
      </sheetData>
      <sheetData sheetId="10">
        <row r="10">
          <cell r="C10" t="str">
            <v>SH-dag</v>
          </cell>
        </row>
        <row r="11">
          <cell r="C11" t="str">
            <v>Normal uge 1</v>
          </cell>
        </row>
        <row r="12">
          <cell r="C12" t="str">
            <v>Normal uge 1</v>
          </cell>
        </row>
        <row r="13">
          <cell r="C13" t="str">
            <v>Normal uge 1</v>
          </cell>
        </row>
        <row r="14">
          <cell r="C14" t="str">
            <v>Normal uge 1</v>
          </cell>
        </row>
        <row r="15">
          <cell r="C15" t="str">
            <v>Weekend</v>
          </cell>
        </row>
        <row r="16">
          <cell r="C16" t="str">
            <v>Weekend</v>
          </cell>
        </row>
        <row r="17">
          <cell r="C17" t="str">
            <v>Normal uge 1</v>
          </cell>
        </row>
        <row r="18">
          <cell r="C18" t="str">
            <v>Normal uge 1</v>
          </cell>
        </row>
        <row r="19">
          <cell r="C19" t="str">
            <v>Normal uge 1</v>
          </cell>
        </row>
        <row r="20">
          <cell r="C20" t="str">
            <v>Normal uge 1</v>
          </cell>
        </row>
        <row r="21">
          <cell r="C21" t="str">
            <v>Normal uge 1</v>
          </cell>
        </row>
        <row r="22">
          <cell r="C22" t="str">
            <v>Weekend</v>
          </cell>
        </row>
        <row r="23">
          <cell r="C23" t="str">
            <v>Weekend</v>
          </cell>
        </row>
        <row r="24">
          <cell r="C24" t="str">
            <v>Normal uge 1</v>
          </cell>
        </row>
        <row r="25">
          <cell r="C25" t="str">
            <v>Normal uge 1</v>
          </cell>
        </row>
        <row r="26">
          <cell r="C26" t="str">
            <v>Normal uge 1</v>
          </cell>
        </row>
        <row r="27">
          <cell r="C27" t="str">
            <v>Normal uge 1</v>
          </cell>
        </row>
        <row r="28">
          <cell r="C28" t="str">
            <v>Normal uge 1</v>
          </cell>
        </row>
        <row r="29">
          <cell r="C29" t="str">
            <v>Weekend</v>
          </cell>
        </row>
        <row r="30">
          <cell r="C30" t="str">
            <v>Weekend</v>
          </cell>
        </row>
        <row r="31">
          <cell r="C31" t="str">
            <v>Normal uge 1</v>
          </cell>
        </row>
        <row r="32">
          <cell r="C32" t="str">
            <v>Normal uge 1</v>
          </cell>
        </row>
        <row r="33">
          <cell r="C33" t="str">
            <v>Normal uge 1</v>
          </cell>
        </row>
        <row r="34">
          <cell r="C34" t="str">
            <v>Normal uge 1</v>
          </cell>
        </row>
        <row r="35">
          <cell r="C35" t="str">
            <v>Normal uge 1</v>
          </cell>
        </row>
        <row r="36">
          <cell r="C36" t="str">
            <v>Weekend</v>
          </cell>
        </row>
        <row r="37">
          <cell r="C37" t="str">
            <v>Weekend</v>
          </cell>
        </row>
        <row r="38">
          <cell r="C38" t="str">
            <v>Normal uge 1</v>
          </cell>
        </row>
        <row r="39">
          <cell r="C39" t="str">
            <v>Normal uge 1</v>
          </cell>
        </row>
        <row r="40">
          <cell r="C40" t="str">
            <v>Normal uge 1</v>
          </cell>
        </row>
      </sheetData>
      <sheetData sheetId="11">
        <row r="10">
          <cell r="C10" t="str">
            <v>Normal uge 1</v>
          </cell>
        </row>
        <row r="11">
          <cell r="C11" t="str">
            <v>Normal uge 1</v>
          </cell>
        </row>
        <row r="12">
          <cell r="C12" t="str">
            <v>Weekend</v>
          </cell>
        </row>
        <row r="13">
          <cell r="C13" t="str">
            <v>Weekend</v>
          </cell>
        </row>
        <row r="14">
          <cell r="C14" t="str">
            <v>Normal uge 1</v>
          </cell>
        </row>
        <row r="15">
          <cell r="C15" t="str">
            <v>Normal uge 1</v>
          </cell>
        </row>
        <row r="16">
          <cell r="C16" t="str">
            <v>Normal uge 1</v>
          </cell>
        </row>
        <row r="17">
          <cell r="C17" t="str">
            <v>Normal uge 1</v>
          </cell>
        </row>
        <row r="18">
          <cell r="C18" t="str">
            <v>Normal uge 1</v>
          </cell>
        </row>
        <row r="19">
          <cell r="C19" t="str">
            <v>Weekend</v>
          </cell>
        </row>
        <row r="20">
          <cell r="C20" t="str">
            <v>Weekend</v>
          </cell>
        </row>
        <row r="21">
          <cell r="C21" t="str">
            <v>Normal uge 1</v>
          </cell>
        </row>
        <row r="22">
          <cell r="C22" t="str">
            <v>Normal uge 1</v>
          </cell>
        </row>
        <row r="23">
          <cell r="C23" t="str">
            <v>Normal uge 1</v>
          </cell>
        </row>
        <row r="24">
          <cell r="C24" t="str">
            <v>Normal uge 1</v>
          </cell>
        </row>
        <row r="25">
          <cell r="C25" t="str">
            <v>Normal uge 1</v>
          </cell>
        </row>
        <row r="26">
          <cell r="C26" t="str">
            <v>Weekend</v>
          </cell>
        </row>
        <row r="27">
          <cell r="C27" t="str">
            <v>Weekend</v>
          </cell>
        </row>
        <row r="28">
          <cell r="C28" t="str">
            <v>Normal uge 1</v>
          </cell>
        </row>
        <row r="29">
          <cell r="C29" t="str">
            <v>Normal uge 1</v>
          </cell>
        </row>
        <row r="30">
          <cell r="C30" t="str">
            <v>Normal uge 1</v>
          </cell>
        </row>
        <row r="31">
          <cell r="C31" t="str">
            <v>Normal uge 1</v>
          </cell>
        </row>
        <row r="32">
          <cell r="C32" t="str">
            <v>Normal uge 1</v>
          </cell>
        </row>
        <row r="33">
          <cell r="C33" t="str">
            <v>Weekend</v>
          </cell>
        </row>
        <row r="34">
          <cell r="C34" t="str">
            <v>Weekend</v>
          </cell>
        </row>
        <row r="35">
          <cell r="C35" t="str">
            <v>Normal uge 1</v>
          </cell>
        </row>
        <row r="36">
          <cell r="C36" t="str">
            <v>Normal uge 1</v>
          </cell>
        </row>
        <row r="37">
          <cell r="C37" t="str">
            <v>Normal uge 1</v>
          </cell>
        </row>
        <row r="38">
          <cell r="C38" t="str">
            <v>Normal uge 1</v>
          </cell>
        </row>
      </sheetData>
      <sheetData sheetId="12">
        <row r="10">
          <cell r="C10" t="str">
            <v>Normal uge 1</v>
          </cell>
        </row>
        <row r="11">
          <cell r="C11" t="str">
            <v>Weekend</v>
          </cell>
        </row>
        <row r="12">
          <cell r="C12" t="str">
            <v>Weekend</v>
          </cell>
        </row>
        <row r="13">
          <cell r="C13" t="str">
            <v>Normal uge 1</v>
          </cell>
        </row>
        <row r="14">
          <cell r="C14" t="str">
            <v>Normal uge 1</v>
          </cell>
        </row>
        <row r="15">
          <cell r="C15" t="str">
            <v>Normal uge 1</v>
          </cell>
        </row>
        <row r="16">
          <cell r="C16" t="str">
            <v>Normal uge 1</v>
          </cell>
        </row>
        <row r="17">
          <cell r="C17" t="str">
            <v>Normal uge 1</v>
          </cell>
        </row>
        <row r="18">
          <cell r="C18" t="str">
            <v>Weekend</v>
          </cell>
        </row>
        <row r="19">
          <cell r="C19" t="str">
            <v>Weekend</v>
          </cell>
        </row>
        <row r="20">
          <cell r="C20" t="str">
            <v>Normal uge 1</v>
          </cell>
        </row>
        <row r="21">
          <cell r="C21" t="str">
            <v>Normal uge 1</v>
          </cell>
        </row>
        <row r="22">
          <cell r="C22" t="str">
            <v>Normal uge 1</v>
          </cell>
        </row>
        <row r="23">
          <cell r="C23" t="str">
            <v>Normal uge 1</v>
          </cell>
        </row>
        <row r="24">
          <cell r="C24" t="str">
            <v>Normal uge 1</v>
          </cell>
        </row>
        <row r="25">
          <cell r="C25" t="str">
            <v>Weekend</v>
          </cell>
        </row>
        <row r="26">
          <cell r="C26" t="str">
            <v>Weekend</v>
          </cell>
        </row>
        <row r="27">
          <cell r="C27" t="str">
            <v>Normal uge 1</v>
          </cell>
        </row>
        <row r="28">
          <cell r="C28" t="str">
            <v>Normal uge 1</v>
          </cell>
        </row>
        <row r="29">
          <cell r="C29" t="str">
            <v>Normal uge 1</v>
          </cell>
        </row>
        <row r="30">
          <cell r="C30" t="str">
            <v>Normal uge 1</v>
          </cell>
        </row>
        <row r="31">
          <cell r="C31" t="str">
            <v>Normal uge 1</v>
          </cell>
        </row>
        <row r="32">
          <cell r="C32" t="str">
            <v>Weekend</v>
          </cell>
        </row>
        <row r="33">
          <cell r="C33" t="str">
            <v>Weekend</v>
          </cell>
        </row>
        <row r="34">
          <cell r="C34" t="str">
            <v>Normal uge 1</v>
          </cell>
        </row>
        <row r="35">
          <cell r="C35" t="str">
            <v>Normal uge 1</v>
          </cell>
        </row>
        <row r="36">
          <cell r="C36" t="str">
            <v>Normal uge 1</v>
          </cell>
        </row>
        <row r="37">
          <cell r="C37" t="str">
            <v>SH-dag</v>
          </cell>
        </row>
        <row r="38">
          <cell r="C38" t="str">
            <v>SH-dag</v>
          </cell>
        </row>
        <row r="39">
          <cell r="C39" t="str">
            <v>Weekend</v>
          </cell>
        </row>
        <row r="40">
          <cell r="C40" t="str">
            <v>Weekend</v>
          </cell>
        </row>
      </sheetData>
      <sheetData sheetId="13">
        <row r="10">
          <cell r="C10" t="str">
            <v>SH-dag</v>
          </cell>
        </row>
        <row r="11">
          <cell r="C11" t="str">
            <v>Normal uge 1</v>
          </cell>
        </row>
        <row r="12">
          <cell r="C12" t="str">
            <v>Normal uge 1</v>
          </cell>
        </row>
        <row r="13">
          <cell r="C13" t="str">
            <v>Normal uge 1</v>
          </cell>
        </row>
        <row r="14">
          <cell r="C14" t="str">
            <v>Normal uge 1</v>
          </cell>
        </row>
        <row r="15">
          <cell r="C15" t="str">
            <v>Weekend</v>
          </cell>
        </row>
        <row r="16">
          <cell r="C16" t="str">
            <v>Weekend</v>
          </cell>
        </row>
        <row r="17">
          <cell r="C17" t="str">
            <v>Normal uge 1</v>
          </cell>
        </row>
        <row r="18">
          <cell r="C18" t="str">
            <v>Normal uge 1</v>
          </cell>
        </row>
        <row r="19">
          <cell r="C19" t="str">
            <v>Normal uge 1</v>
          </cell>
        </row>
        <row r="20">
          <cell r="C20" t="str">
            <v>Normal uge 1</v>
          </cell>
        </row>
        <row r="21">
          <cell r="C21" t="str">
            <v>Normal uge 1</v>
          </cell>
        </row>
        <row r="22">
          <cell r="C22" t="str">
            <v>Weekend</v>
          </cell>
        </row>
        <row r="23">
          <cell r="C23" t="str">
            <v>Weekend</v>
          </cell>
        </row>
        <row r="24">
          <cell r="C24" t="str">
            <v>Normal uge 1</v>
          </cell>
        </row>
        <row r="25">
          <cell r="C25" t="str">
            <v>Normal uge 1</v>
          </cell>
        </row>
        <row r="26">
          <cell r="C26" t="str">
            <v>Normal uge 1</v>
          </cell>
        </row>
        <row r="27">
          <cell r="C27" t="str">
            <v>Normal uge 1</v>
          </cell>
        </row>
        <row r="28">
          <cell r="C28" t="str">
            <v>Normal uge 1</v>
          </cell>
        </row>
        <row r="29">
          <cell r="C29" t="str">
            <v>Weekend</v>
          </cell>
        </row>
        <row r="30">
          <cell r="C30" t="str">
            <v>Weekend</v>
          </cell>
        </row>
        <row r="31">
          <cell r="C31" t="str">
            <v>Normal uge 1</v>
          </cell>
        </row>
        <row r="32">
          <cell r="C32" t="str">
            <v>Normal uge 1</v>
          </cell>
        </row>
        <row r="33">
          <cell r="C33" t="str">
            <v>Normal uge 1</v>
          </cell>
        </row>
        <row r="34">
          <cell r="C34" t="str">
            <v>Normal uge 1</v>
          </cell>
        </row>
        <row r="35">
          <cell r="C35" t="str">
            <v>Normal uge 1</v>
          </cell>
        </row>
        <row r="36">
          <cell r="C36" t="str">
            <v>Weekend</v>
          </cell>
        </row>
        <row r="37">
          <cell r="C37" t="str">
            <v>Weekend</v>
          </cell>
        </row>
        <row r="38">
          <cell r="C38" t="str">
            <v>Normal uge 1</v>
          </cell>
        </row>
        <row r="39">
          <cell r="C39" t="str">
            <v>Normal uge 1</v>
          </cell>
        </row>
      </sheetData>
      <sheetData sheetId="14">
        <row r="10">
          <cell r="C10" t="str">
            <v>Normal uge 1</v>
          </cell>
        </row>
        <row r="11">
          <cell r="C11" t="str">
            <v>Normal uge 1</v>
          </cell>
        </row>
        <row r="12">
          <cell r="C12" t="str">
            <v>Normal uge 1</v>
          </cell>
        </row>
        <row r="13">
          <cell r="C13" t="str">
            <v>Weekend</v>
          </cell>
        </row>
        <row r="14">
          <cell r="C14" t="str">
            <v>Weekend</v>
          </cell>
        </row>
        <row r="15">
          <cell r="C15" t="str">
            <v>Normal uge 1</v>
          </cell>
        </row>
        <row r="16">
          <cell r="C16" t="str">
            <v>Normal uge 1</v>
          </cell>
        </row>
        <row r="17">
          <cell r="C17" t="str">
            <v>Normal uge 1</v>
          </cell>
        </row>
        <row r="18">
          <cell r="C18" t="str">
            <v>SH-dag</v>
          </cell>
        </row>
        <row r="19">
          <cell r="C19" t="str">
            <v>Normal uge 1</v>
          </cell>
        </row>
        <row r="20">
          <cell r="C20" t="str">
            <v>Weekend</v>
          </cell>
        </row>
        <row r="21">
          <cell r="C21" t="str">
            <v>Weekend</v>
          </cell>
        </row>
        <row r="22">
          <cell r="C22" t="str">
            <v>Normal uge 1</v>
          </cell>
        </row>
        <row r="23">
          <cell r="C23" t="str">
            <v>Normal uge 1</v>
          </cell>
        </row>
        <row r="24">
          <cell r="C24" t="str">
            <v>Normal uge 1</v>
          </cell>
        </row>
        <row r="25">
          <cell r="C25" t="str">
            <v>Normal uge 1</v>
          </cell>
        </row>
        <row r="26">
          <cell r="C26" t="str">
            <v>Normal uge 1</v>
          </cell>
        </row>
        <row r="27">
          <cell r="C27" t="str">
            <v>Weekend</v>
          </cell>
        </row>
        <row r="28">
          <cell r="C28" t="str">
            <v>Weekend</v>
          </cell>
        </row>
        <row r="29">
          <cell r="C29" t="str">
            <v>SH-dag</v>
          </cell>
        </row>
        <row r="30">
          <cell r="C30" t="str">
            <v>Normal uge 1</v>
          </cell>
        </row>
        <row r="31">
          <cell r="C31" t="str">
            <v>Normal uge 1</v>
          </cell>
        </row>
        <row r="32">
          <cell r="C32" t="str">
            <v>Normal uge 1</v>
          </cell>
        </row>
        <row r="33">
          <cell r="C33" t="str">
            <v>Normal uge 1</v>
          </cell>
        </row>
        <row r="34">
          <cell r="C34" t="str">
            <v>Weekend</v>
          </cell>
        </row>
        <row r="35">
          <cell r="C35" t="str">
            <v>Weekend</v>
          </cell>
        </row>
        <row r="36">
          <cell r="C36" t="str">
            <v>Normal uge 1</v>
          </cell>
        </row>
        <row r="37">
          <cell r="C37" t="str">
            <v>Normal uge 1</v>
          </cell>
        </row>
        <row r="38">
          <cell r="C38" t="str">
            <v>Normal uge 1</v>
          </cell>
        </row>
        <row r="39">
          <cell r="C39" t="str">
            <v>Normal uge 1</v>
          </cell>
        </row>
        <row r="40">
          <cell r="C40" t="str">
            <v>Normal uge 1</v>
          </cell>
        </row>
      </sheetData>
      <sheetData sheetId="15">
        <row r="10">
          <cell r="C10" t="str">
            <v>Normal uge 1</v>
          </cell>
        </row>
        <row r="11">
          <cell r="C11" t="str">
            <v>Weekend</v>
          </cell>
        </row>
        <row r="12">
          <cell r="C12" t="str">
            <v>Normal uge 1</v>
          </cell>
        </row>
        <row r="13">
          <cell r="C13" t="str">
            <v>Normal uge 1</v>
          </cell>
        </row>
        <row r="14">
          <cell r="C14" t="str">
            <v>Normal uge 1</v>
          </cell>
        </row>
        <row r="15">
          <cell r="C15" t="str">
            <v>Normal uge 1</v>
          </cell>
        </row>
        <row r="16">
          <cell r="C16" t="str">
            <v>Normal uge 1</v>
          </cell>
        </row>
        <row r="17">
          <cell r="C17" t="str">
            <v>Weekend</v>
          </cell>
        </row>
        <row r="18">
          <cell r="C18" t="str">
            <v>Weekend</v>
          </cell>
        </row>
        <row r="19">
          <cell r="C19" t="str">
            <v>Normal uge 1</v>
          </cell>
        </row>
        <row r="20">
          <cell r="C20" t="str">
            <v>Normal uge 1</v>
          </cell>
        </row>
        <row r="21">
          <cell r="C21" t="str">
            <v>Normal uge 1</v>
          </cell>
        </row>
        <row r="22">
          <cell r="C22" t="str">
            <v>Normal uge 1</v>
          </cell>
        </row>
        <row r="23">
          <cell r="C23" t="str">
            <v>Normal uge 1</v>
          </cell>
        </row>
        <row r="24">
          <cell r="C24" t="str">
            <v>Weekend</v>
          </cell>
        </row>
        <row r="25">
          <cell r="C25" t="str">
            <v>Weekend</v>
          </cell>
        </row>
        <row r="26">
          <cell r="C26" t="str">
            <v>Normal uge 1</v>
          </cell>
        </row>
        <row r="27">
          <cell r="C27" t="str">
            <v>Normal uge 1</v>
          </cell>
        </row>
        <row r="28">
          <cell r="C28" t="str">
            <v>Normal uge 1</v>
          </cell>
        </row>
        <row r="29">
          <cell r="C29" t="str">
            <v>Normal uge 1</v>
          </cell>
        </row>
        <row r="30">
          <cell r="C30" t="str">
            <v>Normal uge 1</v>
          </cell>
        </row>
        <row r="31">
          <cell r="C31" t="str">
            <v>Weekend</v>
          </cell>
        </row>
        <row r="32">
          <cell r="C32" t="str">
            <v>Weekend</v>
          </cell>
        </row>
        <row r="33">
          <cell r="C33" t="str">
            <v>Normal uge 1</v>
          </cell>
        </row>
        <row r="34">
          <cell r="C34" t="str">
            <v>Normal uge 1</v>
          </cell>
        </row>
        <row r="35">
          <cell r="C35" t="str">
            <v>Normal uge 1</v>
          </cell>
        </row>
        <row r="36">
          <cell r="C36" t="str">
            <v>Normal uge 1</v>
          </cell>
        </row>
        <row r="37">
          <cell r="C37" t="str">
            <v>Normal uge 1</v>
          </cell>
        </row>
        <row r="38">
          <cell r="C38" t="str">
            <v>Weekend</v>
          </cell>
        </row>
        <row r="39">
          <cell r="C39" t="str">
            <v>Weekend</v>
          </cell>
        </row>
      </sheetData>
      <sheetData sheetId="16">
        <row r="10">
          <cell r="C10" t="str">
            <v>Normal uge 1</v>
          </cell>
        </row>
        <row r="11">
          <cell r="C11" t="str">
            <v>Normal uge 1</v>
          </cell>
        </row>
        <row r="12">
          <cell r="C12" t="str">
            <v>Normal uge 1</v>
          </cell>
        </row>
        <row r="13">
          <cell r="C13" t="str">
            <v>Normal uge 1</v>
          </cell>
        </row>
        <row r="14">
          <cell r="C14" t="str">
            <v>Normal uge 1</v>
          </cell>
        </row>
        <row r="15">
          <cell r="C15" t="str">
            <v>Weekend</v>
          </cell>
        </row>
        <row r="16">
          <cell r="C16" t="str">
            <v>Weekend</v>
          </cell>
        </row>
        <row r="17">
          <cell r="C17" t="str">
            <v>Normal uge 1</v>
          </cell>
        </row>
        <row r="18">
          <cell r="C18" t="str">
            <v>Normal uge 1</v>
          </cell>
        </row>
        <row r="19">
          <cell r="C19" t="str">
            <v>Normal uge 1</v>
          </cell>
        </row>
        <row r="20">
          <cell r="C20" t="str">
            <v>Normal uge 1</v>
          </cell>
        </row>
        <row r="21">
          <cell r="C21" t="str">
            <v>Normal uge 1</v>
          </cell>
        </row>
        <row r="22">
          <cell r="C22" t="str">
            <v>Weekend</v>
          </cell>
        </row>
        <row r="23">
          <cell r="C23" t="str">
            <v>Weekend</v>
          </cell>
        </row>
        <row r="24">
          <cell r="C24" t="str">
            <v>Normal uge 1</v>
          </cell>
        </row>
        <row r="25">
          <cell r="C25" t="str">
            <v>Normal uge 1</v>
          </cell>
        </row>
        <row r="26">
          <cell r="C26" t="str">
            <v>Normal uge 1</v>
          </cell>
        </row>
        <row r="27">
          <cell r="C27" t="str">
            <v>Normal uge 1</v>
          </cell>
        </row>
        <row r="28">
          <cell r="C28" t="str">
            <v>Normal uge 1</v>
          </cell>
        </row>
        <row r="29">
          <cell r="C29" t="str">
            <v>Weekend</v>
          </cell>
        </row>
        <row r="30">
          <cell r="C30" t="str">
            <v>Weekend</v>
          </cell>
        </row>
        <row r="31">
          <cell r="C31" t="str">
            <v>Normal uge 1</v>
          </cell>
        </row>
        <row r="32">
          <cell r="C32" t="str">
            <v>Normal uge 1</v>
          </cell>
        </row>
        <row r="33">
          <cell r="C33" t="str">
            <v>Normal uge 1</v>
          </cell>
        </row>
        <row r="34">
          <cell r="C34" t="str">
            <v>Normal uge 1</v>
          </cell>
        </row>
        <row r="35">
          <cell r="C35" t="str">
            <v>Normal uge 1</v>
          </cell>
        </row>
        <row r="36">
          <cell r="C36" t="str">
            <v>Weekend</v>
          </cell>
        </row>
        <row r="37">
          <cell r="C37" t="str">
            <v>Weekend</v>
          </cell>
        </row>
        <row r="38">
          <cell r="C38" t="str">
            <v>Normal uge 1</v>
          </cell>
        </row>
        <row r="39">
          <cell r="C39" t="str">
            <v>Normal uge 1</v>
          </cell>
        </row>
        <row r="40">
          <cell r="C40" t="str">
            <v>Normal uge 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aned"/>
      <sheetName val="TOMT ÅR"/>
      <sheetName val="Vejledning til arb.tidsoversigt"/>
      <sheetName val="Opgaveoversigt"/>
      <sheetName val="Aften-weekendtillæg"/>
      <sheetName val="TOMT 1. HALVÅR"/>
      <sheetName val="TOMT 2. HALVÅR"/>
    </sheetNames>
    <sheetDataSet>
      <sheetData sheetId="0">
        <row r="1">
          <cell r="A1" t="str">
            <v>Min egen skole</v>
          </cell>
        </row>
      </sheetData>
      <sheetData sheetId="1" refreshError="1"/>
      <sheetData sheetId="2" refreshError="1"/>
      <sheetData sheetId="3" refreshError="1"/>
      <sheetData sheetId="4" refreshError="1"/>
      <sheetData sheetId="5" refreshError="1"/>
      <sheetData sheetId="6"/>
    </sheetDataSet>
  </externalBook>
</externalLink>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3"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23" dT="2021-03-02T13:01:39.32" personId="{977470C1-5292-2E41-B06C-4A3108FC6288}" id="{53CDCF47-1C18-B74C-8FCD-1F187581EE76}">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42" dT="2021-03-02T13:01:39.32" personId="{977470C1-5292-2E41-B06C-4A3108FC6288}" id="{BA36B4C6-FE51-0449-BB6B-4BA6729AA314}">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66"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107"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G98"/>
  <sheetViews>
    <sheetView tabSelected="1" zoomScaleNormal="100" workbookViewId="0">
      <selection activeCell="B85" sqref="B85:B87"/>
    </sheetView>
  </sheetViews>
  <sheetFormatPr baseColWidth="10" defaultRowHeight="16"/>
  <cols>
    <col min="1" max="1" width="10.83203125" style="88"/>
    <col min="2" max="2" width="157.33203125" style="88" customWidth="1"/>
    <col min="3" max="3" width="10.83203125" style="88" customWidth="1"/>
    <col min="4" max="16384" width="10.83203125" style="88"/>
  </cols>
  <sheetData>
    <row r="1" spans="2:2">
      <c r="B1" s="120">
        <v>2021</v>
      </c>
    </row>
    <row r="2" spans="2:2">
      <c r="B2" s="121" t="s">
        <v>543</v>
      </c>
    </row>
    <row r="3" spans="2:2" ht="30" customHeight="1">
      <c r="B3" s="401" t="s">
        <v>425</v>
      </c>
    </row>
    <row r="4" spans="2:2" ht="29" customHeight="1">
      <c r="B4" s="401" t="s">
        <v>426</v>
      </c>
    </row>
    <row r="5" spans="2:2" ht="18" customHeight="1">
      <c r="B5" s="402" t="str">
        <f>"Gældende for skoleåret "&amp;B2&amp;""</f>
        <v>Gældende for skoleåret 2024-2025</v>
      </c>
    </row>
    <row r="6" spans="2:2">
      <c r="B6" s="90"/>
    </row>
    <row r="7" spans="2:2">
      <c r="B7" s="397" t="s">
        <v>370</v>
      </c>
    </row>
    <row r="8" spans="2:2">
      <c r="B8" s="738" t="s">
        <v>552</v>
      </c>
    </row>
    <row r="9" spans="2:2">
      <c r="B9" s="738"/>
    </row>
    <row r="10" spans="2:2">
      <c r="B10" s="118" t="s">
        <v>553</v>
      </c>
    </row>
    <row r="11" spans="2:2" ht="34" customHeight="1">
      <c r="B11" s="615" t="s">
        <v>554</v>
      </c>
    </row>
    <row r="12" spans="2:2" ht="23" customHeight="1">
      <c r="B12" s="615"/>
    </row>
    <row r="13" spans="2:2">
      <c r="B13" s="397" t="s">
        <v>371</v>
      </c>
    </row>
    <row r="14" spans="2:2">
      <c r="B14" s="397" t="s">
        <v>361</v>
      </c>
    </row>
    <row r="15" spans="2:2" ht="33" customHeight="1">
      <c r="B15" s="333" t="s">
        <v>555</v>
      </c>
    </row>
    <row r="16" spans="2:2" ht="34" customHeight="1">
      <c r="B16" s="393" t="s">
        <v>497</v>
      </c>
    </row>
    <row r="17" spans="1:7" ht="8" customHeight="1">
      <c r="B17" s="515"/>
    </row>
    <row r="18" spans="1:7" ht="120" customHeight="1">
      <c r="B18" s="354" t="s">
        <v>563</v>
      </c>
      <c r="C18" s="354"/>
      <c r="D18" s="354"/>
      <c r="E18" s="354"/>
      <c r="F18" s="354"/>
      <c r="G18" s="354"/>
    </row>
    <row r="19" spans="1:7" ht="41" customHeight="1">
      <c r="B19" s="333" t="s">
        <v>427</v>
      </c>
    </row>
    <row r="20" spans="1:7" ht="20" customHeight="1">
      <c r="B20" s="393" t="s">
        <v>428</v>
      </c>
    </row>
    <row r="21" spans="1:7" ht="19" customHeight="1">
      <c r="B21" s="393" t="s">
        <v>429</v>
      </c>
    </row>
    <row r="22" spans="1:7" ht="19" customHeight="1">
      <c r="B22" s="393" t="s">
        <v>403</v>
      </c>
    </row>
    <row r="23" spans="1:7" ht="19" customHeight="1">
      <c r="B23" s="394" t="s">
        <v>430</v>
      </c>
    </row>
    <row r="24" spans="1:7" ht="51">
      <c r="B24" s="333" t="s">
        <v>499</v>
      </c>
    </row>
    <row r="25" spans="1:7" ht="34">
      <c r="B25" s="333" t="s">
        <v>500</v>
      </c>
    </row>
    <row r="26" spans="1:7" ht="51">
      <c r="B26" s="333" t="s">
        <v>534</v>
      </c>
    </row>
    <row r="27" spans="1:7" ht="56" customHeight="1">
      <c r="B27" s="333" t="s">
        <v>404</v>
      </c>
    </row>
    <row r="28" spans="1:7" ht="56" customHeight="1">
      <c r="B28" s="333" t="s">
        <v>362</v>
      </c>
    </row>
    <row r="29" spans="1:7" ht="34" customHeight="1">
      <c r="B29" s="333" t="s">
        <v>363</v>
      </c>
    </row>
    <row r="30" spans="1:7" ht="21" customHeight="1">
      <c r="A30" s="737"/>
      <c r="B30" s="736" t="s">
        <v>463</v>
      </c>
    </row>
    <row r="31" spans="1:7" ht="21" customHeight="1">
      <c r="A31" s="737"/>
      <c r="B31" s="736"/>
    </row>
    <row r="32" spans="1:7" ht="21" customHeight="1">
      <c r="A32" s="737"/>
      <c r="B32" s="736"/>
    </row>
    <row r="33" spans="2:2" ht="21" customHeight="1">
      <c r="B33" s="736" t="s">
        <v>556</v>
      </c>
    </row>
    <row r="34" spans="2:2" ht="21" customHeight="1">
      <c r="B34" s="736"/>
    </row>
    <row r="35" spans="2:2" ht="27" customHeight="1">
      <c r="B35" s="736"/>
    </row>
    <row r="36" spans="2:2" ht="22" customHeight="1">
      <c r="B36" s="736" t="s">
        <v>557</v>
      </c>
    </row>
    <row r="37" spans="2:2" ht="66" customHeight="1">
      <c r="B37" s="736"/>
    </row>
    <row r="38" spans="2:2">
      <c r="B38" s="396"/>
    </row>
    <row r="39" spans="2:2" ht="17">
      <c r="B39" s="398" t="s">
        <v>364</v>
      </c>
    </row>
    <row r="40" spans="2:2" ht="51">
      <c r="B40" s="395" t="s">
        <v>558</v>
      </c>
    </row>
    <row r="41" spans="2:2">
      <c r="B41" s="395"/>
    </row>
    <row r="42" spans="2:2" ht="17">
      <c r="B42" s="398" t="s">
        <v>365</v>
      </c>
    </row>
    <row r="43" spans="2:2" ht="85">
      <c r="B43" s="395" t="s">
        <v>498</v>
      </c>
    </row>
    <row r="44" spans="2:2">
      <c r="B44" s="395"/>
    </row>
    <row r="45" spans="2:2" ht="51">
      <c r="B45" s="395" t="s">
        <v>533</v>
      </c>
    </row>
    <row r="46" spans="2:2">
      <c r="B46" s="395"/>
    </row>
    <row r="47" spans="2:2" ht="17">
      <c r="B47" s="398" t="s">
        <v>369</v>
      </c>
    </row>
    <row r="48" spans="2:2">
      <c r="B48" s="119" t="s">
        <v>132</v>
      </c>
    </row>
    <row r="49" spans="2:2" ht="16" customHeight="1">
      <c r="B49" s="199" t="s">
        <v>179</v>
      </c>
    </row>
    <row r="50" spans="2:2" ht="38" customHeight="1">
      <c r="B50" s="201" t="s">
        <v>180</v>
      </c>
    </row>
    <row r="51" spans="2:2" ht="20" customHeight="1">
      <c r="B51" s="200" t="s">
        <v>174</v>
      </c>
    </row>
    <row r="52" spans="2:2">
      <c r="B52" s="200" t="s">
        <v>175</v>
      </c>
    </row>
    <row r="53" spans="2:2" ht="19" customHeight="1">
      <c r="B53" s="202" t="s">
        <v>181</v>
      </c>
    </row>
    <row r="54" spans="2:2" ht="22" customHeight="1">
      <c r="B54" s="200" t="s">
        <v>182</v>
      </c>
    </row>
    <row r="55" spans="2:2" ht="55" customHeight="1">
      <c r="B55" s="400" t="s">
        <v>368</v>
      </c>
    </row>
    <row r="56" spans="2:2" ht="16" customHeight="1">
      <c r="B56" s="739" t="s">
        <v>538</v>
      </c>
    </row>
    <row r="57" spans="2:2" ht="16" hidden="1" customHeight="1">
      <c r="B57" s="739"/>
    </row>
    <row r="58" spans="2:2">
      <c r="B58" s="185"/>
    </row>
    <row r="59" spans="2:2" ht="17">
      <c r="B59" s="186" t="s">
        <v>366</v>
      </c>
    </row>
    <row r="60" spans="2:2" ht="34">
      <c r="B60" s="184" t="s">
        <v>447</v>
      </c>
    </row>
    <row r="61" spans="2:2">
      <c r="B61" s="184"/>
    </row>
    <row r="62" spans="2:2" ht="17">
      <c r="B62" s="186" t="s">
        <v>133</v>
      </c>
    </row>
    <row r="63" spans="2:2" ht="34">
      <c r="B63" s="185" t="s">
        <v>405</v>
      </c>
    </row>
    <row r="64" spans="2:2" ht="17">
      <c r="B64" s="187" t="s">
        <v>406</v>
      </c>
    </row>
    <row r="65" spans="2:2" ht="17">
      <c r="B65" s="188" t="s">
        <v>407</v>
      </c>
    </row>
    <row r="66" spans="2:2" ht="55" customHeight="1">
      <c r="B66" s="189" t="s">
        <v>410</v>
      </c>
    </row>
    <row r="67" spans="2:2" ht="20" customHeight="1">
      <c r="B67" s="190" t="s">
        <v>408</v>
      </c>
    </row>
    <row r="68" spans="2:2" ht="17">
      <c r="B68" s="186" t="s">
        <v>367</v>
      </c>
    </row>
    <row r="69" spans="2:2">
      <c r="B69" s="184"/>
    </row>
    <row r="70" spans="2:2" ht="17">
      <c r="B70" s="191" t="s">
        <v>134</v>
      </c>
    </row>
    <row r="71" spans="2:2" ht="16" customHeight="1">
      <c r="B71" s="740" t="s">
        <v>409</v>
      </c>
    </row>
    <row r="72" spans="2:2">
      <c r="B72" s="740"/>
    </row>
    <row r="73" spans="2:2" ht="50" customHeight="1">
      <c r="B73" s="740"/>
    </row>
    <row r="74" spans="2:2" s="181" customFormat="1" ht="12" customHeight="1">
      <c r="B74" s="192"/>
    </row>
    <row r="75" spans="2:2" s="181" customFormat="1" ht="17" customHeight="1">
      <c r="B75" s="463" t="s">
        <v>420</v>
      </c>
    </row>
    <row r="76" spans="2:2" s="181" customFormat="1" ht="35" customHeight="1">
      <c r="B76" s="463" t="s">
        <v>560</v>
      </c>
    </row>
    <row r="77" spans="2:2">
      <c r="B77" s="192"/>
    </row>
    <row r="78" spans="2:2" ht="17">
      <c r="B78" s="193" t="s">
        <v>165</v>
      </c>
    </row>
    <row r="79" spans="2:2" ht="17">
      <c r="B79" s="194" t="s">
        <v>166</v>
      </c>
    </row>
    <row r="80" spans="2:2" ht="34">
      <c r="B80" s="194" t="s">
        <v>559</v>
      </c>
    </row>
    <row r="81" spans="2:2" ht="17">
      <c r="B81" s="194" t="s">
        <v>173</v>
      </c>
    </row>
    <row r="82" spans="2:2" ht="33" customHeight="1">
      <c r="B82" s="194" t="s">
        <v>411</v>
      </c>
    </row>
    <row r="83" spans="2:2">
      <c r="B83" s="184"/>
    </row>
    <row r="84" spans="2:2" ht="17">
      <c r="B84" s="399" t="s">
        <v>135</v>
      </c>
    </row>
    <row r="85" spans="2:2" ht="16" customHeight="1">
      <c r="B85" s="735" t="s">
        <v>562</v>
      </c>
    </row>
    <row r="86" spans="2:2">
      <c r="B86" s="735"/>
    </row>
    <row r="87" spans="2:2">
      <c r="B87" s="735"/>
    </row>
    <row r="88" spans="2:2" s="181" customFormat="1">
      <c r="B88" s="195"/>
    </row>
    <row r="89" spans="2:2" ht="17">
      <c r="B89" s="186" t="s">
        <v>107</v>
      </c>
    </row>
    <row r="90" spans="2:2" ht="16" customHeight="1">
      <c r="B90" s="734" t="s">
        <v>685</v>
      </c>
    </row>
    <row r="91" spans="2:2">
      <c r="B91" s="734"/>
    </row>
    <row r="92" spans="2:2">
      <c r="B92" s="734"/>
    </row>
    <row r="93" spans="2:2" ht="52" customHeight="1">
      <c r="B93" s="734"/>
    </row>
    <row r="94" spans="2:2" ht="65" customHeight="1">
      <c r="B94" s="464" t="s">
        <v>684</v>
      </c>
    </row>
    <row r="95" spans="2:2" ht="19" customHeight="1">
      <c r="B95" s="464"/>
    </row>
    <row r="96" spans="2:2">
      <c r="B96" s="465" t="s">
        <v>449</v>
      </c>
    </row>
    <row r="97" spans="2:2" ht="38" customHeight="1">
      <c r="B97" s="464" t="s">
        <v>421</v>
      </c>
    </row>
    <row r="98" spans="2:2">
      <c r="B98" s="88" t="s">
        <v>422</v>
      </c>
    </row>
  </sheetData>
  <sheetProtection sheet="1" objects="1" scenarios="1"/>
  <mergeCells count="9">
    <mergeCell ref="B8:B9"/>
    <mergeCell ref="B56:B57"/>
    <mergeCell ref="B71:B73"/>
    <mergeCell ref="B90:B93"/>
    <mergeCell ref="B85:B87"/>
    <mergeCell ref="B30:B32"/>
    <mergeCell ref="B33:B35"/>
    <mergeCell ref="A30:A32"/>
    <mergeCell ref="B36:B37"/>
  </mergeCells>
  <phoneticPr fontId="5" type="noConversion"/>
  <pageMargins left="0.25" right="0.25" top="0.75" bottom="0.75" header="0.3" footer="0.3"/>
  <pageSetup paperSize="9" scale="53" orientation="portrait" horizontalDpi="4294967292" verticalDpi="4294967292"/>
  <rowBreaks count="1" manualBreakCount="1">
    <brk id="37" min="1" max="1"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GC107"/>
  <sheetViews>
    <sheetView zoomScale="90" zoomScaleNormal="90" workbookViewId="0">
      <selection activeCell="GI25" sqref="GI2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4" width="10.83203125" hidden="1" customWidth="1"/>
    <col min="185" max="185" width="11.16406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89"/>
      <c r="Y1"/>
      <c r="Z1" s="89"/>
      <c r="AA1" s="89"/>
      <c r="AE1" s="89"/>
      <c r="AG1" s="89"/>
      <c r="CV1" s="244"/>
      <c r="CW1" s="244"/>
      <c r="CY1"/>
      <c r="CZ1"/>
    </row>
    <row r="2" spans="1:185" ht="21" thickBot="1">
      <c r="A2" s="91">
        <v>11</v>
      </c>
      <c r="B2" s="1101"/>
      <c r="C2" s="1101"/>
      <c r="D2" s="1101"/>
      <c r="E2" s="1101"/>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0" t="s">
        <v>309</v>
      </c>
      <c r="B3" s="1131"/>
      <c r="C3" s="1131"/>
      <c r="D3" s="1131"/>
      <c r="E3" s="1131"/>
      <c r="F3" s="1131"/>
      <c r="G3" s="1131"/>
      <c r="H3" s="1131"/>
      <c r="I3" s="1131"/>
      <c r="J3" s="1131"/>
      <c r="K3" s="1131"/>
      <c r="L3" s="1131"/>
      <c r="M3" s="1131"/>
      <c r="N3" s="1131"/>
      <c r="O3" s="1131"/>
      <c r="P3" s="1131"/>
      <c r="Q3" s="1131"/>
      <c r="R3" s="1131"/>
      <c r="S3" s="1131"/>
      <c r="T3" s="1131"/>
      <c r="U3" s="1131"/>
      <c r="V3" s="1131"/>
      <c r="W3" s="1131"/>
      <c r="X3" s="1132"/>
      <c r="Y3" s="89"/>
      <c r="Z3"/>
      <c r="AC3" s="89"/>
      <c r="AD3" s="89"/>
      <c r="AF3" s="89"/>
      <c r="CT3" s="244"/>
      <c r="CU3" s="244"/>
      <c r="CY3"/>
      <c r="CZ3"/>
      <c r="FI3" s="893" t="s">
        <v>623</v>
      </c>
      <c r="FJ3" s="894"/>
      <c r="FK3" s="894"/>
      <c r="FL3" s="894"/>
      <c r="FM3" s="894"/>
      <c r="FN3" s="894"/>
      <c r="FO3" s="894"/>
      <c r="FP3" s="894"/>
      <c r="FQ3" s="894"/>
      <c r="FR3" s="894"/>
      <c r="FS3" s="894"/>
      <c r="FT3" s="894"/>
      <c r="FU3" s="894"/>
      <c r="FV3" s="894"/>
      <c r="FW3" s="894"/>
      <c r="FX3" s="894"/>
      <c r="FY3" s="894"/>
      <c r="FZ3" s="894"/>
      <c r="GA3" s="894"/>
      <c r="GB3" s="894"/>
      <c r="GC3" s="895"/>
    </row>
    <row r="4" spans="1:185" ht="254" customHeight="1" thickBot="1">
      <c r="A4" s="930" t="s">
        <v>431</v>
      </c>
      <c r="B4" s="931"/>
      <c r="C4" s="931"/>
      <c r="D4" s="931"/>
      <c r="E4" s="935" t="s">
        <v>310</v>
      </c>
      <c r="F4" s="935"/>
      <c r="G4" s="935"/>
      <c r="H4" s="276" t="s">
        <v>413</v>
      </c>
      <c r="I4" s="432" t="s">
        <v>466</v>
      </c>
      <c r="J4" s="432" t="s">
        <v>467</v>
      </c>
      <c r="K4" s="946" t="s">
        <v>514</v>
      </c>
      <c r="L4" s="946"/>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5" t="s">
        <v>621</v>
      </c>
      <c r="FJ4" s="745"/>
      <c r="FK4" s="745"/>
      <c r="FL4" s="745"/>
      <c r="FM4" t="s">
        <v>614</v>
      </c>
      <c r="FO4" s="745" t="s">
        <v>620</v>
      </c>
      <c r="FP4" s="745"/>
      <c r="FQ4" s="745"/>
      <c r="FR4" s="745"/>
    </row>
    <row r="5" spans="1:185" ht="26" customHeight="1" thickBot="1">
      <c r="A5" s="947" t="str">
        <f>""&amp;A7&amp;" måneds kalender for: "&amp;Stamoplysninger!E8&amp;". Måneden vedr. normperioden: "&amp;Stamoplysninger!E11&amp;" - "&amp;Stamoplysninger!G11&amp;"."</f>
        <v>November måneds kalender for: . Måneden vedr. normperioden:  - .</v>
      </c>
      <c r="B5" s="948"/>
      <c r="C5" s="948"/>
      <c r="D5" s="948"/>
      <c r="E5" s="948"/>
      <c r="F5" s="948"/>
      <c r="G5" s="948"/>
      <c r="H5" s="948"/>
      <c r="I5" s="948"/>
      <c r="J5" s="948"/>
      <c r="K5" s="948"/>
      <c r="L5" s="948"/>
      <c r="M5" s="948"/>
      <c r="N5" s="948"/>
      <c r="O5" s="948"/>
      <c r="P5" s="948"/>
      <c r="Q5" s="948"/>
      <c r="R5" s="948"/>
      <c r="S5" s="940" t="s">
        <v>396</v>
      </c>
      <c r="T5" s="941"/>
      <c r="U5" s="941"/>
      <c r="V5" s="941"/>
      <c r="W5" s="941"/>
      <c r="X5" s="942"/>
      <c r="Y5" s="242"/>
      <c r="Z5" s="89"/>
      <c r="AB5" s="89"/>
      <c r="AC5" s="89"/>
      <c r="AH5" s="89"/>
      <c r="AI5" s="89"/>
      <c r="CX5" s="244"/>
      <c r="CZ5"/>
      <c r="FI5" s="896" t="s">
        <v>607</v>
      </c>
      <c r="FJ5" s="896"/>
      <c r="FK5" s="896"/>
      <c r="FL5" s="896"/>
      <c r="FM5" s="896"/>
      <c r="FN5" s="896"/>
      <c r="FO5" s="896"/>
      <c r="FP5" s="896"/>
      <c r="FQ5" s="896"/>
      <c r="FR5" s="896"/>
      <c r="FU5" t="s">
        <v>622</v>
      </c>
      <c r="FV5" t="s">
        <v>615</v>
      </c>
      <c r="FX5" t="s">
        <v>616</v>
      </c>
      <c r="FZ5" t="s">
        <v>617</v>
      </c>
      <c r="GB5" s="518" t="s">
        <v>618</v>
      </c>
    </row>
    <row r="6" spans="1:185" ht="47" customHeight="1">
      <c r="A6" s="324">
        <f>August!A7</f>
        <v>2024</v>
      </c>
      <c r="B6" s="238"/>
      <c r="C6" s="239"/>
      <c r="D6" s="240"/>
      <c r="E6" s="955" t="s">
        <v>470</v>
      </c>
      <c r="F6" s="956"/>
      <c r="G6" s="957"/>
      <c r="H6" s="321" t="s">
        <v>323</v>
      </c>
      <c r="I6" s="903" t="s">
        <v>465</v>
      </c>
      <c r="J6" s="953" t="s">
        <v>486</v>
      </c>
      <c r="K6" s="949" t="s">
        <v>302</v>
      </c>
      <c r="L6" s="950"/>
      <c r="M6" s="322" t="s">
        <v>303</v>
      </c>
      <c r="N6" s="903" t="s">
        <v>446</v>
      </c>
      <c r="O6" s="903" t="s">
        <v>307</v>
      </c>
      <c r="P6" s="903" t="s">
        <v>455</v>
      </c>
      <c r="Q6" s="903" t="s">
        <v>386</v>
      </c>
      <c r="R6" s="906" t="s">
        <v>515</v>
      </c>
      <c r="S6" s="968" t="s">
        <v>304</v>
      </c>
      <c r="T6" s="969"/>
      <c r="U6" s="969"/>
      <c r="V6" s="969"/>
      <c r="W6" s="969"/>
      <c r="X6" s="970"/>
      <c r="Y6" s="211"/>
      <c r="Z6" s="211"/>
      <c r="AA6" s="905" t="s">
        <v>261</v>
      </c>
      <c r="AB6" s="905"/>
      <c r="AC6" s="905"/>
      <c r="AD6" s="905"/>
      <c r="AE6" s="905"/>
      <c r="AF6" s="208"/>
      <c r="AG6" s="905" t="s">
        <v>222</v>
      </c>
      <c r="AH6" s="905"/>
      <c r="AI6" s="905"/>
      <c r="AJ6" s="905"/>
      <c r="AK6" s="905"/>
      <c r="AL6" s="905" t="s">
        <v>223</v>
      </c>
      <c r="AM6" s="905"/>
      <c r="AN6" s="905"/>
      <c r="AO6" s="905"/>
      <c r="AP6" s="905"/>
      <c r="AQ6" s="905" t="s">
        <v>224</v>
      </c>
      <c r="AR6" s="905"/>
      <c r="AS6" s="905"/>
      <c r="AT6" s="905"/>
      <c r="AU6" s="905"/>
      <c r="AV6" s="905" t="s">
        <v>225</v>
      </c>
      <c r="AW6" s="905"/>
      <c r="AX6" s="905"/>
      <c r="AY6" s="905"/>
      <c r="AZ6" s="905"/>
      <c r="BA6" s="295"/>
      <c r="BB6" s="208"/>
      <c r="BC6" s="905" t="s">
        <v>264</v>
      </c>
      <c r="BD6" s="905"/>
      <c r="BE6" s="905"/>
      <c r="BF6" s="905"/>
      <c r="BG6" s="905" t="s">
        <v>227</v>
      </c>
      <c r="BH6" s="905"/>
      <c r="BI6" s="905"/>
      <c r="BJ6" s="905"/>
      <c r="BK6" s="905"/>
      <c r="BL6" s="905" t="s">
        <v>228</v>
      </c>
      <c r="BM6" s="905"/>
      <c r="BN6" s="905"/>
      <c r="BO6" s="905"/>
      <c r="BP6" s="905"/>
      <c r="BQ6" s="905" t="s">
        <v>229</v>
      </c>
      <c r="BR6" s="905"/>
      <c r="BS6" s="905"/>
      <c r="BT6" s="905"/>
      <c r="BU6" s="905"/>
      <c r="BV6" s="905" t="s">
        <v>230</v>
      </c>
      <c r="BW6" s="905"/>
      <c r="BX6" s="905"/>
      <c r="BY6" s="905"/>
      <c r="BZ6" s="905"/>
      <c r="CD6" s="905" t="s">
        <v>265</v>
      </c>
      <c r="CE6" s="905"/>
      <c r="CF6" s="905"/>
      <c r="CG6" s="905"/>
      <c r="CH6" s="905"/>
      <c r="CI6" s="905" t="s">
        <v>267</v>
      </c>
      <c r="CJ6" s="905"/>
      <c r="CK6" s="905"/>
      <c r="CL6" s="905"/>
      <c r="CM6" s="905"/>
      <c r="CN6" s="905" t="s">
        <v>266</v>
      </c>
      <c r="CO6" s="905"/>
      <c r="CP6" s="905"/>
      <c r="CQ6" s="905"/>
      <c r="CR6" s="905"/>
      <c r="CS6" s="905" t="s">
        <v>268</v>
      </c>
      <c r="CT6" s="905"/>
      <c r="CU6" s="905"/>
      <c r="CV6" s="905"/>
      <c r="CW6" s="905"/>
      <c r="CX6" s="244"/>
      <c r="CZ6"/>
      <c r="DA6" s="745" t="s">
        <v>212</v>
      </c>
      <c r="DB6" s="745"/>
      <c r="DC6" s="745"/>
      <c r="DD6" s="745"/>
      <c r="DE6" s="745"/>
      <c r="DO6" s="1064" t="s">
        <v>319</v>
      </c>
      <c r="DP6" s="1065"/>
      <c r="DQ6" s="1065"/>
      <c r="DR6" s="1065"/>
      <c r="DS6" s="1065"/>
      <c r="DT6" s="1065"/>
      <c r="DU6" s="1065"/>
      <c r="DV6" s="1066"/>
      <c r="DW6" s="1067" t="s">
        <v>319</v>
      </c>
      <c r="DX6" s="1068"/>
      <c r="DY6" s="1068"/>
      <c r="DZ6" s="1068"/>
      <c r="EA6" s="1068"/>
      <c r="EB6" s="1069"/>
      <c r="EC6" s="1070" t="s">
        <v>375</v>
      </c>
      <c r="ED6" s="1071"/>
      <c r="EE6" s="1071"/>
      <c r="EF6" s="1071"/>
      <c r="EG6" s="1071"/>
      <c r="EH6" s="1071"/>
      <c r="EI6" s="1071"/>
      <c r="EJ6" s="1072"/>
      <c r="EK6" s="1073" t="s">
        <v>320</v>
      </c>
      <c r="EL6" s="1074"/>
      <c r="EM6" s="1074"/>
      <c r="EN6" s="1075"/>
      <c r="EO6" s="1073" t="s">
        <v>324</v>
      </c>
      <c r="EP6" s="1074"/>
      <c r="EQ6" s="1074"/>
      <c r="ER6" s="1075"/>
      <c r="ES6" s="888" t="s">
        <v>378</v>
      </c>
      <c r="ET6" s="889"/>
      <c r="EU6" s="889"/>
      <c r="EV6" s="890"/>
      <c r="EW6" s="888" t="s">
        <v>379</v>
      </c>
      <c r="EX6" s="889"/>
      <c r="EY6" s="889"/>
      <c r="EZ6" s="890"/>
      <c r="FA6" s="888" t="s">
        <v>380</v>
      </c>
      <c r="FB6" s="889"/>
      <c r="FC6" s="889"/>
      <c r="FD6" s="890"/>
      <c r="FE6" s="888" t="s">
        <v>381</v>
      </c>
      <c r="FF6" s="889"/>
      <c r="FG6" s="889"/>
      <c r="FH6" s="890"/>
      <c r="FI6" s="898" t="s">
        <v>592</v>
      </c>
      <c r="FJ6" s="899"/>
      <c r="FK6" s="899"/>
      <c r="FL6" s="1076"/>
      <c r="FM6" s="897" t="s">
        <v>380</v>
      </c>
      <c r="FN6" s="897"/>
      <c r="FO6" s="898" t="s">
        <v>619</v>
      </c>
      <c r="FP6" s="899"/>
      <c r="FQ6" s="899"/>
      <c r="FR6" s="900"/>
      <c r="FS6" s="901" t="s">
        <v>609</v>
      </c>
      <c r="FT6" s="902"/>
      <c r="FU6" t="s">
        <v>612</v>
      </c>
      <c r="FV6" s="897" t="s">
        <v>378</v>
      </c>
      <c r="FW6" s="897"/>
      <c r="FX6" s="897" t="s">
        <v>379</v>
      </c>
      <c r="FY6" s="897"/>
      <c r="FZ6" s="897" t="s">
        <v>381</v>
      </c>
      <c r="GA6" s="897"/>
      <c r="GB6" s="897" t="s">
        <v>377</v>
      </c>
      <c r="GC6" s="897"/>
    </row>
    <row r="7" spans="1:185" ht="185" customHeight="1">
      <c r="A7" s="1012" t="s">
        <v>238</v>
      </c>
      <c r="B7" s="1013"/>
      <c r="C7" s="1013"/>
      <c r="D7" s="1014"/>
      <c r="E7" s="958"/>
      <c r="F7" s="959"/>
      <c r="G7" s="960"/>
      <c r="H7" s="967" t="s">
        <v>485</v>
      </c>
      <c r="I7" s="952"/>
      <c r="J7" s="954"/>
      <c r="K7" s="323" t="s">
        <v>516</v>
      </c>
      <c r="L7" s="323" t="s">
        <v>517</v>
      </c>
      <c r="M7" s="323" t="s">
        <v>518</v>
      </c>
      <c r="N7" s="904"/>
      <c r="O7" s="904"/>
      <c r="P7" s="904"/>
      <c r="Q7" s="904"/>
      <c r="R7" s="907"/>
      <c r="S7" s="484" t="s">
        <v>668</v>
      </c>
      <c r="T7" s="322" t="s">
        <v>306</v>
      </c>
      <c r="U7" s="322" t="s">
        <v>400</v>
      </c>
      <c r="V7" s="437" t="s">
        <v>438</v>
      </c>
      <c r="W7" s="437" t="s">
        <v>437</v>
      </c>
      <c r="X7" s="438" t="s">
        <v>397</v>
      </c>
      <c r="Y7" s="211" t="s">
        <v>279</v>
      </c>
      <c r="Z7" s="430"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1015"/>
      <c r="B8" s="1016"/>
      <c r="C8" s="1016"/>
      <c r="D8" s="1017"/>
      <c r="E8" s="961"/>
      <c r="F8" s="962"/>
      <c r="G8" s="963"/>
      <c r="H8" s="904"/>
      <c r="I8" s="943" t="s">
        <v>382</v>
      </c>
      <c r="J8" s="951"/>
      <c r="K8" s="943" t="s">
        <v>325</v>
      </c>
      <c r="L8" s="944"/>
      <c r="M8" s="944"/>
      <c r="N8" s="944"/>
      <c r="O8" s="944"/>
      <c r="P8" s="944"/>
      <c r="Q8" s="944"/>
      <c r="R8" s="944"/>
      <c r="S8" s="971" t="s">
        <v>382</v>
      </c>
      <c r="T8" s="944"/>
      <c r="U8" s="951"/>
      <c r="V8" s="1105" t="s">
        <v>383</v>
      </c>
      <c r="W8" s="1106"/>
      <c r="X8" s="1107"/>
      <c r="Y8" s="211"/>
      <c r="Z8" s="430"/>
      <c r="AA8" s="296"/>
      <c r="BB8" s="225"/>
      <c r="CA8" s="111"/>
      <c r="CB8" s="230"/>
      <c r="CC8" s="296"/>
      <c r="CX8" s="244"/>
      <c r="DA8" s="244"/>
      <c r="DB8" s="244"/>
      <c r="DC8" s="244"/>
      <c r="DD8" s="244"/>
      <c r="DE8" s="244"/>
      <c r="DF8" s="244"/>
      <c r="DG8" s="244"/>
      <c r="DH8" t="s">
        <v>492</v>
      </c>
      <c r="DI8" t="s">
        <v>493</v>
      </c>
      <c r="DJ8" t="s">
        <v>494</v>
      </c>
      <c r="DO8" s="643"/>
      <c r="DS8" s="1078" t="s">
        <v>162</v>
      </c>
      <c r="DT8" s="1078"/>
      <c r="DU8" s="1078"/>
      <c r="DV8" s="1079"/>
      <c r="DW8" s="643"/>
      <c r="DZ8" s="1080" t="s">
        <v>162</v>
      </c>
      <c r="EA8" s="1080"/>
      <c r="EB8" s="1081"/>
      <c r="EG8" s="1080" t="s">
        <v>162</v>
      </c>
      <c r="EH8" s="1080"/>
      <c r="EI8" s="1080"/>
      <c r="EJ8" s="644"/>
      <c r="EK8" s="279"/>
      <c r="EL8" s="247"/>
      <c r="EM8" s="891" t="s">
        <v>162</v>
      </c>
      <c r="EN8" s="892"/>
      <c r="EO8" s="279"/>
      <c r="EP8" s="247"/>
      <c r="EQ8" s="891" t="s">
        <v>162</v>
      </c>
      <c r="ER8" s="892"/>
      <c r="ES8" s="279"/>
      <c r="ET8" s="247"/>
      <c r="EU8" s="891" t="s">
        <v>162</v>
      </c>
      <c r="EV8" s="892"/>
      <c r="EW8" s="279"/>
      <c r="EX8" s="247"/>
      <c r="EY8" s="891" t="s">
        <v>162</v>
      </c>
      <c r="EZ8" s="892"/>
      <c r="FA8" s="279"/>
      <c r="FB8" s="247"/>
      <c r="FC8" s="891" t="s">
        <v>162</v>
      </c>
      <c r="FD8" s="892"/>
      <c r="FE8" s="279"/>
      <c r="FF8" s="247"/>
      <c r="FG8" s="891" t="s">
        <v>162</v>
      </c>
      <c r="FH8" s="892"/>
      <c r="FI8" s="279"/>
      <c r="FJ8" s="247"/>
      <c r="FK8" s="891" t="s">
        <v>162</v>
      </c>
      <c r="FL8" s="892"/>
      <c r="FN8" s="636" t="s">
        <v>160</v>
      </c>
      <c r="FO8" s="279"/>
      <c r="FP8" s="247"/>
      <c r="FQ8" s="891" t="s">
        <v>162</v>
      </c>
      <c r="FR8" s="1077"/>
      <c r="FS8" s="279"/>
      <c r="FT8" s="683" t="s">
        <v>160</v>
      </c>
      <c r="FW8" s="636" t="s">
        <v>160</v>
      </c>
      <c r="FY8" s="636" t="s">
        <v>160</v>
      </c>
      <c r="GA8" s="636" t="s">
        <v>160</v>
      </c>
      <c r="GC8" s="636" t="s">
        <v>160</v>
      </c>
    </row>
    <row r="9" spans="1:185">
      <c r="A9" s="241">
        <f>IF(ISNUMBER(A7),A7+1,1)</f>
        <v>1</v>
      </c>
      <c r="B9" s="127" t="str">
        <f t="shared" ref="B9:B38" si="0">CHOOSE(MOD(WEEKDAY(DATE(A$6,A$2,A9)),7)+1,"lø","sø","ma","ti","on","to","fr",)</f>
        <v>fr</v>
      </c>
      <c r="C9" s="128" t="s">
        <v>206</v>
      </c>
      <c r="D9" s="129" t="str">
        <f t="shared" ref="D9:D38" si="1">IF(B9="ma",(DATE(A$6,A$2,A9)-DATE(A$6,1,1)+7)/7,"")</f>
        <v/>
      </c>
      <c r="E9" s="932"/>
      <c r="F9" s="933"/>
      <c r="G9" s="934"/>
      <c r="H9" s="294"/>
      <c r="I9" s="519"/>
      <c r="J9" s="407"/>
      <c r="K9" s="374"/>
      <c r="L9" s="374"/>
      <c r="M9" s="374"/>
      <c r="N9" s="313">
        <f>BA9</f>
        <v>0</v>
      </c>
      <c r="O9" s="313">
        <f>CA9</f>
        <v>0</v>
      </c>
      <c r="P9" s="313">
        <f>IF(Stamoplysninger!$H$29="JA",November!DG9,CX9)</f>
        <v>0</v>
      </c>
      <c r="Q9" s="313">
        <f>IF(OR(C9="Lejrskole",C9="Ekskursion"),0,N9-O9-P9)</f>
        <v>0</v>
      </c>
      <c r="R9" s="314"/>
      <c r="S9" s="319"/>
      <c r="T9" s="320"/>
      <c r="U9" s="320"/>
      <c r="V9" s="429"/>
      <c r="W9" s="429"/>
      <c r="X9" s="635"/>
      <c r="Y9">
        <f>IF($S$9="x",V9-N9,0)</f>
        <v>0</v>
      </c>
      <c r="Z9" s="431">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f>IF(AND(C9="Skema 1",B9="fr"),Arbejdstidsoversigt!$E$76,"")</f>
        <v>0</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8" si="7">SUM(AG9:AK9)*24</f>
        <v>0</v>
      </c>
      <c r="BC9" s="1">
        <f>IF($C$9="Lejrskole",$L$9,0)</f>
        <v>0</v>
      </c>
      <c r="BD9" s="1">
        <f t="shared" ref="BD9:BD38" si="8">IF(C9="Ekskursion",L9,0)</f>
        <v>0</v>
      </c>
      <c r="BE9" s="1">
        <f t="shared" ref="BE9:BE38" si="9">IF(C9="fagdag",L9,0)</f>
        <v>0</v>
      </c>
      <c r="BF9" s="1">
        <f t="shared" ref="BF9:BF38" si="10">IF(C9="emnedag",L9,0)</f>
        <v>0</v>
      </c>
      <c r="BG9" s="209" t="str">
        <f>IF(AND(C9="Skema 1",B9="ma"),Skemaoplysninger!$E$30,"")</f>
        <v/>
      </c>
      <c r="BH9" s="209" t="str">
        <f>IF(AND(C9="Skema 1",B9="ti"),Skemaoplysninger!$G$30,"")</f>
        <v/>
      </c>
      <c r="BI9" s="209" t="str">
        <f>IF(AND(C9="Skema 1",B9="on"),Skemaoplysninger!$I$30,"")</f>
        <v/>
      </c>
      <c r="BJ9" s="209" t="str">
        <f>IF(AND(C9="Skema 1",B9="to"),Skemaoplysninger!$K$30,"")</f>
        <v/>
      </c>
      <c r="BK9" s="209">
        <f>IF(AND(C9="Skema 1",B9="fr"),Skemaoplysninger!$M$30,"")</f>
        <v>0</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8" si="11">IF(C9="fagdag",M9,0)</f>
        <v>0</v>
      </c>
      <c r="CC9" s="1">
        <f t="shared" ref="CC9:CC38" si="12">IF(C9="emnedag",M9,0)</f>
        <v>0</v>
      </c>
      <c r="CD9" s="209" t="str">
        <f>IF(AND(C9="Skema 1",B9="ma"),Skemaoplysninger!$E$31,"")</f>
        <v/>
      </c>
      <c r="CE9" s="209" t="str">
        <f>IF(AND(C9="Skema 1",B9="ti"),Skemaoplysninger!$G$31,"")</f>
        <v/>
      </c>
      <c r="CF9" s="209" t="str">
        <f>IF(AND(C9="Skema 1",B9="on"),Skemaoplysninger!$I$31,"")</f>
        <v/>
      </c>
      <c r="CG9" s="209" t="str">
        <f>IF(AND(C9="Skema 1",B9="to"),Skemaoplysninger!$K$31,"")</f>
        <v/>
      </c>
      <c r="CH9" s="209">
        <f>IF(AND(C9="Skema 1",B9="fr"),Skemaoplysninger!$M$31,"")</f>
        <v>0</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9" si="13">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4">IF(AND(I9="X",S9="X"),V9,0)</f>
        <v>0</v>
      </c>
      <c r="FT9" s="649">
        <f t="shared" ref="FT9:FT37" si="15">IF(AND(AND(C9="ikke relevant",I9="X",S9="X")),V9,0)</f>
        <v>0</v>
      </c>
      <c r="FU9">
        <f t="shared" ref="FU9:FU28" si="16">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7">IF(ISNUMBER(A9),A9+1,1)</f>
        <v>2</v>
      </c>
      <c r="B10" s="127" t="str">
        <f t="shared" si="0"/>
        <v>lø</v>
      </c>
      <c r="C10" s="128" t="s">
        <v>120</v>
      </c>
      <c r="D10" s="129" t="str">
        <f t="shared" si="1"/>
        <v/>
      </c>
      <c r="E10" s="932"/>
      <c r="F10" s="933"/>
      <c r="G10" s="934"/>
      <c r="H10" s="294"/>
      <c r="I10" s="407"/>
      <c r="J10" s="407"/>
      <c r="K10" s="374"/>
      <c r="L10" s="374"/>
      <c r="M10" s="374"/>
      <c r="N10" s="313">
        <f t="shared" ref="N10:N38" si="18">BA10</f>
        <v>0</v>
      </c>
      <c r="O10" s="313">
        <f t="shared" ref="O10:O38" si="19">CA10</f>
        <v>0</v>
      </c>
      <c r="P10" s="313">
        <f>IF(Stamoplysninger!$H$29="JA",November!DG10,CX10)</f>
        <v>0</v>
      </c>
      <c r="Q10" s="313">
        <f t="shared" ref="Q10:Q38" si="20">IF(OR(C10="Lejrskole",C10="Ekskursion"),0,N10-O10-P10)</f>
        <v>0</v>
      </c>
      <c r="R10" s="314"/>
      <c r="S10" s="319"/>
      <c r="T10" s="320"/>
      <c r="U10" s="320"/>
      <c r="V10" s="429"/>
      <c r="W10" s="429"/>
      <c r="X10" s="635"/>
      <c r="Y10">
        <f t="shared" ref="Y10:Y38" si="21">IF(S10="x",V10-N10,0)</f>
        <v>0</v>
      </c>
      <c r="Z10" s="431">
        <f t="shared" ref="Z10:Z38" si="22">W10</f>
        <v>0</v>
      </c>
      <c r="AA10" s="1">
        <f t="shared" si="2"/>
        <v>0</v>
      </c>
      <c r="AB10" s="1">
        <f t="shared" si="3"/>
        <v>0</v>
      </c>
      <c r="AC10" s="1">
        <f t="shared" si="4"/>
        <v>0</v>
      </c>
      <c r="AD10" s="1">
        <f t="shared" si="5"/>
        <v>0</v>
      </c>
      <c r="AE10" s="1">
        <f t="shared" si="6"/>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8" si="23">SUM(AA10:AZ10)</f>
        <v>0</v>
      </c>
      <c r="BB10" s="226">
        <f t="shared" si="7"/>
        <v>0</v>
      </c>
      <c r="BC10" s="1">
        <f t="shared" ref="BC10:BC38" si="24">IF(C10="Lejrskole",L10,0)</f>
        <v>0</v>
      </c>
      <c r="BD10" s="1">
        <f t="shared" si="8"/>
        <v>0</v>
      </c>
      <c r="BE10" s="1">
        <f t="shared" si="9"/>
        <v>0</v>
      </c>
      <c r="BF10" s="1">
        <f t="shared" si="10"/>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8" si="25">SUM(BG10:BZ10)*24+SUM(BC10:BF10)</f>
        <v>0</v>
      </c>
      <c r="CB10" s="1">
        <f t="shared" si="11"/>
        <v>0</v>
      </c>
      <c r="CC10" s="1">
        <f t="shared" si="12"/>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8" si="26">SUM(CY10:DF10)</f>
        <v>0</v>
      </c>
      <c r="DH10" t="str">
        <f t="shared" ref="DH10:DH39" si="27">IF(AND(E10&gt;0,H10&gt;0),""&amp;E10&amp;" og "&amp;H10&amp;"","")</f>
        <v/>
      </c>
      <c r="DI10">
        <f t="shared" ref="DI10:DI38" si="28">IF(H10="",E10,"")</f>
        <v>0</v>
      </c>
      <c r="DJ10">
        <f t="shared" ref="DJ10:DJ38" si="29">IF(E10="",H10,"")</f>
        <v>0</v>
      </c>
      <c r="DK10" t="str">
        <f t="shared" si="13"/>
        <v/>
      </c>
      <c r="DL10" t="str">
        <f t="shared" si="13"/>
        <v/>
      </c>
      <c r="DM10" t="str">
        <f t="shared" si="13"/>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4"/>
        <v>0</v>
      </c>
      <c r="FT10" s="649">
        <f t="shared" si="15"/>
        <v>0</v>
      </c>
      <c r="FU10">
        <f t="shared" si="16"/>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7"/>
        <v>3</v>
      </c>
      <c r="B11" s="127" t="str">
        <f t="shared" si="0"/>
        <v>sø</v>
      </c>
      <c r="C11" s="128" t="s">
        <v>120</v>
      </c>
      <c r="D11" s="129" t="str">
        <f t="shared" si="1"/>
        <v/>
      </c>
      <c r="E11" s="932"/>
      <c r="F11" s="933"/>
      <c r="G11" s="934"/>
      <c r="H11" s="294"/>
      <c r="I11" s="407"/>
      <c r="J11" s="407"/>
      <c r="K11" s="374"/>
      <c r="L11" s="374"/>
      <c r="M11" s="374"/>
      <c r="N11" s="313">
        <f t="shared" si="18"/>
        <v>0</v>
      </c>
      <c r="O11" s="313">
        <f t="shared" si="19"/>
        <v>0</v>
      </c>
      <c r="P11" s="313">
        <f>IF(Stamoplysninger!$H$29="JA",November!DG11,CX11)</f>
        <v>0</v>
      </c>
      <c r="Q11" s="313">
        <f t="shared" si="20"/>
        <v>0</v>
      </c>
      <c r="R11" s="314"/>
      <c r="S11" s="319"/>
      <c r="T11" s="320"/>
      <c r="U11" s="320"/>
      <c r="V11" s="429"/>
      <c r="W11" s="429"/>
      <c r="X11" s="635"/>
      <c r="Y11">
        <f t="shared" si="21"/>
        <v>0</v>
      </c>
      <c r="Z11" s="431">
        <f t="shared" si="22"/>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7"/>
        <v>0</v>
      </c>
      <c r="BC11" s="1">
        <f t="shared" si="24"/>
        <v>0</v>
      </c>
      <c r="BD11" s="1">
        <f t="shared" si="8"/>
        <v>0</v>
      </c>
      <c r="BE11" s="1">
        <f t="shared" si="9"/>
        <v>0</v>
      </c>
      <c r="BF11" s="1">
        <f t="shared" si="10"/>
        <v>0</v>
      </c>
      <c r="BG11" s="209" t="str">
        <f>IF(AND(C11="Skema 1",B11="ma"),Skemaoplysninger!$E$30,"")</f>
        <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1"/>
        <v>0</v>
      </c>
      <c r="CC11" s="1">
        <f t="shared" si="12"/>
        <v>0</v>
      </c>
      <c r="CD11" s="209" t="str">
        <f>IF(AND(C11="Skema 1",B11="ma"),Skemaoplysninger!$E$31,"")</f>
        <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3"/>
        <v/>
      </c>
      <c r="DL11" t="str">
        <f t="shared" si="13"/>
        <v/>
      </c>
      <c r="DM11" t="str">
        <f t="shared" si="13"/>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4"/>
        <v>0</v>
      </c>
      <c r="FT11" s="649">
        <f t="shared" si="15"/>
        <v>0</v>
      </c>
      <c r="FU11">
        <f t="shared" si="16"/>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7"/>
        <v>4</v>
      </c>
      <c r="B12" s="127" t="str">
        <f t="shared" si="0"/>
        <v>ma</v>
      </c>
      <c r="C12" s="128" t="s">
        <v>206</v>
      </c>
      <c r="D12" s="129">
        <f t="shared" si="1"/>
        <v>45</v>
      </c>
      <c r="E12" s="932"/>
      <c r="F12" s="933"/>
      <c r="G12" s="934"/>
      <c r="H12" s="294"/>
      <c r="I12" s="519"/>
      <c r="J12" s="407"/>
      <c r="K12" s="374"/>
      <c r="L12" s="374"/>
      <c r="M12" s="374"/>
      <c r="N12" s="313">
        <f t="shared" si="18"/>
        <v>0</v>
      </c>
      <c r="O12" s="313">
        <f t="shared" si="19"/>
        <v>0</v>
      </c>
      <c r="P12" s="313">
        <f>IF(Stamoplysninger!$H$29="JA",November!DG12,CX12)</f>
        <v>0</v>
      </c>
      <c r="Q12" s="313">
        <f t="shared" si="20"/>
        <v>0</v>
      </c>
      <c r="R12" s="314"/>
      <c r="S12" s="319"/>
      <c r="T12" s="320"/>
      <c r="U12" s="320"/>
      <c r="V12" s="429"/>
      <c r="W12" s="429"/>
      <c r="X12" s="635"/>
      <c r="Y12">
        <f t="shared" si="21"/>
        <v>0</v>
      </c>
      <c r="Z12" s="431">
        <f t="shared" si="22"/>
        <v>0</v>
      </c>
      <c r="AA12" s="1">
        <f t="shared" si="2"/>
        <v>0</v>
      </c>
      <c r="AB12" s="1">
        <f t="shared" si="3"/>
        <v>0</v>
      </c>
      <c r="AC12" s="1">
        <f t="shared" si="4"/>
        <v>0</v>
      </c>
      <c r="AD12" s="1">
        <f t="shared" si="5"/>
        <v>0</v>
      </c>
      <c r="AE12" s="1">
        <f t="shared" si="6"/>
        <v>0</v>
      </c>
      <c r="AF12" s="1">
        <f>IF(C12="Orlov",7.4*Stamoplysninger!$E$15,0)</f>
        <v>0</v>
      </c>
      <c r="AG12">
        <f>IF(AND(C12="Skema 1",B12="ma"),Arbejdstidsoversigt!$E$72,"")</f>
        <v>0</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7"/>
        <v>0</v>
      </c>
      <c r="BC12" s="1">
        <f t="shared" si="24"/>
        <v>0</v>
      </c>
      <c r="BD12" s="1">
        <f t="shared" si="8"/>
        <v>0</v>
      </c>
      <c r="BE12" s="1">
        <f t="shared" si="9"/>
        <v>0</v>
      </c>
      <c r="BF12" s="1">
        <f t="shared" si="10"/>
        <v>0</v>
      </c>
      <c r="BG12" s="209">
        <f>IF(AND(C12="Skema 1",B12="ma"),Skemaoplysninger!$E$30,"")</f>
        <v>0</v>
      </c>
      <c r="BH12" s="209" t="str">
        <f>IF(AND(C12="Skema 1",B12="ti"),Skemaoplysninger!$G$30,"")</f>
        <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1"/>
        <v>0</v>
      </c>
      <c r="CC12" s="1">
        <f t="shared" si="12"/>
        <v>0</v>
      </c>
      <c r="CD12" s="209">
        <f>IF(AND(C12="Skema 1",B12="ma"),Skemaoplysninger!$E$31,"")</f>
        <v>0</v>
      </c>
      <c r="CE12" s="209" t="str">
        <f>IF(AND(C12="Skema 1",B12="ti"),Skemaoplysninger!$G$31,"")</f>
        <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3"/>
        <v/>
      </c>
      <c r="DL12" t="str">
        <f t="shared" si="13"/>
        <v/>
      </c>
      <c r="DM12" t="str">
        <f t="shared" si="13"/>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4"/>
        <v>0</v>
      </c>
      <c r="FT12" s="649">
        <f t="shared" si="15"/>
        <v>0</v>
      </c>
      <c r="FU12">
        <f t="shared" si="16"/>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7"/>
        <v>5</v>
      </c>
      <c r="B13" s="127" t="str">
        <f t="shared" si="0"/>
        <v>ti</v>
      </c>
      <c r="C13" s="128" t="s">
        <v>206</v>
      </c>
      <c r="D13" s="129" t="str">
        <f t="shared" si="1"/>
        <v/>
      </c>
      <c r="E13" s="932"/>
      <c r="F13" s="933"/>
      <c r="G13" s="934"/>
      <c r="H13" s="294"/>
      <c r="I13" s="519"/>
      <c r="J13" s="407"/>
      <c r="K13" s="374"/>
      <c r="L13" s="374"/>
      <c r="M13" s="374"/>
      <c r="N13" s="313">
        <f t="shared" si="18"/>
        <v>0</v>
      </c>
      <c r="O13" s="313">
        <f t="shared" si="19"/>
        <v>0</v>
      </c>
      <c r="P13" s="313">
        <f>IF(Stamoplysninger!$H$29="JA",November!DG13,CX13)</f>
        <v>0</v>
      </c>
      <c r="Q13" s="313">
        <f t="shared" si="20"/>
        <v>0</v>
      </c>
      <c r="R13" s="314"/>
      <c r="S13" s="319"/>
      <c r="T13" s="320"/>
      <c r="U13" s="320"/>
      <c r="V13" s="429"/>
      <c r="W13" s="429"/>
      <c r="X13" s="635"/>
      <c r="Y13">
        <f t="shared" si="21"/>
        <v>0</v>
      </c>
      <c r="Z13" s="431">
        <f t="shared" si="22"/>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f>IF(AND(C13="Skema 1",B13="ti"),Arbejdstidsoversigt!$E$73,"")</f>
        <v>0</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7"/>
        <v>0</v>
      </c>
      <c r="BC13" s="1">
        <f t="shared" si="24"/>
        <v>0</v>
      </c>
      <c r="BD13" s="1">
        <f t="shared" si="8"/>
        <v>0</v>
      </c>
      <c r="BE13" s="1">
        <f t="shared" si="9"/>
        <v>0</v>
      </c>
      <c r="BF13" s="1">
        <f t="shared" si="10"/>
        <v>0</v>
      </c>
      <c r="BG13" s="209" t="str">
        <f>IF(AND(C13="Skema 1",B13="ma"),Skemaoplysninger!$E$30,"")</f>
        <v/>
      </c>
      <c r="BH13" s="209">
        <f>IF(AND(C13="Skema 1",B13="ti"),Skemaoplysninger!$G$30,"")</f>
        <v>0</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1"/>
        <v>0</v>
      </c>
      <c r="CC13" s="1">
        <f t="shared" si="12"/>
        <v>0</v>
      </c>
      <c r="CD13" s="209" t="str">
        <f>IF(AND(C13="Skema 1",B13="ma"),Skemaoplysninger!$E$31,"")</f>
        <v/>
      </c>
      <c r="CE13" s="209">
        <f>IF(AND(C13="Skema 1",B13="ti"),Skemaoplysninger!$G$31,"")</f>
        <v>0</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3"/>
        <v/>
      </c>
      <c r="DL13" t="str">
        <f t="shared" si="13"/>
        <v/>
      </c>
      <c r="DM13" t="str">
        <f t="shared" si="13"/>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4"/>
        <v>0</v>
      </c>
      <c r="FT13" s="649">
        <f t="shared" si="15"/>
        <v>0</v>
      </c>
      <c r="FU13">
        <f t="shared" si="16"/>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7"/>
        <v>6</v>
      </c>
      <c r="B14" s="127" t="str">
        <f t="shared" si="0"/>
        <v>on</v>
      </c>
      <c r="C14" s="128" t="s">
        <v>206</v>
      </c>
      <c r="D14" s="129" t="str">
        <f t="shared" si="1"/>
        <v/>
      </c>
      <c r="E14" s="932"/>
      <c r="F14" s="933"/>
      <c r="G14" s="934"/>
      <c r="H14" s="294"/>
      <c r="I14" s="519"/>
      <c r="J14" s="407"/>
      <c r="K14" s="374"/>
      <c r="L14" s="374"/>
      <c r="M14" s="374"/>
      <c r="N14" s="313">
        <f t="shared" si="18"/>
        <v>0</v>
      </c>
      <c r="O14" s="313">
        <f t="shared" si="19"/>
        <v>0</v>
      </c>
      <c r="P14" s="313">
        <f>IF(Stamoplysninger!$H$29="JA",November!DG14,CX14)</f>
        <v>0</v>
      </c>
      <c r="Q14" s="313">
        <f t="shared" si="20"/>
        <v>0</v>
      </c>
      <c r="R14" s="314"/>
      <c r="S14" s="319"/>
      <c r="T14" s="320"/>
      <c r="U14" s="320"/>
      <c r="V14" s="429"/>
      <c r="W14" s="429"/>
      <c r="X14" s="635"/>
      <c r="Y14">
        <f t="shared" si="21"/>
        <v>0</v>
      </c>
      <c r="Z14" s="431">
        <f t="shared" si="22"/>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f>IF(AND(C14="Skema 1",B14="on"),Arbejdstidsoversigt!$E$74,"")</f>
        <v>0</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7"/>
        <v>0</v>
      </c>
      <c r="BC14" s="1">
        <f t="shared" si="24"/>
        <v>0</v>
      </c>
      <c r="BD14" s="1">
        <f t="shared" si="8"/>
        <v>0</v>
      </c>
      <c r="BE14" s="1">
        <f t="shared" si="9"/>
        <v>0</v>
      </c>
      <c r="BF14" s="1">
        <f t="shared" si="10"/>
        <v>0</v>
      </c>
      <c r="BG14" s="209" t="str">
        <f>IF(AND(C14="Skema 1",B14="ma"),Skemaoplysninger!$E$30,"")</f>
        <v/>
      </c>
      <c r="BH14" s="209" t="str">
        <f>IF(AND(C14="Skema 1",B14="ti"),Skemaoplysninger!$G$30,"")</f>
        <v/>
      </c>
      <c r="BI14" s="209">
        <f>IF(AND(C14="Skema 1",B14="on"),Skemaoplysninger!$I$30,"")</f>
        <v>0</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1"/>
        <v>0</v>
      </c>
      <c r="CC14" s="1">
        <f t="shared" si="12"/>
        <v>0</v>
      </c>
      <c r="CD14" s="209" t="str">
        <f>IF(AND(C14="Skema 1",B14="ma"),Skemaoplysninger!$E$31,"")</f>
        <v/>
      </c>
      <c r="CE14" s="209" t="str">
        <f>IF(AND(C14="Skema 1",B14="ti"),Skemaoplysninger!$G$31,"")</f>
        <v/>
      </c>
      <c r="CF14" s="209">
        <f>IF(AND(C14="Skema 1",B14="on"),Skemaoplysninger!$I$31,"")</f>
        <v>0</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3"/>
        <v/>
      </c>
      <c r="DL14" t="str">
        <f t="shared" si="13"/>
        <v/>
      </c>
      <c r="DM14" t="str">
        <f t="shared" si="13"/>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4"/>
        <v>0</v>
      </c>
      <c r="FT14" s="649">
        <f t="shared" si="15"/>
        <v>0</v>
      </c>
      <c r="FU14">
        <f t="shared" si="16"/>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7"/>
        <v>7</v>
      </c>
      <c r="B15" s="127" t="str">
        <f t="shared" si="0"/>
        <v>to</v>
      </c>
      <c r="C15" s="128" t="s">
        <v>206</v>
      </c>
      <c r="D15" s="129" t="str">
        <f t="shared" si="1"/>
        <v/>
      </c>
      <c r="E15" s="932"/>
      <c r="F15" s="933"/>
      <c r="G15" s="934"/>
      <c r="H15" s="294"/>
      <c r="I15" s="519"/>
      <c r="J15" s="407"/>
      <c r="K15" s="374"/>
      <c r="L15" s="374"/>
      <c r="M15" s="374"/>
      <c r="N15" s="313">
        <f t="shared" si="18"/>
        <v>0</v>
      </c>
      <c r="O15" s="313">
        <f t="shared" si="19"/>
        <v>0</v>
      </c>
      <c r="P15" s="313">
        <f>IF(Stamoplysninger!$H$29="JA",November!DG15,CX15)</f>
        <v>0</v>
      </c>
      <c r="Q15" s="313">
        <f t="shared" si="20"/>
        <v>0</v>
      </c>
      <c r="R15" s="314"/>
      <c r="S15" s="319"/>
      <c r="T15" s="320"/>
      <c r="U15" s="320"/>
      <c r="V15" s="429"/>
      <c r="W15" s="429"/>
      <c r="X15" s="635"/>
      <c r="Y15">
        <f t="shared" si="21"/>
        <v>0</v>
      </c>
      <c r="Z15" s="431">
        <f t="shared" si="22"/>
        <v>0</v>
      </c>
      <c r="AA15" s="1">
        <f t="shared" si="2"/>
        <v>0</v>
      </c>
      <c r="AB15" s="1">
        <f t="shared" si="3"/>
        <v>0</v>
      </c>
      <c r="AC15" s="1">
        <f t="shared" si="4"/>
        <v>0</v>
      </c>
      <c r="AD15" s="1">
        <f t="shared" si="5"/>
        <v>0</v>
      </c>
      <c r="AE15" s="1">
        <f t="shared" si="6"/>
        <v>0</v>
      </c>
      <c r="AF15" s="1">
        <f>IF(C15="Orlov",7.4*Stamoplysninger!$E$15,0)</f>
        <v>0</v>
      </c>
      <c r="AG15" t="str">
        <f>IF(AND(C15="Skema 1",B15="ma"),Arbejdstidsoversigt!$E$72,"")</f>
        <v/>
      </c>
      <c r="AH15" t="str">
        <f>IF(AND(C15="Skema 1",B15="ti"),Arbejdstidsoversigt!$E$73,"")</f>
        <v/>
      </c>
      <c r="AI15" t="str">
        <f>IF(AND(C15="Skema 1",B15="on"),Arbejdstidsoversigt!$E$74,"")</f>
        <v/>
      </c>
      <c r="AJ15">
        <f>IF(AND(C15="Skema 1",B15="to"),Arbejdstidsoversigt!$E$75,"")</f>
        <v>0</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7"/>
        <v>0</v>
      </c>
      <c r="BC15" s="1">
        <f t="shared" si="24"/>
        <v>0</v>
      </c>
      <c r="BD15" s="1">
        <f t="shared" si="8"/>
        <v>0</v>
      </c>
      <c r="BE15" s="1">
        <f t="shared" si="9"/>
        <v>0</v>
      </c>
      <c r="BF15" s="1">
        <f t="shared" si="10"/>
        <v>0</v>
      </c>
      <c r="BG15" s="209" t="str">
        <f>IF(AND(C15="Skema 1",B15="ma"),Skemaoplysninger!$E$30,"")</f>
        <v/>
      </c>
      <c r="BH15" s="209" t="str">
        <f>IF(AND(C15="Skema 1",B15="ti"),Skemaoplysninger!$G$30,"")</f>
        <v/>
      </c>
      <c r="BI15" s="209" t="str">
        <f>IF(AND(C15="Skema 1",B15="on"),Skemaoplysninger!$I$30,"")</f>
        <v/>
      </c>
      <c r="BJ15" s="209">
        <f>IF(AND(C15="Skema 1",B15="to"),Skemaoplysninger!$K$30,"")</f>
        <v>0</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1"/>
        <v>0</v>
      </c>
      <c r="CC15" s="1">
        <f t="shared" si="12"/>
        <v>0</v>
      </c>
      <c r="CD15" s="209" t="str">
        <f>IF(AND(C15="Skema 1",B15="ma"),Skemaoplysninger!$E$31,"")</f>
        <v/>
      </c>
      <c r="CE15" s="209" t="str">
        <f>IF(AND(C15="Skema 1",B15="ti"),Skemaoplysninger!$G$31,"")</f>
        <v/>
      </c>
      <c r="CF15" s="209" t="str">
        <f>IF(AND(C15="Skema 1",B15="on"),Skemaoplysninger!$I$31,"")</f>
        <v/>
      </c>
      <c r="CG15" s="209">
        <f>IF(AND(C15="Skema 1",B15="to"),Skemaoplysninger!$K$31,"")</f>
        <v>0</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3"/>
        <v/>
      </c>
      <c r="DL15" t="str">
        <f t="shared" si="13"/>
        <v/>
      </c>
      <c r="DM15" t="str">
        <f t="shared" si="13"/>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4"/>
        <v>0</v>
      </c>
      <c r="FT15" s="649">
        <f t="shared" si="15"/>
        <v>0</v>
      </c>
      <c r="FU15">
        <f t="shared" si="16"/>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7"/>
        <v>8</v>
      </c>
      <c r="B16" s="127" t="str">
        <f t="shared" si="0"/>
        <v>fr</v>
      </c>
      <c r="C16" s="128" t="s">
        <v>206</v>
      </c>
      <c r="D16" s="129" t="str">
        <f t="shared" si="1"/>
        <v/>
      </c>
      <c r="E16" s="932"/>
      <c r="F16" s="933"/>
      <c r="G16" s="934"/>
      <c r="H16" s="294"/>
      <c r="I16" s="519"/>
      <c r="J16" s="407"/>
      <c r="K16" s="374"/>
      <c r="L16" s="374"/>
      <c r="M16" s="374"/>
      <c r="N16" s="313">
        <f t="shared" si="18"/>
        <v>0</v>
      </c>
      <c r="O16" s="313">
        <f t="shared" si="19"/>
        <v>0</v>
      </c>
      <c r="P16" s="313">
        <f>IF(Stamoplysninger!$H$29="JA",November!DG16,CX16)</f>
        <v>0</v>
      </c>
      <c r="Q16" s="313">
        <f t="shared" si="20"/>
        <v>0</v>
      </c>
      <c r="R16" s="314"/>
      <c r="S16" s="319"/>
      <c r="T16" s="320"/>
      <c r="U16" s="320"/>
      <c r="V16" s="429"/>
      <c r="W16" s="429"/>
      <c r="X16" s="635"/>
      <c r="Y16">
        <f t="shared" si="21"/>
        <v>0</v>
      </c>
      <c r="Z16" s="431">
        <f t="shared" si="22"/>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f>IF(AND(C16="Skema 1",B16="fr"),Arbejdstidsoversigt!$E$76,"")</f>
        <v>0</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7"/>
        <v>0</v>
      </c>
      <c r="BC16" s="1">
        <f t="shared" si="24"/>
        <v>0</v>
      </c>
      <c r="BD16" s="1">
        <f t="shared" si="8"/>
        <v>0</v>
      </c>
      <c r="BE16" s="1">
        <f t="shared" si="9"/>
        <v>0</v>
      </c>
      <c r="BF16" s="1">
        <f t="shared" si="10"/>
        <v>0</v>
      </c>
      <c r="BG16" s="209" t="str">
        <f>IF(AND(C16="Skema 1",B16="ma"),Skemaoplysninger!$E$30,"")</f>
        <v/>
      </c>
      <c r="BH16" s="209" t="str">
        <f>IF(AND(C16="Skema 1",B16="ti"),Skemaoplysninger!$G$30,"")</f>
        <v/>
      </c>
      <c r="BI16" s="209" t="str">
        <f>IF(AND(C16="Skema 1",B16="on"),Skemaoplysninger!$I$30,"")</f>
        <v/>
      </c>
      <c r="BJ16" s="209" t="str">
        <f>IF(AND(C16="Skema 1",B16="to"),Skemaoplysninger!$K$30,"")</f>
        <v/>
      </c>
      <c r="BK16" s="209">
        <f>IF(AND(C16="Skema 1",B16="fr"),Skemaoplysninger!$M$30,"")</f>
        <v>0</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1"/>
        <v>0</v>
      </c>
      <c r="CC16" s="1">
        <f t="shared" si="12"/>
        <v>0</v>
      </c>
      <c r="CD16" s="209" t="str">
        <f>IF(AND(C16="Skema 1",B16="ma"),Skemaoplysninger!$E$31,"")</f>
        <v/>
      </c>
      <c r="CE16" s="209" t="str">
        <f>IF(AND(C16="Skema 1",B16="ti"),Skemaoplysninger!$G$31,"")</f>
        <v/>
      </c>
      <c r="CF16" s="209" t="str">
        <f>IF(AND(C16="Skema 1",B16="on"),Skemaoplysninger!$I$31,"")</f>
        <v/>
      </c>
      <c r="CG16" s="209" t="str">
        <f>IF(AND(C16="Skema 1",B16="to"),Skemaoplysninger!$K$31,"")</f>
        <v/>
      </c>
      <c r="CH16" s="209">
        <f>IF(AND(C16="Skema 1",B16="fr"),Skemaoplysninger!$M$31,"")</f>
        <v>0</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3"/>
        <v/>
      </c>
      <c r="DL16" t="str">
        <f t="shared" si="13"/>
        <v/>
      </c>
      <c r="DM16" t="str">
        <f t="shared" si="13"/>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4"/>
        <v>0</v>
      </c>
      <c r="FT16" s="649">
        <f t="shared" si="15"/>
        <v>0</v>
      </c>
      <c r="FU16">
        <f t="shared" si="16"/>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7"/>
        <v>9</v>
      </c>
      <c r="B17" s="127" t="str">
        <f t="shared" si="0"/>
        <v>lø</v>
      </c>
      <c r="C17" s="128" t="s">
        <v>120</v>
      </c>
      <c r="D17" s="129" t="str">
        <f t="shared" si="1"/>
        <v/>
      </c>
      <c r="E17" s="932"/>
      <c r="F17" s="933"/>
      <c r="G17" s="934"/>
      <c r="H17" s="294"/>
      <c r="I17" s="407"/>
      <c r="J17" s="407"/>
      <c r="K17" s="374"/>
      <c r="L17" s="374"/>
      <c r="M17" s="374"/>
      <c r="N17" s="313">
        <f t="shared" si="18"/>
        <v>0</v>
      </c>
      <c r="O17" s="313">
        <f t="shared" si="19"/>
        <v>0</v>
      </c>
      <c r="P17" s="313">
        <f>IF(Stamoplysninger!$H$29="JA",November!DG17,CX17)</f>
        <v>0</v>
      </c>
      <c r="Q17" s="313">
        <f t="shared" si="20"/>
        <v>0</v>
      </c>
      <c r="R17" s="314"/>
      <c r="S17" s="319"/>
      <c r="T17" s="320"/>
      <c r="U17" s="320"/>
      <c r="V17" s="429"/>
      <c r="W17" s="429"/>
      <c r="X17" s="635"/>
      <c r="Y17">
        <f t="shared" si="21"/>
        <v>0</v>
      </c>
      <c r="Z17" s="431">
        <f t="shared" si="22"/>
        <v>0</v>
      </c>
      <c r="AA17" s="1">
        <f t="shared" si="2"/>
        <v>0</v>
      </c>
      <c r="AB17" s="1">
        <f t="shared" si="3"/>
        <v>0</v>
      </c>
      <c r="AC17" s="1">
        <f t="shared" si="4"/>
        <v>0</v>
      </c>
      <c r="AD17" s="1">
        <f t="shared" si="5"/>
        <v>0</v>
      </c>
      <c r="AE17" s="1">
        <f t="shared" si="6"/>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7"/>
        <v>0</v>
      </c>
      <c r="BC17" s="1">
        <f t="shared" si="24"/>
        <v>0</v>
      </c>
      <c r="BD17" s="1">
        <f t="shared" si="8"/>
        <v>0</v>
      </c>
      <c r="BE17" s="1">
        <f t="shared" si="9"/>
        <v>0</v>
      </c>
      <c r="BF17" s="1">
        <f t="shared" si="10"/>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1"/>
        <v>0</v>
      </c>
      <c r="CC17" s="1">
        <f t="shared" si="12"/>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3"/>
        <v/>
      </c>
      <c r="DL17" t="str">
        <f t="shared" si="13"/>
        <v/>
      </c>
      <c r="DM17" t="str">
        <f t="shared" si="13"/>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4"/>
        <v>0</v>
      </c>
      <c r="FT17" s="649">
        <f t="shared" si="15"/>
        <v>0</v>
      </c>
      <c r="FU17">
        <f t="shared" si="16"/>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7"/>
        <v>10</v>
      </c>
      <c r="B18" s="127" t="str">
        <f t="shared" si="0"/>
        <v>sø</v>
      </c>
      <c r="C18" s="128" t="s">
        <v>120</v>
      </c>
      <c r="D18" s="129" t="str">
        <f t="shared" si="1"/>
        <v/>
      </c>
      <c r="E18" s="932"/>
      <c r="F18" s="933"/>
      <c r="G18" s="934"/>
      <c r="H18" s="294"/>
      <c r="I18" s="407"/>
      <c r="J18" s="407"/>
      <c r="K18" s="374"/>
      <c r="L18" s="374"/>
      <c r="M18" s="374"/>
      <c r="N18" s="313">
        <f t="shared" si="18"/>
        <v>0</v>
      </c>
      <c r="O18" s="313">
        <f t="shared" si="19"/>
        <v>0</v>
      </c>
      <c r="P18" s="313">
        <f>IF(Stamoplysninger!$H$29="JA",November!DG18,CX18)</f>
        <v>0</v>
      </c>
      <c r="Q18" s="313">
        <f t="shared" si="20"/>
        <v>0</v>
      </c>
      <c r="R18" s="314"/>
      <c r="S18" s="319"/>
      <c r="T18" s="320"/>
      <c r="U18" s="320"/>
      <c r="V18" s="429"/>
      <c r="W18" s="429"/>
      <c r="X18" s="635"/>
      <c r="Y18">
        <f t="shared" si="21"/>
        <v>0</v>
      </c>
      <c r="Z18" s="431">
        <f t="shared" si="22"/>
        <v>0</v>
      </c>
      <c r="AA18" s="1">
        <f t="shared" si="2"/>
        <v>0</v>
      </c>
      <c r="AB18" s="1">
        <f t="shared" si="3"/>
        <v>0</v>
      </c>
      <c r="AC18" s="1">
        <f t="shared" si="4"/>
        <v>0</v>
      </c>
      <c r="AD18" s="1">
        <f t="shared" si="5"/>
        <v>0</v>
      </c>
      <c r="AE18" s="1">
        <f t="shared" si="6"/>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7"/>
        <v>0</v>
      </c>
      <c r="BC18" s="1">
        <f t="shared" si="24"/>
        <v>0</v>
      </c>
      <c r="BD18" s="1">
        <f t="shared" si="8"/>
        <v>0</v>
      </c>
      <c r="BE18" s="1">
        <f t="shared" si="9"/>
        <v>0</v>
      </c>
      <c r="BF18" s="1">
        <f t="shared" si="10"/>
        <v>0</v>
      </c>
      <c r="BG18" s="209" t="str">
        <f>IF(AND(C18="Skema 1",B18="ma"),Skemaoplysninger!$E$30,"")</f>
        <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1"/>
        <v>0</v>
      </c>
      <c r="CC18" s="1">
        <f t="shared" si="12"/>
        <v>0</v>
      </c>
      <c r="CD18" s="209" t="str">
        <f>IF(AND(C18="Skema 1",B18="ma"),Skemaoplysninger!$E$31,"")</f>
        <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3"/>
        <v/>
      </c>
      <c r="DL18" t="str">
        <f t="shared" si="13"/>
        <v/>
      </c>
      <c r="DM18" t="str">
        <f t="shared" si="13"/>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4"/>
        <v>0</v>
      </c>
      <c r="FT18" s="649">
        <f t="shared" si="15"/>
        <v>0</v>
      </c>
      <c r="FU18">
        <f t="shared" si="16"/>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7"/>
        <v>11</v>
      </c>
      <c r="B19" s="127" t="str">
        <f t="shared" si="0"/>
        <v>ma</v>
      </c>
      <c r="C19" s="128" t="s">
        <v>206</v>
      </c>
      <c r="D19" s="129">
        <f t="shared" si="1"/>
        <v>46</v>
      </c>
      <c r="E19" s="932"/>
      <c r="F19" s="933"/>
      <c r="G19" s="934"/>
      <c r="H19" s="294"/>
      <c r="I19" s="519"/>
      <c r="J19" s="407"/>
      <c r="K19" s="374"/>
      <c r="L19" s="374"/>
      <c r="M19" s="374"/>
      <c r="N19" s="313">
        <f t="shared" si="18"/>
        <v>0</v>
      </c>
      <c r="O19" s="313">
        <f t="shared" si="19"/>
        <v>0</v>
      </c>
      <c r="P19" s="313">
        <f>IF(Stamoplysninger!$H$29="JA",November!DG19,CX19)</f>
        <v>0</v>
      </c>
      <c r="Q19" s="313">
        <f t="shared" si="20"/>
        <v>0</v>
      </c>
      <c r="R19" s="314"/>
      <c r="S19" s="319"/>
      <c r="T19" s="320"/>
      <c r="U19" s="320"/>
      <c r="V19" s="429"/>
      <c r="W19" s="429"/>
      <c r="X19" s="635"/>
      <c r="Y19">
        <f t="shared" si="21"/>
        <v>0</v>
      </c>
      <c r="Z19" s="431">
        <f t="shared" si="22"/>
        <v>0</v>
      </c>
      <c r="AA19" s="1">
        <f t="shared" si="2"/>
        <v>0</v>
      </c>
      <c r="AB19" s="1">
        <f t="shared" si="3"/>
        <v>0</v>
      </c>
      <c r="AC19" s="1">
        <f t="shared" si="4"/>
        <v>0</v>
      </c>
      <c r="AD19" s="1">
        <f t="shared" si="5"/>
        <v>0</v>
      </c>
      <c r="AE19" s="1">
        <f t="shared" si="6"/>
        <v>0</v>
      </c>
      <c r="AF19" s="1">
        <f>IF(C19="Orlov",7.4*Stamoplysninger!$E$15,0)</f>
        <v>0</v>
      </c>
      <c r="AG19">
        <f>IF(AND(C19="Skema 1",B19="ma"),Arbejdstidsoversigt!$E$72,"")</f>
        <v>0</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7"/>
        <v>0</v>
      </c>
      <c r="BC19" s="1">
        <f t="shared" si="24"/>
        <v>0</v>
      </c>
      <c r="BD19" s="1">
        <f t="shared" si="8"/>
        <v>0</v>
      </c>
      <c r="BE19" s="1">
        <f t="shared" si="9"/>
        <v>0</v>
      </c>
      <c r="BF19" s="1">
        <f t="shared" si="10"/>
        <v>0</v>
      </c>
      <c r="BG19" s="209">
        <f>IF(AND(C19="Skema 1",B19="ma"),Skemaoplysninger!$E$30,"")</f>
        <v>0</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1"/>
        <v>0</v>
      </c>
      <c r="CC19" s="1">
        <f t="shared" si="12"/>
        <v>0</v>
      </c>
      <c r="CD19" s="209">
        <f>IF(AND(C19="Skema 1",B19="ma"),Skemaoplysninger!$E$31,"")</f>
        <v>0</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3"/>
        <v/>
      </c>
      <c r="DL19" t="str">
        <f t="shared" si="13"/>
        <v/>
      </c>
      <c r="DM19" t="str">
        <f t="shared" si="13"/>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4"/>
        <v>0</v>
      </c>
      <c r="FT19" s="649">
        <f t="shared" si="15"/>
        <v>0</v>
      </c>
      <c r="FU19">
        <f t="shared" si="16"/>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ti</v>
      </c>
      <c r="C20" s="128" t="s">
        <v>206</v>
      </c>
      <c r="D20" s="129" t="str">
        <f t="shared" si="1"/>
        <v/>
      </c>
      <c r="E20" s="932"/>
      <c r="F20" s="933"/>
      <c r="G20" s="934"/>
      <c r="H20" s="294"/>
      <c r="I20" s="519"/>
      <c r="J20" s="407"/>
      <c r="K20" s="374"/>
      <c r="L20" s="374"/>
      <c r="M20" s="374"/>
      <c r="N20" s="313">
        <f t="shared" si="18"/>
        <v>0</v>
      </c>
      <c r="O20" s="313">
        <f t="shared" si="19"/>
        <v>0</v>
      </c>
      <c r="P20" s="313">
        <f>IF(Stamoplysninger!$H$29="JA",November!DG20,CX20)</f>
        <v>0</v>
      </c>
      <c r="Q20" s="313">
        <f t="shared" si="20"/>
        <v>0</v>
      </c>
      <c r="R20" s="314"/>
      <c r="S20" s="319"/>
      <c r="T20" s="320"/>
      <c r="U20" s="320"/>
      <c r="V20" s="429"/>
      <c r="W20" s="429"/>
      <c r="X20" s="635"/>
      <c r="Y20">
        <f t="shared" si="21"/>
        <v>0</v>
      </c>
      <c r="Z20" s="431">
        <f t="shared" si="22"/>
        <v>0</v>
      </c>
      <c r="AA20" s="1">
        <f t="shared" si="2"/>
        <v>0</v>
      </c>
      <c r="AB20" s="1">
        <f t="shared" si="3"/>
        <v>0</v>
      </c>
      <c r="AC20" s="1">
        <f t="shared" si="4"/>
        <v>0</v>
      </c>
      <c r="AD20" s="1">
        <f t="shared" si="5"/>
        <v>0</v>
      </c>
      <c r="AE20" s="1">
        <f t="shared" si="6"/>
        <v>0</v>
      </c>
      <c r="AF20" s="1">
        <f>IF(C20="Orlov",7.4*Stamoplysninger!$E$15,0)</f>
        <v>0</v>
      </c>
      <c r="AG20" t="str">
        <f>IF(AND(C20="Skema 1",B20="ma"),Arbejdstidsoversigt!$E$72,"")</f>
        <v/>
      </c>
      <c r="AH20">
        <f>IF(AND(C20="Skema 1",B20="ti"),Arbejdstidsoversigt!$E$73,"")</f>
        <v>0</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7"/>
        <v>0</v>
      </c>
      <c r="BC20" s="1">
        <f t="shared" si="24"/>
        <v>0</v>
      </c>
      <c r="BD20" s="1">
        <f t="shared" si="8"/>
        <v>0</v>
      </c>
      <c r="BE20" s="1">
        <f t="shared" si="9"/>
        <v>0</v>
      </c>
      <c r="BF20" s="1">
        <f t="shared" si="10"/>
        <v>0</v>
      </c>
      <c r="BG20" s="209" t="str">
        <f>IF(AND(C20="Skema 1",B20="ma"),Skemaoplysninger!$E$30,"")</f>
        <v/>
      </c>
      <c r="BH20" s="209">
        <f>IF(AND(C20="Skema 1",B20="ti"),Skemaoplysninger!$G$30,"")</f>
        <v>0</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1"/>
        <v>0</v>
      </c>
      <c r="CC20" s="1">
        <f t="shared" si="12"/>
        <v>0</v>
      </c>
      <c r="CD20" s="209" t="str">
        <f>IF(AND(C20="Skema 1",B20="ma"),Skemaoplysninger!$E$31,"")</f>
        <v/>
      </c>
      <c r="CE20" s="209">
        <f>IF(AND(C20="Skema 1",B20="ti"),Skemaoplysninger!$G$31,"")</f>
        <v>0</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3"/>
        <v/>
      </c>
      <c r="DL20" t="str">
        <f t="shared" si="13"/>
        <v/>
      </c>
      <c r="DM20" t="str">
        <f t="shared" si="13"/>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4"/>
        <v>0</v>
      </c>
      <c r="FT20" s="649">
        <f t="shared" si="15"/>
        <v>0</v>
      </c>
      <c r="FU20">
        <f t="shared" si="16"/>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on</v>
      </c>
      <c r="C21" s="128" t="s">
        <v>206</v>
      </c>
      <c r="D21" s="129" t="str">
        <f t="shared" si="1"/>
        <v/>
      </c>
      <c r="E21" s="964"/>
      <c r="F21" s="965"/>
      <c r="G21" s="966"/>
      <c r="H21" s="293"/>
      <c r="I21" s="519"/>
      <c r="J21" s="407"/>
      <c r="K21" s="374"/>
      <c r="L21" s="374"/>
      <c r="M21" s="374"/>
      <c r="N21" s="313">
        <f t="shared" si="18"/>
        <v>0</v>
      </c>
      <c r="O21" s="313">
        <f t="shared" si="19"/>
        <v>0</v>
      </c>
      <c r="P21" s="313">
        <f>IF(Stamoplysninger!$H$29="JA",November!DG21,CX21)</f>
        <v>0</v>
      </c>
      <c r="Q21" s="313">
        <f t="shared" si="20"/>
        <v>0</v>
      </c>
      <c r="R21" s="314"/>
      <c r="S21" s="319"/>
      <c r="T21" s="320"/>
      <c r="U21" s="320"/>
      <c r="V21" s="429"/>
      <c r="W21" s="429"/>
      <c r="X21" s="635"/>
      <c r="Y21">
        <f t="shared" si="21"/>
        <v>0</v>
      </c>
      <c r="Z21" s="431">
        <f t="shared" si="22"/>
        <v>0</v>
      </c>
      <c r="AA21" s="1">
        <f t="shared" si="2"/>
        <v>0</v>
      </c>
      <c r="AB21" s="1">
        <f t="shared" si="3"/>
        <v>0</v>
      </c>
      <c r="AC21" s="1">
        <f t="shared" si="4"/>
        <v>0</v>
      </c>
      <c r="AD21" s="1">
        <f t="shared" si="5"/>
        <v>0</v>
      </c>
      <c r="AE21" s="1">
        <f t="shared" si="6"/>
        <v>0</v>
      </c>
      <c r="AF21" s="1">
        <f>IF(C21="Orlov",7.4*Stamoplysninger!$E$15,0)</f>
        <v>0</v>
      </c>
      <c r="AG21" t="str">
        <f>IF(AND(C21="Skema 1",B21="ma"),Arbejdstidsoversigt!$E$72,"")</f>
        <v/>
      </c>
      <c r="AH21" t="str">
        <f>IF(AND(C21="Skema 1",B21="ti"),Arbejdstidsoversigt!$E$73,"")</f>
        <v/>
      </c>
      <c r="AI21">
        <f>IF(AND(C21="Skema 1",B21="on"),Arbejdstidsoversigt!$E$74,"")</f>
        <v>0</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7"/>
        <v>0</v>
      </c>
      <c r="BC21" s="1">
        <f t="shared" si="24"/>
        <v>0</v>
      </c>
      <c r="BD21" s="1">
        <f t="shared" si="8"/>
        <v>0</v>
      </c>
      <c r="BE21" s="1">
        <f t="shared" si="9"/>
        <v>0</v>
      </c>
      <c r="BF21" s="1">
        <f t="shared" si="10"/>
        <v>0</v>
      </c>
      <c r="BG21" s="209" t="str">
        <f>IF(AND(C21="Skema 1",B21="ma"),Skemaoplysninger!$E$30,"")</f>
        <v/>
      </c>
      <c r="BH21" s="209" t="str">
        <f>IF(AND(C21="Skema 1",B21="ti"),Skemaoplysninger!$G$30,"")</f>
        <v/>
      </c>
      <c r="BI21" s="209">
        <f>IF(AND(C21="Skema 1",B21="on"),Skemaoplysninger!$I$30,"")</f>
        <v>0</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1"/>
        <v>0</v>
      </c>
      <c r="CC21" s="1">
        <f t="shared" si="12"/>
        <v>0</v>
      </c>
      <c r="CD21" s="209" t="str">
        <f>IF(AND(C21="Skema 1",B21="ma"),Skemaoplysninger!$E$31,"")</f>
        <v/>
      </c>
      <c r="CE21" s="209" t="str">
        <f>IF(AND(C21="Skema 1",B21="ti"),Skemaoplysninger!$G$31,"")</f>
        <v/>
      </c>
      <c r="CF21" s="209">
        <f>IF(AND(C21="Skema 1",B21="on"),Skemaoplysninger!$I$31,"")</f>
        <v>0</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3"/>
        <v/>
      </c>
      <c r="DL21" t="str">
        <f t="shared" si="13"/>
        <v/>
      </c>
      <c r="DM21" t="str">
        <f t="shared" si="13"/>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4"/>
        <v>0</v>
      </c>
      <c r="FT21" s="649">
        <f t="shared" si="15"/>
        <v>0</v>
      </c>
      <c r="FU21">
        <f t="shared" si="16"/>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7"/>
        <v>14</v>
      </c>
      <c r="B22" s="127" t="str">
        <f t="shared" si="0"/>
        <v>to</v>
      </c>
      <c r="C22" s="128" t="s">
        <v>206</v>
      </c>
      <c r="D22" s="129" t="str">
        <f t="shared" si="1"/>
        <v/>
      </c>
      <c r="E22" s="964"/>
      <c r="F22" s="965"/>
      <c r="G22" s="966"/>
      <c r="H22" s="293"/>
      <c r="I22" s="519"/>
      <c r="J22" s="407"/>
      <c r="K22" s="374"/>
      <c r="L22" s="374"/>
      <c r="M22" s="374"/>
      <c r="N22" s="313">
        <f t="shared" si="18"/>
        <v>0</v>
      </c>
      <c r="O22" s="313">
        <f t="shared" si="19"/>
        <v>0</v>
      </c>
      <c r="P22" s="313">
        <f>IF(Stamoplysninger!$H$29="JA",November!DG22,CX22)</f>
        <v>0</v>
      </c>
      <c r="Q22" s="313">
        <f t="shared" si="20"/>
        <v>0</v>
      </c>
      <c r="R22" s="314"/>
      <c r="S22" s="319"/>
      <c r="T22" s="320"/>
      <c r="U22" s="320"/>
      <c r="V22" s="429"/>
      <c r="W22" s="429"/>
      <c r="X22" s="635"/>
      <c r="Y22">
        <f t="shared" si="21"/>
        <v>0</v>
      </c>
      <c r="Z22" s="431">
        <f t="shared" si="22"/>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f>IF(AND(C22="Skema 1",B22="to"),Arbejdstidsoversigt!$E$75,"")</f>
        <v>0</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7"/>
        <v>0</v>
      </c>
      <c r="BC22" s="1">
        <f t="shared" si="24"/>
        <v>0</v>
      </c>
      <c r="BD22" s="1">
        <f t="shared" si="8"/>
        <v>0</v>
      </c>
      <c r="BE22" s="1">
        <f t="shared" si="9"/>
        <v>0</v>
      </c>
      <c r="BF22" s="1">
        <f t="shared" si="10"/>
        <v>0</v>
      </c>
      <c r="BG22" s="209" t="str">
        <f>IF(AND(C22="Skema 1",B22="ma"),Skemaoplysninger!$E$30,"")</f>
        <v/>
      </c>
      <c r="BH22" s="209" t="str">
        <f>IF(AND(C22="Skema 1",B22="ti"),Skemaoplysninger!$G$30,"")</f>
        <v/>
      </c>
      <c r="BI22" s="209" t="str">
        <f>IF(AND(C22="Skema 1",B22="on"),Skemaoplysninger!$I$30,"")</f>
        <v/>
      </c>
      <c r="BJ22" s="209">
        <f>IF(AND(C22="Skema 1",B22="to"),Skemaoplysninger!$K$30,"")</f>
        <v>0</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1"/>
        <v>0</v>
      </c>
      <c r="CC22" s="1">
        <f t="shared" si="12"/>
        <v>0</v>
      </c>
      <c r="CD22" s="209" t="str">
        <f>IF(AND(C22="Skema 1",B22="ma"),Skemaoplysninger!$E$31,"")</f>
        <v/>
      </c>
      <c r="CE22" s="209" t="str">
        <f>IF(AND(C22="Skema 1",B22="ti"),Skemaoplysninger!$G$31,"")</f>
        <v/>
      </c>
      <c r="CF22" s="209" t="str">
        <f>IF(AND(C22="Skema 1",B22="on"),Skemaoplysninger!$I$31,"")</f>
        <v/>
      </c>
      <c r="CG22" s="209">
        <f>IF(AND(C22="Skema 1",B22="to"),Skemaoplysninger!$K$31,"")</f>
        <v>0</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3"/>
        <v/>
      </c>
      <c r="DL22" t="str">
        <f t="shared" si="13"/>
        <v/>
      </c>
      <c r="DM22" t="str">
        <f t="shared" si="13"/>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4"/>
        <v>0</v>
      </c>
      <c r="FT22" s="649">
        <f t="shared" si="15"/>
        <v>0</v>
      </c>
      <c r="FU22">
        <f t="shared" si="16"/>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7"/>
        <v>15</v>
      </c>
      <c r="B23" s="127" t="str">
        <f t="shared" si="0"/>
        <v>fr</v>
      </c>
      <c r="C23" s="128" t="s">
        <v>206</v>
      </c>
      <c r="D23" s="129" t="str">
        <f t="shared" si="1"/>
        <v/>
      </c>
      <c r="E23" s="964"/>
      <c r="F23" s="965"/>
      <c r="G23" s="966"/>
      <c r="H23" s="293"/>
      <c r="I23" s="519"/>
      <c r="J23" s="407"/>
      <c r="K23" s="374"/>
      <c r="L23" s="374"/>
      <c r="M23" s="374"/>
      <c r="N23" s="313">
        <f t="shared" si="18"/>
        <v>0</v>
      </c>
      <c r="O23" s="313">
        <f t="shared" si="19"/>
        <v>0</v>
      </c>
      <c r="P23" s="313">
        <f>IF(Stamoplysninger!$H$29="JA",November!DG23,CX23)</f>
        <v>0</v>
      </c>
      <c r="Q23" s="313">
        <f t="shared" si="20"/>
        <v>0</v>
      </c>
      <c r="R23" s="314"/>
      <c r="S23" s="319"/>
      <c r="T23" s="320"/>
      <c r="U23" s="320"/>
      <c r="V23" s="429"/>
      <c r="W23" s="429"/>
      <c r="X23" s="635"/>
      <c r="Y23">
        <f t="shared" si="21"/>
        <v>0</v>
      </c>
      <c r="Z23" s="431">
        <f t="shared" si="22"/>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f>IF(AND(C23="Skema 1",B23="fr"),Arbejdstidsoversigt!$E$76,"")</f>
        <v>0</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7"/>
        <v>0</v>
      </c>
      <c r="BC23" s="1">
        <f t="shared" si="24"/>
        <v>0</v>
      </c>
      <c r="BD23" s="1">
        <f t="shared" si="8"/>
        <v>0</v>
      </c>
      <c r="BE23" s="1">
        <f t="shared" si="9"/>
        <v>0</v>
      </c>
      <c r="BF23" s="1">
        <f t="shared" si="10"/>
        <v>0</v>
      </c>
      <c r="BG23" s="209" t="str">
        <f>IF(AND(C23="Skema 1",B23="ma"),Skemaoplysninger!$E$30,"")</f>
        <v/>
      </c>
      <c r="BH23" s="209" t="str">
        <f>IF(AND(C23="Skema 1",B23="ti"),Skemaoplysninger!$G$30,"")</f>
        <v/>
      </c>
      <c r="BI23" s="209" t="str">
        <f>IF(AND(C23="Skema 1",B23="on"),Skemaoplysninger!$I$30,"")</f>
        <v/>
      </c>
      <c r="BJ23" s="209" t="str">
        <f>IF(AND(C23="Skema 1",B23="to"),Skemaoplysninger!$K$30,"")</f>
        <v/>
      </c>
      <c r="BK23" s="209">
        <f>IF(AND(C23="Skema 1",B23="fr"),Skemaoplysninger!$M$30,"")</f>
        <v>0</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1"/>
        <v>0</v>
      </c>
      <c r="CC23" s="1">
        <f t="shared" si="12"/>
        <v>0</v>
      </c>
      <c r="CD23" s="209" t="str">
        <f>IF(AND(C23="Skema 1",B23="ma"),Skemaoplysninger!$E$31,"")</f>
        <v/>
      </c>
      <c r="CE23" s="209" t="str">
        <f>IF(AND(C23="Skema 1",B23="ti"),Skemaoplysninger!$G$31,"")</f>
        <v/>
      </c>
      <c r="CF23" s="209" t="str">
        <f>IF(AND(C23="Skema 1",B23="on"),Skemaoplysninger!$I$31,"")</f>
        <v/>
      </c>
      <c r="CG23" s="209" t="str">
        <f>IF(AND(C23="Skema 1",B23="to"),Skemaoplysninger!$K$31,"")</f>
        <v/>
      </c>
      <c r="CH23" s="209">
        <f>IF(AND(C23="Skema 1",B23="fr"),Skemaoplysninger!$M$31,"")</f>
        <v>0</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3"/>
        <v/>
      </c>
      <c r="DL23" t="str">
        <f t="shared" si="13"/>
        <v/>
      </c>
      <c r="DM23" t="str">
        <f t="shared" si="13"/>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4"/>
        <v>0</v>
      </c>
      <c r="FT23" s="649">
        <f t="shared" si="15"/>
        <v>0</v>
      </c>
      <c r="FU23">
        <f t="shared" si="16"/>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lø</v>
      </c>
      <c r="C24" s="128" t="s">
        <v>120</v>
      </c>
      <c r="D24" s="129" t="str">
        <f t="shared" si="1"/>
        <v/>
      </c>
      <c r="E24" s="932"/>
      <c r="F24" s="933"/>
      <c r="G24" s="934"/>
      <c r="H24" s="294"/>
      <c r="I24" s="407"/>
      <c r="J24" s="407"/>
      <c r="K24" s="374"/>
      <c r="L24" s="374"/>
      <c r="M24" s="374"/>
      <c r="N24" s="313">
        <f t="shared" si="18"/>
        <v>0</v>
      </c>
      <c r="O24" s="313">
        <f t="shared" si="19"/>
        <v>0</v>
      </c>
      <c r="P24" s="313">
        <f>IF(Stamoplysninger!$H$29="JA",November!DG24,CX24)</f>
        <v>0</v>
      </c>
      <c r="Q24" s="313">
        <f t="shared" si="20"/>
        <v>0</v>
      </c>
      <c r="R24" s="314"/>
      <c r="S24" s="319"/>
      <c r="T24" s="320"/>
      <c r="U24" s="320"/>
      <c r="V24" s="429"/>
      <c r="W24" s="429"/>
      <c r="X24" s="635"/>
      <c r="Y24">
        <f t="shared" si="21"/>
        <v>0</v>
      </c>
      <c r="Z24" s="431">
        <f t="shared" si="22"/>
        <v>0</v>
      </c>
      <c r="AA24" s="1">
        <f t="shared" si="2"/>
        <v>0</v>
      </c>
      <c r="AB24" s="1">
        <f t="shared" si="3"/>
        <v>0</v>
      </c>
      <c r="AC24" s="1">
        <f t="shared" si="4"/>
        <v>0</v>
      </c>
      <c r="AD24" s="1">
        <f t="shared" si="5"/>
        <v>0</v>
      </c>
      <c r="AE24" s="1">
        <f t="shared" si="6"/>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7"/>
        <v>0</v>
      </c>
      <c r="BC24" s="1">
        <f t="shared" si="24"/>
        <v>0</v>
      </c>
      <c r="BD24" s="1">
        <f t="shared" si="8"/>
        <v>0</v>
      </c>
      <c r="BE24" s="1">
        <f t="shared" si="9"/>
        <v>0</v>
      </c>
      <c r="BF24" s="1">
        <f t="shared" si="10"/>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1"/>
        <v>0</v>
      </c>
      <c r="CC24" s="1">
        <f t="shared" si="12"/>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3"/>
        <v/>
      </c>
      <c r="DL24" t="str">
        <f t="shared" si="13"/>
        <v/>
      </c>
      <c r="DM24" t="str">
        <f t="shared" si="13"/>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4"/>
        <v>0</v>
      </c>
      <c r="FT24" s="649">
        <f t="shared" si="15"/>
        <v>0</v>
      </c>
      <c r="FU24">
        <f t="shared" si="16"/>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7"/>
        <v>17</v>
      </c>
      <c r="B25" s="127" t="str">
        <f t="shared" si="0"/>
        <v>sø</v>
      </c>
      <c r="C25" s="128" t="s">
        <v>120</v>
      </c>
      <c r="D25" s="129" t="str">
        <f t="shared" si="1"/>
        <v/>
      </c>
      <c r="E25" s="932"/>
      <c r="F25" s="933"/>
      <c r="G25" s="934"/>
      <c r="H25" s="294"/>
      <c r="I25" s="407"/>
      <c r="J25" s="407"/>
      <c r="K25" s="374"/>
      <c r="L25" s="374"/>
      <c r="M25" s="374"/>
      <c r="N25" s="313">
        <f t="shared" si="18"/>
        <v>0</v>
      </c>
      <c r="O25" s="313">
        <f t="shared" si="19"/>
        <v>0</v>
      </c>
      <c r="P25" s="313">
        <f>IF(Stamoplysninger!$H$29="JA",November!DG25,CX25)</f>
        <v>0</v>
      </c>
      <c r="Q25" s="313">
        <f t="shared" si="20"/>
        <v>0</v>
      </c>
      <c r="R25" s="314"/>
      <c r="S25" s="319"/>
      <c r="T25" s="320"/>
      <c r="U25" s="320"/>
      <c r="V25" s="429"/>
      <c r="W25" s="429"/>
      <c r="X25" s="635"/>
      <c r="Y25">
        <f t="shared" si="21"/>
        <v>0</v>
      </c>
      <c r="Z25" s="431">
        <f t="shared" si="22"/>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7"/>
        <v>0</v>
      </c>
      <c r="BC25" s="1">
        <f t="shared" si="24"/>
        <v>0</v>
      </c>
      <c r="BD25" s="1">
        <f t="shared" si="8"/>
        <v>0</v>
      </c>
      <c r="BE25" s="1">
        <f t="shared" si="9"/>
        <v>0</v>
      </c>
      <c r="BF25" s="1">
        <f t="shared" si="10"/>
        <v>0</v>
      </c>
      <c r="BG25" s="209" t="str">
        <f>IF(AND(C25="Skema 1",B25="ma"),Skemaoplysninger!$E$30,"")</f>
        <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1"/>
        <v>0</v>
      </c>
      <c r="CC25" s="1">
        <f t="shared" si="12"/>
        <v>0</v>
      </c>
      <c r="CD25" s="209" t="str">
        <f>IF(AND(C25="Skema 1",B25="ma"),Skemaoplysninger!$E$31,"")</f>
        <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3"/>
        <v/>
      </c>
      <c r="DL25" t="str">
        <f t="shared" si="13"/>
        <v/>
      </c>
      <c r="DM25" t="str">
        <f t="shared" si="13"/>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4"/>
        <v>0</v>
      </c>
      <c r="FT25" s="649">
        <f t="shared" si="15"/>
        <v>0</v>
      </c>
      <c r="FU25">
        <f t="shared" si="16"/>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7"/>
        <v>18</v>
      </c>
      <c r="B26" s="127" t="str">
        <f t="shared" si="0"/>
        <v>ma</v>
      </c>
      <c r="C26" s="128" t="s">
        <v>206</v>
      </c>
      <c r="D26" s="129">
        <f t="shared" si="1"/>
        <v>47</v>
      </c>
      <c r="E26" s="932"/>
      <c r="F26" s="933"/>
      <c r="G26" s="934"/>
      <c r="H26" s="294"/>
      <c r="I26" s="519"/>
      <c r="J26" s="407"/>
      <c r="K26" s="374"/>
      <c r="L26" s="374"/>
      <c r="M26" s="374"/>
      <c r="N26" s="313">
        <f t="shared" si="18"/>
        <v>0</v>
      </c>
      <c r="O26" s="313">
        <f t="shared" si="19"/>
        <v>0</v>
      </c>
      <c r="P26" s="313">
        <f>IF(Stamoplysninger!$H$29="JA",November!DG26,CX26)</f>
        <v>0</v>
      </c>
      <c r="Q26" s="313">
        <f t="shared" si="20"/>
        <v>0</v>
      </c>
      <c r="R26" s="314"/>
      <c r="S26" s="319"/>
      <c r="T26" s="320"/>
      <c r="U26" s="320"/>
      <c r="V26" s="429"/>
      <c r="W26" s="429"/>
      <c r="X26" s="635"/>
      <c r="Y26">
        <f t="shared" si="21"/>
        <v>0</v>
      </c>
      <c r="Z26" s="431">
        <f t="shared" si="22"/>
        <v>0</v>
      </c>
      <c r="AA26" s="1">
        <f t="shared" si="2"/>
        <v>0</v>
      </c>
      <c r="AB26" s="1">
        <f t="shared" si="3"/>
        <v>0</v>
      </c>
      <c r="AC26" s="1">
        <f t="shared" si="4"/>
        <v>0</v>
      </c>
      <c r="AD26" s="1">
        <f t="shared" si="5"/>
        <v>0</v>
      </c>
      <c r="AE26" s="1">
        <f t="shared" si="6"/>
        <v>0</v>
      </c>
      <c r="AF26" s="1">
        <f>IF(C26="Orlov",7.4*Stamoplysninger!$E$15,0)</f>
        <v>0</v>
      </c>
      <c r="AG26">
        <f>IF(AND(C26="Skema 1",B26="ma"),Arbejdstidsoversigt!$E$72,"")</f>
        <v>0</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7"/>
        <v>0</v>
      </c>
      <c r="BC26" s="1">
        <f t="shared" si="24"/>
        <v>0</v>
      </c>
      <c r="BD26" s="1">
        <f t="shared" si="8"/>
        <v>0</v>
      </c>
      <c r="BE26" s="1">
        <f t="shared" si="9"/>
        <v>0</v>
      </c>
      <c r="BF26" s="1">
        <f t="shared" si="10"/>
        <v>0</v>
      </c>
      <c r="BG26" s="209">
        <f>IF(AND(C26="Skema 1",B26="ma"),Skemaoplysninger!$E$30,"")</f>
        <v>0</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1"/>
        <v>0</v>
      </c>
      <c r="CC26" s="1">
        <f t="shared" si="12"/>
        <v>0</v>
      </c>
      <c r="CD26" s="209">
        <f>IF(AND(C26="Skema 1",B26="ma"),Skemaoplysninger!$E$31,"")</f>
        <v>0</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3"/>
        <v/>
      </c>
      <c r="DL26" t="str">
        <f t="shared" si="13"/>
        <v/>
      </c>
      <c r="DM26" t="str">
        <f t="shared" si="13"/>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4"/>
        <v>0</v>
      </c>
      <c r="FT26" s="649">
        <f t="shared" si="15"/>
        <v>0</v>
      </c>
      <c r="FU26">
        <f t="shared" si="16"/>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7"/>
        <v>19</v>
      </c>
      <c r="B27" s="127" t="str">
        <f t="shared" si="0"/>
        <v>ti</v>
      </c>
      <c r="C27" s="128" t="s">
        <v>206</v>
      </c>
      <c r="D27" s="129" t="str">
        <f t="shared" si="1"/>
        <v/>
      </c>
      <c r="E27" s="932"/>
      <c r="F27" s="933"/>
      <c r="G27" s="934"/>
      <c r="H27" s="294"/>
      <c r="I27" s="519"/>
      <c r="J27" s="407"/>
      <c r="K27" s="374"/>
      <c r="L27" s="374"/>
      <c r="M27" s="374"/>
      <c r="N27" s="313">
        <f t="shared" si="18"/>
        <v>0</v>
      </c>
      <c r="O27" s="313">
        <f t="shared" si="19"/>
        <v>0</v>
      </c>
      <c r="P27" s="313">
        <f>IF(Stamoplysninger!$H$29="JA",November!DG27,CX27)</f>
        <v>0</v>
      </c>
      <c r="Q27" s="313">
        <f t="shared" si="20"/>
        <v>0</v>
      </c>
      <c r="R27" s="314"/>
      <c r="S27" s="319"/>
      <c r="T27" s="320"/>
      <c r="U27" s="320"/>
      <c r="V27" s="429"/>
      <c r="W27" s="429"/>
      <c r="X27" s="635"/>
      <c r="Y27">
        <f t="shared" si="21"/>
        <v>0</v>
      </c>
      <c r="Z27" s="431">
        <f t="shared" si="22"/>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f>IF(AND(C27="Skema 1",B27="ti"),Arbejdstidsoversigt!$E$73,"")</f>
        <v>0</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7"/>
        <v>0</v>
      </c>
      <c r="BC27" s="1">
        <f t="shared" si="24"/>
        <v>0</v>
      </c>
      <c r="BD27" s="1">
        <f t="shared" si="8"/>
        <v>0</v>
      </c>
      <c r="BE27" s="1">
        <f t="shared" si="9"/>
        <v>0</v>
      </c>
      <c r="BF27" s="1">
        <f t="shared" si="10"/>
        <v>0</v>
      </c>
      <c r="BG27" s="209" t="str">
        <f>IF(AND(C27="Skema 1",B27="ma"),Skemaoplysninger!$E$30,"")</f>
        <v/>
      </c>
      <c r="BH27" s="209">
        <f>IF(AND(C27="Skema 1",B27="ti"),Skemaoplysninger!$G$30,"")</f>
        <v>0</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1"/>
        <v>0</v>
      </c>
      <c r="CC27" s="1">
        <f t="shared" si="12"/>
        <v>0</v>
      </c>
      <c r="CD27" s="209" t="str">
        <f>IF(AND(C27="Skema 1",B27="ma"),Skemaoplysninger!$E$31,"")</f>
        <v/>
      </c>
      <c r="CE27" s="209">
        <f>IF(AND(C27="Skema 1",B27="ti"),Skemaoplysninger!$G$31,"")</f>
        <v>0</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3"/>
        <v/>
      </c>
      <c r="DL27" t="str">
        <f t="shared" si="13"/>
        <v/>
      </c>
      <c r="DM27" t="str">
        <f t="shared" si="13"/>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4"/>
        <v>0</v>
      </c>
      <c r="FT27" s="649">
        <f t="shared" si="15"/>
        <v>0</v>
      </c>
      <c r="FU27">
        <f t="shared" si="16"/>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7"/>
        <v>20</v>
      </c>
      <c r="B28" s="127" t="str">
        <f t="shared" si="0"/>
        <v>on</v>
      </c>
      <c r="C28" s="128" t="s">
        <v>206</v>
      </c>
      <c r="D28" s="129" t="str">
        <f t="shared" si="1"/>
        <v/>
      </c>
      <c r="E28" s="932"/>
      <c r="F28" s="933"/>
      <c r="G28" s="934"/>
      <c r="H28" s="294"/>
      <c r="I28" s="519"/>
      <c r="J28" s="407"/>
      <c r="K28" s="374"/>
      <c r="L28" s="374"/>
      <c r="M28" s="374"/>
      <c r="N28" s="313">
        <f t="shared" si="18"/>
        <v>0</v>
      </c>
      <c r="O28" s="313">
        <f t="shared" si="19"/>
        <v>0</v>
      </c>
      <c r="P28" s="313">
        <f>IF(Stamoplysninger!$H$29="JA",November!DG28,CX28)</f>
        <v>0</v>
      </c>
      <c r="Q28" s="313">
        <f t="shared" si="20"/>
        <v>0</v>
      </c>
      <c r="R28" s="314"/>
      <c r="S28" s="319"/>
      <c r="T28" s="320"/>
      <c r="U28" s="320"/>
      <c r="V28" s="429"/>
      <c r="W28" s="429"/>
      <c r="X28" s="635"/>
      <c r="Y28">
        <f t="shared" si="21"/>
        <v>0</v>
      </c>
      <c r="Z28" s="431">
        <f t="shared" si="22"/>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f>IF(AND(C28="Skema 1",B28="on"),Arbejdstidsoversigt!$E$74,"")</f>
        <v>0</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7"/>
        <v>0</v>
      </c>
      <c r="BC28" s="1">
        <f t="shared" si="24"/>
        <v>0</v>
      </c>
      <c r="BD28" s="1">
        <f t="shared" si="8"/>
        <v>0</v>
      </c>
      <c r="BE28" s="1">
        <f t="shared" si="9"/>
        <v>0</v>
      </c>
      <c r="BF28" s="1">
        <f t="shared" si="10"/>
        <v>0</v>
      </c>
      <c r="BG28" s="209" t="str">
        <f>IF(AND(C28="Skema 1",B28="ma"),Skemaoplysninger!$E$30,"")</f>
        <v/>
      </c>
      <c r="BH28" s="209" t="str">
        <f>IF(AND(C28="Skema 1",B28="ti"),Skemaoplysninger!$G$30,"")</f>
        <v/>
      </c>
      <c r="BI28" s="209">
        <f>IF(AND(C28="Skema 1",B28="on"),Skemaoplysninger!$I$30,"")</f>
        <v>0</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1"/>
        <v>0</v>
      </c>
      <c r="CC28" s="1">
        <f t="shared" si="12"/>
        <v>0</v>
      </c>
      <c r="CD28" s="209" t="str">
        <f>IF(AND(C28="Skema 1",B28="ma"),Skemaoplysninger!$E$31,"")</f>
        <v/>
      </c>
      <c r="CE28" s="209" t="str">
        <f>IF(AND(C28="Skema 1",B28="ti"),Skemaoplysninger!$G$31,"")</f>
        <v/>
      </c>
      <c r="CF28" s="209">
        <f>IF(AND(C28="Skema 1",B28="on"),Skemaoplysninger!$I$31,"")</f>
        <v>0</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3"/>
        <v/>
      </c>
      <c r="DL28" t="str">
        <f t="shared" si="13"/>
        <v/>
      </c>
      <c r="DM28" t="str">
        <f t="shared" si="13"/>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4"/>
        <v>0</v>
      </c>
      <c r="FT28" s="649">
        <f t="shared" si="15"/>
        <v>0</v>
      </c>
      <c r="FU28">
        <f t="shared" si="16"/>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7"/>
        <v>21</v>
      </c>
      <c r="B29" s="127" t="str">
        <f t="shared" si="0"/>
        <v>to</v>
      </c>
      <c r="C29" s="128" t="s">
        <v>206</v>
      </c>
      <c r="D29" s="129" t="str">
        <f t="shared" si="1"/>
        <v/>
      </c>
      <c r="E29" s="932"/>
      <c r="F29" s="933"/>
      <c r="G29" s="934"/>
      <c r="H29" s="294"/>
      <c r="I29" s="519"/>
      <c r="J29" s="407"/>
      <c r="K29" s="374"/>
      <c r="L29" s="374"/>
      <c r="M29" s="374"/>
      <c r="N29" s="313">
        <f t="shared" si="18"/>
        <v>0</v>
      </c>
      <c r="O29" s="313">
        <f t="shared" si="19"/>
        <v>0</v>
      </c>
      <c r="P29" s="313">
        <f>IF(Stamoplysninger!$H$29="JA",November!DG29,CX29)</f>
        <v>0</v>
      </c>
      <c r="Q29" s="313">
        <f t="shared" si="20"/>
        <v>0</v>
      </c>
      <c r="R29" s="314"/>
      <c r="S29" s="319"/>
      <c r="T29" s="320"/>
      <c r="U29" s="320"/>
      <c r="V29" s="429"/>
      <c r="W29" s="429"/>
      <c r="X29" s="635"/>
      <c r="Y29">
        <f t="shared" si="21"/>
        <v>0</v>
      </c>
      <c r="Z29" s="431">
        <f t="shared" si="22"/>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f>IF(AND(C29="Skema 1",B29="to"),Arbejdstidsoversigt!$E$75,"")</f>
        <v>0</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7"/>
        <v>0</v>
      </c>
      <c r="BC29" s="1">
        <f t="shared" si="24"/>
        <v>0</v>
      </c>
      <c r="BD29" s="1">
        <f t="shared" si="8"/>
        <v>0</v>
      </c>
      <c r="BE29" s="1">
        <f t="shared" si="9"/>
        <v>0</v>
      </c>
      <c r="BF29" s="1">
        <f t="shared" si="10"/>
        <v>0</v>
      </c>
      <c r="BG29" s="209" t="str">
        <f>IF(AND(C29="Skema 1",B29="ma"),Skemaoplysninger!$E$30,"")</f>
        <v/>
      </c>
      <c r="BH29" s="209" t="str">
        <f>IF(AND(C29="Skema 1",B29="ti"),Skemaoplysninger!$G$30,"")</f>
        <v/>
      </c>
      <c r="BI29" s="209" t="str">
        <f>IF(AND(C29="Skema 1",B29="on"),Skemaoplysninger!$I$30,"")</f>
        <v/>
      </c>
      <c r="BJ29" s="209">
        <f>IF(AND(C29="Skema 1",B29="to"),Skemaoplysninger!$K$30,"")</f>
        <v>0</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1"/>
        <v>0</v>
      </c>
      <c r="CC29" s="1">
        <f t="shared" si="12"/>
        <v>0</v>
      </c>
      <c r="CD29" s="209" t="str">
        <f>IF(AND(C29="Skema 1",B29="ma"),Skemaoplysninger!$E$31,"")</f>
        <v/>
      </c>
      <c r="CE29" s="209" t="str">
        <f>IF(AND(C29="Skema 1",B29="ti"),Skemaoplysninger!$G$31,"")</f>
        <v/>
      </c>
      <c r="CF29" s="209" t="str">
        <f>IF(AND(C29="Skema 1",B29="on"),Skemaoplysninger!$I$31,"")</f>
        <v/>
      </c>
      <c r="CG29" s="209">
        <f>IF(AND(C29="Skema 1",B29="to"),Skemaoplysninger!$K$31,"")</f>
        <v>0</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3"/>
        <v/>
      </c>
      <c r="DL29" t="str">
        <f t="shared" si="13"/>
        <v/>
      </c>
      <c r="DM29" t="str">
        <f t="shared" si="13"/>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4"/>
        <v>0</v>
      </c>
      <c r="FT29" s="649">
        <f t="shared" si="15"/>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7"/>
        <v>22</v>
      </c>
      <c r="B30" s="127" t="str">
        <f t="shared" si="0"/>
        <v>fr</v>
      </c>
      <c r="C30" s="128" t="s">
        <v>206</v>
      </c>
      <c r="D30" s="129" t="str">
        <f t="shared" si="1"/>
        <v/>
      </c>
      <c r="E30" s="932"/>
      <c r="F30" s="933"/>
      <c r="G30" s="934"/>
      <c r="H30" s="294"/>
      <c r="I30" s="519"/>
      <c r="J30" s="407"/>
      <c r="K30" s="374"/>
      <c r="L30" s="374"/>
      <c r="M30" s="374"/>
      <c r="N30" s="313">
        <f t="shared" si="18"/>
        <v>0</v>
      </c>
      <c r="O30" s="313">
        <f t="shared" si="19"/>
        <v>0</v>
      </c>
      <c r="P30" s="313">
        <f>IF(Stamoplysninger!$H$29="JA",November!DG30,CX30)</f>
        <v>0</v>
      </c>
      <c r="Q30" s="313">
        <f t="shared" si="20"/>
        <v>0</v>
      </c>
      <c r="R30" s="314"/>
      <c r="S30" s="319"/>
      <c r="T30" s="320"/>
      <c r="U30" s="320"/>
      <c r="V30" s="429"/>
      <c r="W30" s="429"/>
      <c r="X30" s="635"/>
      <c r="Y30">
        <f t="shared" si="21"/>
        <v>0</v>
      </c>
      <c r="Z30" s="431">
        <f t="shared" si="22"/>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f>IF(AND(C30="Skema 1",B30="fr"),Arbejdstidsoversigt!$E$76,"")</f>
        <v>0</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7"/>
        <v>0</v>
      </c>
      <c r="BC30" s="1">
        <f t="shared" si="24"/>
        <v>0</v>
      </c>
      <c r="BD30" s="1">
        <f t="shared" si="8"/>
        <v>0</v>
      </c>
      <c r="BE30" s="1">
        <f t="shared" si="9"/>
        <v>0</v>
      </c>
      <c r="BF30" s="1">
        <f t="shared" si="10"/>
        <v>0</v>
      </c>
      <c r="BG30" s="209" t="str">
        <f>IF(AND(C30="Skema 1",B30="ma"),Skemaoplysninger!$E$30,"")</f>
        <v/>
      </c>
      <c r="BH30" s="209" t="str">
        <f>IF(AND(C30="Skema 1",B30="ti"),Skemaoplysninger!$G$30,"")</f>
        <v/>
      </c>
      <c r="BI30" s="209" t="str">
        <f>IF(AND(C30="Skema 1",B30="on"),Skemaoplysninger!$I$30,"")</f>
        <v/>
      </c>
      <c r="BJ30" s="209" t="str">
        <f>IF(AND(C30="Skema 1",B30="to"),Skemaoplysninger!$K$30,"")</f>
        <v/>
      </c>
      <c r="BK30" s="209">
        <f>IF(AND(C30="Skema 1",B30="fr"),Skemaoplysninger!$M$30,"")</f>
        <v>0</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1"/>
        <v>0</v>
      </c>
      <c r="CC30" s="1">
        <f t="shared" si="12"/>
        <v>0</v>
      </c>
      <c r="CD30" s="209" t="str">
        <f>IF(AND(C30="Skema 1",B30="ma"),Skemaoplysninger!$E$31,"")</f>
        <v/>
      </c>
      <c r="CE30" s="209" t="str">
        <f>IF(AND(C30="Skema 1",B30="ti"),Skemaoplysninger!$G$31,"")</f>
        <v/>
      </c>
      <c r="CF30" s="209" t="str">
        <f>IF(AND(C30="Skema 1",B30="on"),Skemaoplysninger!$I$31,"")</f>
        <v/>
      </c>
      <c r="CG30" s="209" t="str">
        <f>IF(AND(C30="Skema 1",B30="to"),Skemaoplysninger!$K$31,"")</f>
        <v/>
      </c>
      <c r="CH30" s="209">
        <f>IF(AND(C30="Skema 1",B30="fr"),Skemaoplysninger!$M$31,"")</f>
        <v>0</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3"/>
        <v/>
      </c>
      <c r="DL30" t="str">
        <f t="shared" si="13"/>
        <v/>
      </c>
      <c r="DM30" t="str">
        <f t="shared" si="13"/>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4"/>
        <v>0</v>
      </c>
      <c r="FT30" s="649">
        <f t="shared" si="15"/>
        <v>0</v>
      </c>
      <c r="FU30">
        <f t="shared" ref="FU30:FU38"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7"/>
        <v>23</v>
      </c>
      <c r="B31" s="127" t="str">
        <f t="shared" si="0"/>
        <v>lø</v>
      </c>
      <c r="C31" s="128" t="s">
        <v>120</v>
      </c>
      <c r="D31" s="129" t="str">
        <f t="shared" si="1"/>
        <v/>
      </c>
      <c r="E31" s="932"/>
      <c r="F31" s="933"/>
      <c r="G31" s="934"/>
      <c r="H31" s="294"/>
      <c r="I31" s="407"/>
      <c r="J31" s="407"/>
      <c r="K31" s="374"/>
      <c r="L31" s="374"/>
      <c r="M31" s="374"/>
      <c r="N31" s="313">
        <f t="shared" si="18"/>
        <v>0</v>
      </c>
      <c r="O31" s="313">
        <f t="shared" si="19"/>
        <v>0</v>
      </c>
      <c r="P31" s="313">
        <f>IF(Stamoplysninger!$H$29="JA",November!DG31,CX31)</f>
        <v>0</v>
      </c>
      <c r="Q31" s="313">
        <f t="shared" si="20"/>
        <v>0</v>
      </c>
      <c r="R31" s="314"/>
      <c r="S31" s="319"/>
      <c r="T31" s="320"/>
      <c r="U31" s="320"/>
      <c r="V31" s="429"/>
      <c r="W31" s="429"/>
      <c r="X31" s="635"/>
      <c r="Y31">
        <f t="shared" si="21"/>
        <v>0</v>
      </c>
      <c r="Z31" s="431">
        <f t="shared" si="22"/>
        <v>0</v>
      </c>
      <c r="AA31" s="1">
        <f t="shared" si="2"/>
        <v>0</v>
      </c>
      <c r="AB31" s="1">
        <f t="shared" si="3"/>
        <v>0</v>
      </c>
      <c r="AC31" s="1">
        <f t="shared" si="4"/>
        <v>0</v>
      </c>
      <c r="AD31" s="1">
        <f t="shared" si="5"/>
        <v>0</v>
      </c>
      <c r="AE31" s="1">
        <f t="shared" si="6"/>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7"/>
        <v>0</v>
      </c>
      <c r="BC31" s="1">
        <f t="shared" si="24"/>
        <v>0</v>
      </c>
      <c r="BD31" s="1">
        <f t="shared" si="8"/>
        <v>0</v>
      </c>
      <c r="BE31" s="1">
        <f t="shared" si="9"/>
        <v>0</v>
      </c>
      <c r="BF31" s="1">
        <f t="shared" si="10"/>
        <v>0</v>
      </c>
      <c r="BG31" s="209" t="str">
        <f>IF(AND(C31="Skema 1",B31="ma"),Skemaoplysninger!$E$30,"")</f>
        <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1"/>
        <v>0</v>
      </c>
      <c r="CC31" s="1">
        <f t="shared" si="12"/>
        <v>0</v>
      </c>
      <c r="CD31" s="209" t="str">
        <f>IF(AND(C31="Skema 1",B31="ma"),Skemaoplysninger!$E$31,"")</f>
        <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3"/>
        <v/>
      </c>
      <c r="DL31" t="str">
        <f t="shared" si="13"/>
        <v/>
      </c>
      <c r="DM31" t="str">
        <f t="shared" si="13"/>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4"/>
        <v>0</v>
      </c>
      <c r="FT31" s="649">
        <f t="shared" si="15"/>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7"/>
        <v>24</v>
      </c>
      <c r="B32" s="127" t="str">
        <f t="shared" si="0"/>
        <v>sø</v>
      </c>
      <c r="C32" s="128" t="s">
        <v>120</v>
      </c>
      <c r="D32" s="129" t="str">
        <f t="shared" si="1"/>
        <v/>
      </c>
      <c r="E32" s="964"/>
      <c r="F32" s="965"/>
      <c r="G32" s="966"/>
      <c r="H32" s="294"/>
      <c r="I32" s="407"/>
      <c r="J32" s="407"/>
      <c r="K32" s="374"/>
      <c r="L32" s="374"/>
      <c r="M32" s="374"/>
      <c r="N32" s="313">
        <f t="shared" si="18"/>
        <v>0</v>
      </c>
      <c r="O32" s="313">
        <f t="shared" si="19"/>
        <v>0</v>
      </c>
      <c r="P32" s="313">
        <f>IF(Stamoplysninger!$H$29="JA",November!DG32,CX32)</f>
        <v>0</v>
      </c>
      <c r="Q32" s="313">
        <f t="shared" si="20"/>
        <v>0</v>
      </c>
      <c r="R32" s="314"/>
      <c r="S32" s="319"/>
      <c r="T32" s="320"/>
      <c r="U32" s="320"/>
      <c r="V32" s="429"/>
      <c r="W32" s="429"/>
      <c r="X32" s="635"/>
      <c r="Y32">
        <f t="shared" si="21"/>
        <v>0</v>
      </c>
      <c r="Z32" s="431">
        <f t="shared" si="22"/>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7"/>
        <v>0</v>
      </c>
      <c r="BC32" s="1">
        <f t="shared" si="24"/>
        <v>0</v>
      </c>
      <c r="BD32" s="1">
        <f t="shared" si="8"/>
        <v>0</v>
      </c>
      <c r="BE32" s="1">
        <f t="shared" si="9"/>
        <v>0</v>
      </c>
      <c r="BF32" s="1">
        <f t="shared" si="10"/>
        <v>0</v>
      </c>
      <c r="BG32" s="209" t="str">
        <f>IF(AND(C32="Skema 1",B32="ma"),Skemaoplysninger!$E$30,"")</f>
        <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1"/>
        <v>0</v>
      </c>
      <c r="CC32" s="1">
        <f t="shared" si="12"/>
        <v>0</v>
      </c>
      <c r="CD32" s="209" t="str">
        <f>IF(AND(C32="Skema 1",B32="ma"),Skemaoplysninger!$E$31,"")</f>
        <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3"/>
        <v/>
      </c>
      <c r="DL32" t="str">
        <f t="shared" si="13"/>
        <v/>
      </c>
      <c r="DM32" t="str">
        <f t="shared" si="13"/>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4"/>
        <v>0</v>
      </c>
      <c r="FT32" s="649">
        <f t="shared" si="15"/>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7"/>
        <v>25</v>
      </c>
      <c r="B33" s="127" t="str">
        <f t="shared" si="0"/>
        <v>ma</v>
      </c>
      <c r="C33" s="128" t="s">
        <v>206</v>
      </c>
      <c r="D33" s="129">
        <f t="shared" si="1"/>
        <v>48</v>
      </c>
      <c r="E33" s="932"/>
      <c r="F33" s="933"/>
      <c r="G33" s="934"/>
      <c r="H33" s="294"/>
      <c r="I33" s="519"/>
      <c r="J33" s="407"/>
      <c r="K33" s="374"/>
      <c r="L33" s="374"/>
      <c r="M33" s="374"/>
      <c r="N33" s="313">
        <f t="shared" si="18"/>
        <v>0</v>
      </c>
      <c r="O33" s="313">
        <f t="shared" si="19"/>
        <v>0</v>
      </c>
      <c r="P33" s="313">
        <f>IF(Stamoplysninger!$H$29="JA",November!DG33,CX33)</f>
        <v>0</v>
      </c>
      <c r="Q33" s="313">
        <f t="shared" si="20"/>
        <v>0</v>
      </c>
      <c r="R33" s="314"/>
      <c r="S33" s="319"/>
      <c r="T33" s="320"/>
      <c r="U33" s="320"/>
      <c r="V33" s="429"/>
      <c r="W33" s="429"/>
      <c r="X33" s="635"/>
      <c r="Y33">
        <f t="shared" si="21"/>
        <v>0</v>
      </c>
      <c r="Z33" s="431">
        <f t="shared" si="22"/>
        <v>0</v>
      </c>
      <c r="AA33" s="1">
        <f t="shared" si="2"/>
        <v>0</v>
      </c>
      <c r="AB33" s="1">
        <f t="shared" si="3"/>
        <v>0</v>
      </c>
      <c r="AC33" s="1">
        <f t="shared" si="4"/>
        <v>0</v>
      </c>
      <c r="AD33" s="1">
        <f t="shared" si="5"/>
        <v>0</v>
      </c>
      <c r="AE33" s="1">
        <f t="shared" si="6"/>
        <v>0</v>
      </c>
      <c r="AF33" s="1">
        <f>IF(C33="Orlov",7.4*Stamoplysninger!$E$15,0)</f>
        <v>0</v>
      </c>
      <c r="AG33">
        <f>IF(AND(C33="Skema 1",B33="ma"),Arbejdstidsoversigt!$E$72,"")</f>
        <v>0</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7"/>
        <v>0</v>
      </c>
      <c r="BC33" s="1">
        <f t="shared" si="24"/>
        <v>0</v>
      </c>
      <c r="BD33" s="1">
        <f t="shared" si="8"/>
        <v>0</v>
      </c>
      <c r="BE33" s="1">
        <f t="shared" si="9"/>
        <v>0</v>
      </c>
      <c r="BF33" s="1">
        <f t="shared" si="10"/>
        <v>0</v>
      </c>
      <c r="BG33" s="209">
        <f>IF(AND(C33="Skema 1",B33="ma"),Skemaoplysninger!$E$30,"")</f>
        <v>0</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1"/>
        <v>0</v>
      </c>
      <c r="CC33" s="1">
        <f t="shared" si="12"/>
        <v>0</v>
      </c>
      <c r="CD33" s="209">
        <f>IF(AND(C33="Skema 1",B33="ma"),Skemaoplysninger!$E$31,"")</f>
        <v>0</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3"/>
        <v/>
      </c>
      <c r="DL33" t="str">
        <f t="shared" si="13"/>
        <v/>
      </c>
      <c r="DM33" t="str">
        <f t="shared" si="13"/>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4"/>
        <v>0</v>
      </c>
      <c r="FT33" s="649">
        <f t="shared" si="15"/>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7"/>
        <v>26</v>
      </c>
      <c r="B34" s="127" t="str">
        <f t="shared" si="0"/>
        <v>ti</v>
      </c>
      <c r="C34" s="128" t="s">
        <v>206</v>
      </c>
      <c r="D34" s="129" t="str">
        <f t="shared" si="1"/>
        <v/>
      </c>
      <c r="E34" s="932"/>
      <c r="F34" s="933"/>
      <c r="G34" s="934"/>
      <c r="H34" s="294"/>
      <c r="I34" s="519"/>
      <c r="J34" s="407"/>
      <c r="K34" s="374"/>
      <c r="L34" s="374"/>
      <c r="M34" s="374"/>
      <c r="N34" s="313">
        <f t="shared" si="18"/>
        <v>0</v>
      </c>
      <c r="O34" s="313">
        <f t="shared" si="19"/>
        <v>0</v>
      </c>
      <c r="P34" s="313">
        <f>IF(Stamoplysninger!$H$29="JA",November!DG34,CX34)</f>
        <v>0</v>
      </c>
      <c r="Q34" s="313">
        <f t="shared" si="20"/>
        <v>0</v>
      </c>
      <c r="R34" s="314"/>
      <c r="S34" s="319"/>
      <c r="T34" s="320"/>
      <c r="U34" s="320"/>
      <c r="V34" s="429"/>
      <c r="W34" s="429"/>
      <c r="X34" s="635"/>
      <c r="Y34">
        <f t="shared" si="21"/>
        <v>0</v>
      </c>
      <c r="Z34" s="431">
        <f t="shared" si="22"/>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f>IF(AND(C34="Skema 1",B34="ti"),Arbejdstidsoversigt!$E$73,"")</f>
        <v>0</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7"/>
        <v>0</v>
      </c>
      <c r="BC34" s="1">
        <f t="shared" si="24"/>
        <v>0</v>
      </c>
      <c r="BD34" s="1">
        <f t="shared" si="8"/>
        <v>0</v>
      </c>
      <c r="BE34" s="1">
        <f t="shared" si="9"/>
        <v>0</v>
      </c>
      <c r="BF34" s="1">
        <f t="shared" si="10"/>
        <v>0</v>
      </c>
      <c r="BG34" s="209" t="str">
        <f>IF(AND(C34="Skema 1",B34="ma"),Skemaoplysninger!$E$30,"")</f>
        <v/>
      </c>
      <c r="BH34" s="209">
        <f>IF(AND(C34="Skema 1",B34="ti"),Skemaoplysninger!$G$30,"")</f>
        <v>0</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1"/>
        <v>0</v>
      </c>
      <c r="CC34" s="1">
        <f t="shared" si="12"/>
        <v>0</v>
      </c>
      <c r="CD34" s="209" t="str">
        <f>IF(AND(C34="Skema 1",B34="ma"),Skemaoplysninger!$E$31,"")</f>
        <v/>
      </c>
      <c r="CE34" s="209">
        <f>IF(AND(C34="Skema 1",B34="ti"),Skemaoplysninger!$G$31,"")</f>
        <v>0</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3"/>
        <v/>
      </c>
      <c r="DL34" t="str">
        <f t="shared" si="13"/>
        <v/>
      </c>
      <c r="DM34" t="str">
        <f t="shared" si="13"/>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4"/>
        <v>0</v>
      </c>
      <c r="FT34" s="649">
        <f t="shared" si="15"/>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7"/>
        <v>27</v>
      </c>
      <c r="B35" s="127" t="str">
        <f t="shared" si="0"/>
        <v>on</v>
      </c>
      <c r="C35" s="128" t="s">
        <v>206</v>
      </c>
      <c r="D35" s="129" t="str">
        <f t="shared" si="1"/>
        <v/>
      </c>
      <c r="E35" s="932"/>
      <c r="F35" s="933"/>
      <c r="G35" s="934"/>
      <c r="H35" s="294"/>
      <c r="I35" s="519"/>
      <c r="J35" s="407"/>
      <c r="K35" s="374"/>
      <c r="L35" s="374"/>
      <c r="M35" s="374"/>
      <c r="N35" s="313">
        <f t="shared" si="18"/>
        <v>0</v>
      </c>
      <c r="O35" s="313">
        <f t="shared" si="19"/>
        <v>0</v>
      </c>
      <c r="P35" s="313">
        <f>IF(Stamoplysninger!$H$29="JA",November!DG35,CX35)</f>
        <v>0</v>
      </c>
      <c r="Q35" s="313">
        <f t="shared" si="20"/>
        <v>0</v>
      </c>
      <c r="R35" s="314"/>
      <c r="S35" s="319"/>
      <c r="T35" s="320"/>
      <c r="U35" s="320"/>
      <c r="V35" s="429"/>
      <c r="W35" s="429"/>
      <c r="X35" s="635"/>
      <c r="Y35">
        <f t="shared" si="21"/>
        <v>0</v>
      </c>
      <c r="Z35" s="431">
        <f t="shared" si="22"/>
        <v>0</v>
      </c>
      <c r="AA35" s="1">
        <f t="shared" si="2"/>
        <v>0</v>
      </c>
      <c r="AB35" s="1">
        <f t="shared" si="3"/>
        <v>0</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f>IF(AND(C35="Skema 1",B35="on"),Arbejdstidsoversigt!$E$74,"")</f>
        <v>0</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7"/>
        <v>0</v>
      </c>
      <c r="BC35" s="1">
        <f t="shared" si="24"/>
        <v>0</v>
      </c>
      <c r="BD35" s="1">
        <f t="shared" si="8"/>
        <v>0</v>
      </c>
      <c r="BE35" s="1">
        <f t="shared" si="9"/>
        <v>0</v>
      </c>
      <c r="BF35" s="1">
        <f t="shared" si="10"/>
        <v>0</v>
      </c>
      <c r="BG35" s="209" t="str">
        <f>IF(AND(C35="Skema 1",B35="ma"),Skemaoplysninger!$E$30,"")</f>
        <v/>
      </c>
      <c r="BH35" s="209" t="str">
        <f>IF(AND(C35="Skema 1",B35="ti"),Skemaoplysninger!$G$30,"")</f>
        <v/>
      </c>
      <c r="BI35" s="209">
        <f>IF(AND(C35="Skema 1",B35="on"),Skemaoplysninger!$I$30,"")</f>
        <v>0</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1"/>
        <v>0</v>
      </c>
      <c r="CC35" s="1">
        <f t="shared" si="12"/>
        <v>0</v>
      </c>
      <c r="CD35" s="209" t="str">
        <f>IF(AND(C35="Skema 1",B35="ma"),Skemaoplysninger!$E$31,"")</f>
        <v/>
      </c>
      <c r="CE35" s="209" t="str">
        <f>IF(AND(C35="Skema 1",B35="ti"),Skemaoplysninger!$G$31,"")</f>
        <v/>
      </c>
      <c r="CF35" s="209">
        <f>IF(AND(C35="Skema 1",B35="on"),Skemaoplysninger!$I$31,"")</f>
        <v>0</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3"/>
        <v/>
      </c>
      <c r="DL35" t="str">
        <f t="shared" si="13"/>
        <v/>
      </c>
      <c r="DM35" t="str">
        <f t="shared" si="13"/>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4"/>
        <v>0</v>
      </c>
      <c r="FT35" s="649">
        <f t="shared" si="15"/>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ht="16" customHeight="1">
      <c r="A36" s="241">
        <f t="shared" si="17"/>
        <v>28</v>
      </c>
      <c r="B36" s="127" t="str">
        <f t="shared" si="0"/>
        <v>to</v>
      </c>
      <c r="C36" s="128" t="s">
        <v>206</v>
      </c>
      <c r="D36" s="129" t="str">
        <f t="shared" si="1"/>
        <v/>
      </c>
      <c r="E36" s="964"/>
      <c r="F36" s="965"/>
      <c r="G36" s="966"/>
      <c r="H36" s="294"/>
      <c r="I36" s="519"/>
      <c r="J36" s="407"/>
      <c r="K36" s="374"/>
      <c r="L36" s="374"/>
      <c r="M36" s="374"/>
      <c r="N36" s="313">
        <f t="shared" si="18"/>
        <v>0</v>
      </c>
      <c r="O36" s="313">
        <f t="shared" si="19"/>
        <v>0</v>
      </c>
      <c r="P36" s="313">
        <f>IF(Stamoplysninger!$H$29="JA",November!DG36,CX36)</f>
        <v>0</v>
      </c>
      <c r="Q36" s="313">
        <f t="shared" si="20"/>
        <v>0</v>
      </c>
      <c r="R36" s="314"/>
      <c r="S36" s="319"/>
      <c r="T36" s="320"/>
      <c r="U36" s="320"/>
      <c r="V36" s="429"/>
      <c r="W36" s="429"/>
      <c r="X36" s="635"/>
      <c r="Y36">
        <f t="shared" si="21"/>
        <v>0</v>
      </c>
      <c r="Z36" s="431">
        <f t="shared" si="22"/>
        <v>0</v>
      </c>
      <c r="AA36" s="1">
        <f t="shared" si="2"/>
        <v>0</v>
      </c>
      <c r="AB36" s="1">
        <f t="shared" si="3"/>
        <v>0</v>
      </c>
      <c r="AC36" s="1">
        <f t="shared" si="4"/>
        <v>0</v>
      </c>
      <c r="AD36" s="1">
        <f t="shared" si="5"/>
        <v>0</v>
      </c>
      <c r="AE36" s="1">
        <f t="shared" si="6"/>
        <v>0</v>
      </c>
      <c r="AF36" s="1">
        <f>IF(C36="Orlov",7.4*Stamoplysninger!$E$15,0)</f>
        <v>0</v>
      </c>
      <c r="AG36" t="str">
        <f>IF(AND(C36="Skema 1",B36="ma"),Arbejdstidsoversigt!$E$72,"")</f>
        <v/>
      </c>
      <c r="AH36" t="str">
        <f>IF(AND(C36="Skema 1",B36="ti"),Arbejdstidsoversigt!$E$73,"")</f>
        <v/>
      </c>
      <c r="AI36" t="str">
        <f>IF(AND(C36="Skema 1",B36="on"),Arbejdstidsoversigt!$E$74,"")</f>
        <v/>
      </c>
      <c r="AJ36">
        <f>IF(AND(C36="Skema 1",B36="to"),Arbejdstidsoversigt!$E$75,"")</f>
        <v>0</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7"/>
        <v>0</v>
      </c>
      <c r="BC36" s="1">
        <f t="shared" si="24"/>
        <v>0</v>
      </c>
      <c r="BD36" s="1">
        <f t="shared" si="8"/>
        <v>0</v>
      </c>
      <c r="BE36" s="1">
        <f t="shared" si="9"/>
        <v>0</v>
      </c>
      <c r="BF36" s="1">
        <f t="shared" si="10"/>
        <v>0</v>
      </c>
      <c r="BG36" s="209" t="str">
        <f>IF(AND(C36="Skema 1",B36="ma"),Skemaoplysninger!$E$30,"")</f>
        <v/>
      </c>
      <c r="BH36" s="209" t="str">
        <f>IF(AND(C36="Skema 1",B36="ti"),Skemaoplysninger!$G$30,"")</f>
        <v/>
      </c>
      <c r="BI36" s="209" t="str">
        <f>IF(AND(C36="Skema 1",B36="on"),Skemaoplysninger!$I$30,"")</f>
        <v/>
      </c>
      <c r="BJ36" s="209">
        <f>IF(AND(C36="Skema 1",B36="to"),Skemaoplysninger!$K$30,"")</f>
        <v>0</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1"/>
        <v>0</v>
      </c>
      <c r="CC36" s="1">
        <f t="shared" si="12"/>
        <v>0</v>
      </c>
      <c r="CD36" s="209" t="str">
        <f>IF(AND(C36="Skema 1",B36="ma"),Skemaoplysninger!$E$31,"")</f>
        <v/>
      </c>
      <c r="CE36" s="209" t="str">
        <f>IF(AND(C36="Skema 1",B36="ti"),Skemaoplysninger!$G$31,"")</f>
        <v/>
      </c>
      <c r="CF36" s="209" t="str">
        <f>IF(AND(C36="Skema 1",B36="on"),Skemaoplysninger!$I$31,"")</f>
        <v/>
      </c>
      <c r="CG36" s="209">
        <f>IF(AND(C36="Skema 1",B36="to"),Skemaoplysninger!$K$31,"")</f>
        <v>0</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3"/>
        <v/>
      </c>
      <c r="DL36" t="str">
        <f t="shared" si="13"/>
        <v/>
      </c>
      <c r="DM36" t="str">
        <f t="shared" si="13"/>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4"/>
        <v>0</v>
      </c>
      <c r="FT36" s="649">
        <f t="shared" si="15"/>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ht="16" customHeight="1">
      <c r="A37" s="241">
        <f>IF(ISNUMBER(A36),A36+1,1)</f>
        <v>29</v>
      </c>
      <c r="B37" s="127" t="str">
        <f t="shared" si="0"/>
        <v>fr</v>
      </c>
      <c r="C37" s="128" t="s">
        <v>206</v>
      </c>
      <c r="D37" s="129" t="str">
        <f t="shared" si="1"/>
        <v/>
      </c>
      <c r="E37" s="964"/>
      <c r="F37" s="965"/>
      <c r="G37" s="966"/>
      <c r="H37" s="294"/>
      <c r="I37" s="519"/>
      <c r="J37" s="407"/>
      <c r="K37" s="374"/>
      <c r="L37" s="374"/>
      <c r="M37" s="374"/>
      <c r="N37" s="313">
        <f t="shared" si="18"/>
        <v>0</v>
      </c>
      <c r="O37" s="313">
        <f t="shared" si="19"/>
        <v>0</v>
      </c>
      <c r="P37" s="313">
        <f>IF(Stamoplysninger!$H$29="JA",November!DG37,CX37)</f>
        <v>0</v>
      </c>
      <c r="Q37" s="313">
        <f t="shared" si="20"/>
        <v>0</v>
      </c>
      <c r="R37" s="314"/>
      <c r="S37" s="319"/>
      <c r="T37" s="320"/>
      <c r="U37" s="320"/>
      <c r="V37" s="429"/>
      <c r="W37" s="429"/>
      <c r="X37" s="635"/>
      <c r="Y37">
        <f t="shared" si="21"/>
        <v>0</v>
      </c>
      <c r="Z37" s="431">
        <f t="shared" si="22"/>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f>IF(AND(C37="Skema 1",B37="fr"),Arbejdstidsoversigt!$E$76,"")</f>
        <v>0</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7"/>
        <v>0</v>
      </c>
      <c r="BC37" s="1">
        <f t="shared" si="24"/>
        <v>0</v>
      </c>
      <c r="BD37" s="1">
        <f t="shared" si="8"/>
        <v>0</v>
      </c>
      <c r="BE37" s="1">
        <f t="shared" si="9"/>
        <v>0</v>
      </c>
      <c r="BF37" s="1">
        <f t="shared" si="10"/>
        <v>0</v>
      </c>
      <c r="BG37" s="209" t="str">
        <f>IF(AND(C37="Skema 1",B37="ma"),Skemaoplysninger!$E$30,"")</f>
        <v/>
      </c>
      <c r="BH37" s="209" t="str">
        <f>IF(AND(C37="Skema 1",B37="ti"),Skemaoplysninger!$G$30,"")</f>
        <v/>
      </c>
      <c r="BI37" s="209" t="str">
        <f>IF(AND(C37="Skema 1",B37="on"),Skemaoplysninger!$I$30,"")</f>
        <v/>
      </c>
      <c r="BJ37" s="209" t="str">
        <f>IF(AND(C37="Skema 1",B37="to"),Skemaoplysninger!$K$30,"")</f>
        <v/>
      </c>
      <c r="BK37" s="209">
        <f>IF(AND(C37="Skema 1",B37="fr"),Skemaoplysninger!$M$30,"")</f>
        <v>0</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1"/>
        <v>0</v>
      </c>
      <c r="CC37" s="1">
        <f t="shared" si="12"/>
        <v>0</v>
      </c>
      <c r="CD37" s="209" t="str">
        <f>IF(AND(C37="Skema 1",B37="ma"),Skemaoplysninger!$E$31,"")</f>
        <v/>
      </c>
      <c r="CE37" s="209" t="str">
        <f>IF(AND(C37="Skema 1",B37="ti"),Skemaoplysninger!$G$31,"")</f>
        <v/>
      </c>
      <c r="CF37" s="209" t="str">
        <f>IF(AND(C37="Skema 1",B37="on"),Skemaoplysninger!$I$31,"")</f>
        <v/>
      </c>
      <c r="CG37" s="209" t="str">
        <f>IF(AND(C37="Skema 1",B37="to"),Skemaoplysninger!$K$31,"")</f>
        <v/>
      </c>
      <c r="CH37" s="209">
        <f>IF(AND(C37="Skema 1",B37="fr"),Skemaoplysninger!$M$31,"")</f>
        <v>0</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3"/>
        <v/>
      </c>
      <c r="DL37" t="str">
        <f t="shared" si="13"/>
        <v/>
      </c>
      <c r="DM37" t="str">
        <f t="shared" si="13"/>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8" si="32">IF(AND(I37="X",S37="X"),V37,0)</f>
        <v>0</v>
      </c>
      <c r="FT37" s="649">
        <f t="shared" ref="FT37:FT38" si="33">IF(AND(AND(C37="ikke relevant",I37="X",S37="X")),V37,0)</f>
        <v>0</v>
      </c>
      <c r="FU37">
        <f t="shared" ref="FU37:FU38"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ht="16" customHeight="1">
      <c r="A38" s="241">
        <f t="shared" si="17"/>
        <v>30</v>
      </c>
      <c r="B38" s="127" t="str">
        <f t="shared" si="0"/>
        <v>lø</v>
      </c>
      <c r="C38" s="128" t="s">
        <v>120</v>
      </c>
      <c r="D38" s="129" t="str">
        <f t="shared" si="1"/>
        <v/>
      </c>
      <c r="E38" s="964"/>
      <c r="F38" s="965"/>
      <c r="G38" s="966"/>
      <c r="H38" s="294"/>
      <c r="I38" s="407"/>
      <c r="J38" s="407"/>
      <c r="K38" s="374"/>
      <c r="L38" s="374"/>
      <c r="M38" s="374"/>
      <c r="N38" s="313">
        <f t="shared" si="18"/>
        <v>0</v>
      </c>
      <c r="O38" s="313">
        <f t="shared" si="19"/>
        <v>0</v>
      </c>
      <c r="P38" s="313">
        <f>IF(Stamoplysninger!$H$29="JA",November!DG38,CX38)</f>
        <v>0</v>
      </c>
      <c r="Q38" s="313">
        <f t="shared" si="20"/>
        <v>0</v>
      </c>
      <c r="R38" s="314"/>
      <c r="S38" s="319"/>
      <c r="T38" s="320"/>
      <c r="U38" s="320"/>
      <c r="V38" s="429"/>
      <c r="W38" s="429"/>
      <c r="X38" s="635"/>
      <c r="Y38">
        <f t="shared" si="21"/>
        <v>0</v>
      </c>
      <c r="Z38" s="431">
        <f t="shared" si="22"/>
        <v>0</v>
      </c>
      <c r="AA38" s="1">
        <f t="shared" si="2"/>
        <v>0</v>
      </c>
      <c r="AB38" s="1">
        <f t="shared" si="3"/>
        <v>0</v>
      </c>
      <c r="AC38" s="1">
        <f t="shared" si="4"/>
        <v>0</v>
      </c>
      <c r="AD38" s="1">
        <f t="shared" si="5"/>
        <v>0</v>
      </c>
      <c r="AE38" s="1">
        <f t="shared" si="6"/>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7"/>
        <v>0</v>
      </c>
      <c r="BC38" s="1">
        <f t="shared" si="24"/>
        <v>0</v>
      </c>
      <c r="BD38" s="1">
        <f t="shared" si="8"/>
        <v>0</v>
      </c>
      <c r="BE38" s="1">
        <f t="shared" si="9"/>
        <v>0</v>
      </c>
      <c r="BF38" s="1">
        <f t="shared" si="10"/>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1"/>
        <v>0</v>
      </c>
      <c r="CC38" s="1">
        <f t="shared" si="12"/>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3"/>
        <v/>
      </c>
      <c r="DL38" t="str">
        <f t="shared" si="13"/>
        <v/>
      </c>
      <c r="DM38" t="str">
        <f t="shared" si="13"/>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987" t="s">
        <v>260</v>
      </c>
      <c r="B39" s="988"/>
      <c r="C39" s="988"/>
      <c r="D39" s="988"/>
      <c r="E39" s="988"/>
      <c r="F39" s="988"/>
      <c r="G39" s="988"/>
      <c r="H39" s="988"/>
      <c r="I39" s="989"/>
      <c r="J39" s="308"/>
      <c r="K39" s="375"/>
      <c r="L39" s="375"/>
      <c r="M39" s="375"/>
      <c r="N39" s="317">
        <f>SUM(N9:N38)</f>
        <v>0</v>
      </c>
      <c r="O39" s="317">
        <f>SUM(O9:O38)</f>
        <v>0</v>
      </c>
      <c r="P39" s="317">
        <f>SUM(P9:P38)</f>
        <v>0</v>
      </c>
      <c r="Q39" s="317">
        <f>SUM(Q9:Q38)</f>
        <v>0</v>
      </c>
      <c r="R39"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26"/>
      <c r="T39" s="427"/>
      <c r="U39" s="427"/>
      <c r="V39"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0">
        <f>SUM(Y9:Y38)</f>
        <v>0</v>
      </c>
      <c r="Z39" s="392">
        <f>Z9+Z10+Z11+Z12+Z13+Z14+Z15+Z16+Z17+Z18+Z19+Z20+Z21+Z22+Z23+Z24+Z25+Z26+Z27+Z28+Z29+Z30+Z31+Z32+Z33+Z34+Z35+Z36+Z37+Z38</f>
        <v>0</v>
      </c>
      <c r="AA39" s="231">
        <f t="shared" ref="AA39:AF39" si="35">SUM(AA9:AA38)</f>
        <v>0</v>
      </c>
      <c r="AB39" s="231">
        <f t="shared" si="35"/>
        <v>0</v>
      </c>
      <c r="AC39" s="231">
        <f t="shared" si="35"/>
        <v>0</v>
      </c>
      <c r="AD39" s="231">
        <f t="shared" si="35"/>
        <v>0</v>
      </c>
      <c r="AE39" s="231">
        <f t="shared" si="35"/>
        <v>0</v>
      </c>
      <c r="AF39" s="231">
        <f t="shared" si="35"/>
        <v>0</v>
      </c>
      <c r="BA39" s="1">
        <f>SUM(BA9:BA38)</f>
        <v>0</v>
      </c>
      <c r="BB39" s="111"/>
      <c r="BC39" s="231">
        <f>SUM(BC9:BC38)</f>
        <v>0</v>
      </c>
      <c r="BD39" s="231">
        <f>SUM(BD9:BD38)</f>
        <v>0</v>
      </c>
      <c r="BE39" s="231">
        <f>SUM(BE9:BE38)</f>
        <v>0</v>
      </c>
      <c r="BF39" s="231">
        <f>SUM(BF9:BF38)</f>
        <v>0</v>
      </c>
      <c r="CA39" s="231">
        <f>SUM(CA9:CA38)</f>
        <v>0</v>
      </c>
      <c r="CB39" s="231">
        <f>SUM(CB9:CB38)</f>
        <v>0</v>
      </c>
      <c r="CC39" s="231">
        <f>SUM(CC9:CC38)</f>
        <v>0</v>
      </c>
      <c r="CX39" s="245"/>
      <c r="CY39" s="245">
        <f t="shared" ref="CY39:DG39" si="36">SUM(CY9:CY38)</f>
        <v>0</v>
      </c>
      <c r="CZ39" s="245">
        <f t="shared" si="36"/>
        <v>0</v>
      </c>
      <c r="DA39" s="245">
        <f t="shared" si="36"/>
        <v>0</v>
      </c>
      <c r="DB39" s="245">
        <f t="shared" si="36"/>
        <v>0</v>
      </c>
      <c r="DC39" s="245">
        <f t="shared" si="36"/>
        <v>0</v>
      </c>
      <c r="DD39" s="245">
        <f t="shared" si="36"/>
        <v>0</v>
      </c>
      <c r="DE39" s="245">
        <f t="shared" si="36"/>
        <v>0</v>
      </c>
      <c r="DF39" s="245">
        <f t="shared" si="36"/>
        <v>0</v>
      </c>
      <c r="DG39" s="245">
        <f t="shared" si="36"/>
        <v>0</v>
      </c>
      <c r="DH39" t="str">
        <f t="shared" si="27"/>
        <v/>
      </c>
      <c r="DK39" t="str">
        <f t="shared" si="13"/>
        <v/>
      </c>
      <c r="DL39" t="str">
        <f t="shared" si="13"/>
        <v/>
      </c>
      <c r="DM39" t="str">
        <f t="shared" si="13"/>
        <v/>
      </c>
      <c r="DN39" t="str">
        <f t="shared" si="30"/>
        <v/>
      </c>
      <c r="DO39" s="643"/>
      <c r="DS39" s="662"/>
      <c r="DT39" s="662"/>
      <c r="DU39" s="662"/>
      <c r="DV39" s="663"/>
      <c r="DW39" s="643"/>
      <c r="DZ39" s="662"/>
      <c r="EA39" s="662"/>
      <c r="EB39" s="663"/>
      <c r="EC39" s="643"/>
      <c r="EG39" s="662"/>
      <c r="EH39" s="662"/>
      <c r="EI39" s="662"/>
      <c r="EJ39" s="662"/>
      <c r="EK39" s="279"/>
      <c r="EL39" s="247"/>
      <c r="EM39" s="665"/>
      <c r="EN39" s="666"/>
      <c r="EO39" s="279"/>
      <c r="EP39" s="247"/>
      <c r="EQ39" s="665"/>
      <c r="ER39" s="666"/>
      <c r="ES39" s="279"/>
      <c r="ET39" s="247"/>
      <c r="EU39" s="665"/>
      <c r="EV39" s="666"/>
      <c r="EW39" s="279"/>
      <c r="EX39" s="247"/>
      <c r="EY39" s="665"/>
      <c r="EZ39" s="666"/>
      <c r="FA39" s="279"/>
      <c r="FB39" s="247"/>
      <c r="FC39" s="665"/>
      <c r="FD39" s="666"/>
      <c r="FE39" s="279"/>
      <c r="FF39" s="247"/>
      <c r="FG39" s="665"/>
      <c r="FH39" s="666"/>
      <c r="FI39" s="279"/>
      <c r="FJ39" s="247"/>
      <c r="FK39" s="665"/>
      <c r="FL39" s="666"/>
      <c r="FM39" s="279"/>
      <c r="FN39" s="665"/>
      <c r="FO39" s="279"/>
      <c r="FP39" s="247"/>
      <c r="FQ39" s="665"/>
      <c r="FR39" s="679"/>
      <c r="FS39" s="279"/>
      <c r="FT39" s="649"/>
      <c r="FV39" s="279"/>
      <c r="FW39" s="665"/>
      <c r="FX39" s="279"/>
      <c r="FY39" s="665"/>
      <c r="FZ39" s="279"/>
      <c r="GA39" s="665"/>
      <c r="GB39" s="279"/>
      <c r="GC39" s="665"/>
    </row>
    <row r="40" spans="1:185" ht="17" thickBot="1">
      <c r="A40" s="229"/>
      <c r="B40" s="229"/>
      <c r="C40" s="229"/>
      <c r="D40" s="229"/>
      <c r="E40" s="229"/>
      <c r="F40" s="229"/>
      <c r="G40" s="229"/>
      <c r="H40" s="229"/>
      <c r="I40" s="229"/>
      <c r="J40" s="229"/>
      <c r="K40" s="235"/>
      <c r="L40" s="235"/>
      <c r="M40" s="235"/>
      <c r="N40" s="235"/>
      <c r="O40" s="235"/>
      <c r="P40" s="235"/>
      <c r="Q40" s="235"/>
      <c r="R40" s="235"/>
      <c r="S40" s="235"/>
      <c r="T40" s="235"/>
      <c r="U40" s="235"/>
      <c r="V40" s="235"/>
      <c r="W40" s="235"/>
      <c r="X40" s="235"/>
      <c r="Y40" s="243"/>
      <c r="Z40" s="210"/>
      <c r="AA40" s="231"/>
      <c r="AB40" s="210"/>
      <c r="AC40" s="210"/>
      <c r="AD40" s="231"/>
      <c r="AE40" s="231"/>
      <c r="AF40" s="231"/>
      <c r="AG40" s="231"/>
      <c r="BC40" s="231"/>
      <c r="BD40" s="231"/>
      <c r="BE40" s="231"/>
      <c r="BF40" s="231"/>
      <c r="BG40" s="111"/>
      <c r="CB40" s="231"/>
      <c r="CC40" s="231"/>
      <c r="CD40" s="111"/>
      <c r="CX40" s="244"/>
      <c r="CZ40"/>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70" customHeight="1">
      <c r="A41" s="973" t="str">
        <f>"Arbejdstid for "&amp;A7&amp;" måned:"</f>
        <v>Arbejdstid for November måned:</v>
      </c>
      <c r="B41" s="974"/>
      <c r="C41" s="974"/>
      <c r="D41" s="974"/>
      <c r="E41" s="974"/>
      <c r="F41" s="974"/>
      <c r="G41" s="974"/>
      <c r="H41" s="325" t="s">
        <v>255</v>
      </c>
      <c r="I41" s="974" t="s">
        <v>221</v>
      </c>
      <c r="J41" s="975"/>
      <c r="K41" s="976"/>
      <c r="L41" s="258"/>
      <c r="M41" s="1026" t="str">
        <f>"Ulempetimer og weekendtimer i "&amp;A5&amp;""</f>
        <v>Ulempetimer og weekendtimer i November måneds kalender for: . Måneden vedr. normperioden:  - .</v>
      </c>
      <c r="N41" s="1004"/>
      <c r="O41" s="1004"/>
      <c r="P41" s="1004"/>
      <c r="Q41" s="1004"/>
      <c r="R41" s="1004"/>
      <c r="S41" s="1004"/>
      <c r="T41" s="1004"/>
      <c r="U41" s="1004"/>
      <c r="V41" s="1004"/>
      <c r="W41" s="1004"/>
      <c r="X41" s="1005"/>
      <c r="Y41" s="235"/>
      <c r="Z41" s="235"/>
      <c r="AD41" s="89"/>
      <c r="AE41" s="89"/>
      <c r="BM41" s="1"/>
      <c r="CJ41" s="1"/>
      <c r="CU41" s="244"/>
      <c r="CV41" s="244"/>
      <c r="CY41"/>
      <c r="CZ41"/>
    </row>
    <row r="42" spans="1:185">
      <c r="A42" s="977" t="s">
        <v>528</v>
      </c>
      <c r="B42" s="978"/>
      <c r="C42" s="978"/>
      <c r="D42" s="978"/>
      <c r="E42" s="978"/>
      <c r="F42" s="978"/>
      <c r="G42" s="978"/>
      <c r="H42" s="252">
        <f>D77</f>
        <v>21</v>
      </c>
      <c r="I42" s="990">
        <f>IF(Stamoplysninger!$E$12="Ja",1924/Arbejdstidsoversigt!$K$9*Stamoplysninger!$E$15*$H$42,H42*7.4*Stamoplysninger!$E$15)</f>
        <v>154.80459770114942</v>
      </c>
      <c r="J42" s="991"/>
      <c r="K42" s="992"/>
      <c r="L42" s="254"/>
      <c r="M42" s="1027" t="s">
        <v>496</v>
      </c>
      <c r="N42" s="1028"/>
      <c r="O42" s="1028"/>
      <c r="P42" s="1028"/>
      <c r="Q42" s="1028"/>
      <c r="R42" s="1028"/>
      <c r="S42" s="1028"/>
      <c r="T42" s="1028"/>
      <c r="U42" s="1029"/>
      <c r="V42" s="1108">
        <f>P64+P68+P71+P73</f>
        <v>0</v>
      </c>
      <c r="W42" s="1108"/>
      <c r="X42" s="1109"/>
      <c r="Y42" s="235"/>
      <c r="Z42" s="235"/>
      <c r="AD42" s="89"/>
      <c r="AE42" s="89"/>
      <c r="BM42" s="1"/>
      <c r="CJ42" s="1"/>
      <c r="CU42" s="244"/>
      <c r="CV42" s="244"/>
      <c r="CY42"/>
      <c r="CZ42"/>
    </row>
    <row r="43" spans="1:185">
      <c r="A43" s="977" t="str">
        <f>"Ferie "&amp;A7&amp;" måned"</f>
        <v>Ferie November måned</v>
      </c>
      <c r="B43" s="978"/>
      <c r="C43" s="978"/>
      <c r="D43" s="978"/>
      <c r="E43" s="978"/>
      <c r="F43" s="978"/>
      <c r="G43" s="978"/>
      <c r="H43" s="253" t="str">
        <f>IF(D72&gt;0,$D$72,"0")</f>
        <v>0</v>
      </c>
      <c r="I43" s="980">
        <f>H43*7.4*Stamoplysninger!$E$15</f>
        <v>0</v>
      </c>
      <c r="J43" s="1141"/>
      <c r="K43" s="1142"/>
      <c r="L43" s="254"/>
      <c r="M43" s="1114" t="s">
        <v>259</v>
      </c>
      <c r="N43" s="1115"/>
      <c r="O43" s="1115"/>
      <c r="P43" s="1115"/>
      <c r="Q43" s="1115"/>
      <c r="R43" s="1115"/>
      <c r="S43" s="1115"/>
      <c r="T43" s="1115"/>
      <c r="U43" s="1115"/>
      <c r="V43" s="1110">
        <f>Q65+Q67+Q70+Q72</f>
        <v>0</v>
      </c>
      <c r="W43" s="1110"/>
      <c r="X43" s="1111"/>
      <c r="Y43" s="235"/>
      <c r="Z43" s="235"/>
      <c r="AD43" s="89"/>
      <c r="AE43" s="89"/>
      <c r="BM43" s="1"/>
      <c r="CJ43" s="1"/>
      <c r="CU43" s="244"/>
      <c r="CV43" s="244"/>
      <c r="CY43"/>
      <c r="CZ43"/>
    </row>
    <row r="44" spans="1:185">
      <c r="A44" s="977" t="str">
        <f>"Søgnehelligdage i "&amp;A7&amp;" måned"</f>
        <v>Søgnehelligdage i November måned</v>
      </c>
      <c r="B44" s="978"/>
      <c r="C44" s="978"/>
      <c r="D44" s="978"/>
      <c r="E44" s="978"/>
      <c r="F44" s="978"/>
      <c r="G44" s="978"/>
      <c r="H44" s="253">
        <f>IF(D71&gt;0,D71,0)</f>
        <v>0</v>
      </c>
      <c r="I44" s="979">
        <f>H44*7.4*Stamoplysninger!$E$15</f>
        <v>0</v>
      </c>
      <c r="J44" s="980"/>
      <c r="K44" s="981"/>
      <c r="L44" s="386"/>
      <c r="M44" s="1039" t="s">
        <v>295</v>
      </c>
      <c r="N44" s="1040"/>
      <c r="O44" s="1040"/>
      <c r="P44" s="1040"/>
      <c r="Q44" s="1040"/>
      <c r="R44" s="1040"/>
      <c r="S44" s="1040"/>
      <c r="T44" s="1040"/>
      <c r="U44" s="1040"/>
      <c r="V44" s="1112">
        <f>Oktober!V53</f>
        <v>0</v>
      </c>
      <c r="W44" s="1112"/>
      <c r="X44" s="1113"/>
      <c r="Y44" s="235"/>
      <c r="Z44" s="235"/>
      <c r="AD44" s="89"/>
      <c r="AE44" s="89"/>
      <c r="BM44" s="1"/>
      <c r="CJ44" s="1"/>
      <c r="CU44" s="244"/>
      <c r="CV44" s="244"/>
      <c r="CY44"/>
      <c r="CZ44"/>
    </row>
    <row r="45" spans="1:185">
      <c r="A45" s="977" t="str">
        <f>"Nettoarbejdstid ialt i "&amp;A7&amp;" måned"</f>
        <v>Nettoarbejdstid ialt i November måned</v>
      </c>
      <c r="B45" s="978"/>
      <c r="C45" s="978"/>
      <c r="D45" s="978"/>
      <c r="E45" s="978"/>
      <c r="F45" s="978"/>
      <c r="G45" s="978"/>
      <c r="H45" s="256">
        <f>H42-H43-H44</f>
        <v>21</v>
      </c>
      <c r="I45" s="979">
        <f>I42-I43-I44</f>
        <v>154.80459770114942</v>
      </c>
      <c r="J45" s="980"/>
      <c r="K45" s="981"/>
      <c r="L45" s="386"/>
      <c r="M45" s="1121" t="s">
        <v>301</v>
      </c>
      <c r="N45" s="1122"/>
      <c r="O45" s="1122"/>
      <c r="P45" s="1122"/>
      <c r="Q45" s="1122"/>
      <c r="R45" s="1122"/>
      <c r="S45" s="1122"/>
      <c r="T45" s="1122"/>
      <c r="U45" s="1122"/>
      <c r="V45" s="1116">
        <f>V43+V44</f>
        <v>0</v>
      </c>
      <c r="W45" s="1116"/>
      <c r="X45" s="1117"/>
      <c r="Y45" s="235"/>
      <c r="Z45" s="235"/>
      <c r="AD45" s="89"/>
      <c r="AE45" s="89"/>
      <c r="BM45" s="1"/>
      <c r="CJ45" s="1"/>
      <c r="CU45" s="244"/>
      <c r="CV45" s="244"/>
      <c r="CY45"/>
      <c r="CZ45"/>
    </row>
    <row r="46" spans="1:185">
      <c r="A46" s="993" t="str">
        <f>"Planlagt arbejdstid efter ovennstående "&amp;A7&amp;" måned kalender"</f>
        <v>Planlagt arbejdstid efter ovennstående November måned kalender</v>
      </c>
      <c r="B46" s="994"/>
      <c r="C46" s="994"/>
      <c r="D46" s="994"/>
      <c r="E46" s="994"/>
      <c r="F46" s="994"/>
      <c r="G46" s="994"/>
      <c r="H46" s="468">
        <f>D63+D64+D65+D66+D67+D68+D69</f>
        <v>21</v>
      </c>
      <c r="I46" s="995">
        <f>N39+R39+V105</f>
        <v>0</v>
      </c>
      <c r="J46" s="996"/>
      <c r="K46" s="997"/>
      <c r="L46" s="386"/>
      <c r="M46" s="1118" t="s">
        <v>293</v>
      </c>
      <c r="N46" s="1119"/>
      <c r="O46" s="1119"/>
      <c r="P46" s="1119"/>
      <c r="Q46" s="1119"/>
      <c r="R46" s="1119"/>
      <c r="S46" s="1119"/>
      <c r="T46" s="1119"/>
      <c r="U46" s="1119"/>
      <c r="V46" s="1119"/>
      <c r="W46" s="1119"/>
      <c r="X46" s="1120"/>
      <c r="Y46" s="235"/>
      <c r="Z46" s="235"/>
      <c r="AD46" s="89"/>
      <c r="AE46" s="89"/>
      <c r="BM46" s="1"/>
      <c r="CJ46" s="1"/>
      <c r="CU46" s="244"/>
      <c r="CV46" s="244"/>
      <c r="CY46"/>
      <c r="CZ46"/>
    </row>
    <row r="47" spans="1:185">
      <c r="A47" s="1001" t="s">
        <v>451</v>
      </c>
      <c r="B47" s="1002"/>
      <c r="C47" s="1002"/>
      <c r="D47" s="1002"/>
      <c r="E47" s="1002"/>
      <c r="F47" s="1002"/>
      <c r="G47" s="1002"/>
      <c r="H47" s="1003"/>
      <c r="I47" s="998">
        <f>(FI40+FM40+FO40+FV40+FX40+FZ40+GB40)*-1+FK40+FN40+FQ40+FW40+FY40+GA40+GC40+FU40</f>
        <v>0</v>
      </c>
      <c r="J47" s="999"/>
      <c r="K47" s="1000"/>
      <c r="L47" s="387"/>
      <c r="M47" s="1123" t="s">
        <v>462</v>
      </c>
      <c r="N47" s="1124"/>
      <c r="O47" s="1124"/>
      <c r="P47" s="1124"/>
      <c r="Q47" s="1124"/>
      <c r="R47" s="1124"/>
      <c r="S47" s="1124"/>
      <c r="T47" s="1124"/>
      <c r="U47" s="1124"/>
      <c r="V47" s="1099" t="s">
        <v>221</v>
      </c>
      <c r="W47" s="1099"/>
      <c r="X47" s="1100"/>
      <c r="Y47" s="235"/>
      <c r="Z47" s="235"/>
      <c r="AD47" s="89"/>
      <c r="AE47" s="89"/>
      <c r="BM47" s="1"/>
      <c r="CJ47" s="1"/>
      <c r="CU47" s="244"/>
      <c r="CV47" s="244"/>
      <c r="CY47"/>
      <c r="CZ47"/>
    </row>
    <row r="48" spans="1:185">
      <c r="A48" s="1020" t="str">
        <f>"Arbejde særligt planlagt for "&amp;A7&amp;" måned efter fanen skemaoplysninger"</f>
        <v>Arbejde særligt planlagt for November måned efter fanen skemaoplysninger</v>
      </c>
      <c r="B48" s="1021"/>
      <c r="C48" s="1021"/>
      <c r="D48" s="1021"/>
      <c r="E48" s="1021"/>
      <c r="F48" s="1021"/>
      <c r="G48" s="1021"/>
      <c r="H48" s="1022"/>
      <c r="I48" s="996">
        <f>Skemaoplysninger!N91</f>
        <v>0</v>
      </c>
      <c r="J48" s="1018"/>
      <c r="K48" s="1019"/>
      <c r="L48" s="388"/>
      <c r="M48" s="1125"/>
      <c r="N48" s="1126"/>
      <c r="O48" s="1126"/>
      <c r="P48" s="1126"/>
      <c r="Q48" s="1126"/>
      <c r="R48" s="1126"/>
      <c r="S48" s="1126"/>
      <c r="T48" s="1126"/>
      <c r="U48" s="1127"/>
      <c r="V48" s="1062"/>
      <c r="W48" s="1062"/>
      <c r="X48" s="1063"/>
      <c r="Y48"/>
      <c r="Z48" s="235"/>
      <c r="AA48" s="235"/>
      <c r="AG48" s="89"/>
      <c r="AH48" s="89"/>
      <c r="BA48" s="235"/>
      <c r="BO48" s="1"/>
      <c r="CL48" s="1"/>
      <c r="CV48" s="244"/>
      <c r="CW48" s="244"/>
      <c r="CY48"/>
      <c r="CZ48"/>
    </row>
    <row r="49" spans="1:110">
      <c r="A49" s="982" t="s">
        <v>291</v>
      </c>
      <c r="B49" s="983"/>
      <c r="C49" s="983"/>
      <c r="D49" s="983"/>
      <c r="E49" s="983"/>
      <c r="F49" s="983"/>
      <c r="G49" s="983"/>
      <c r="H49" s="983"/>
      <c r="I49" s="984">
        <f>V39+X39-FA40+R105</f>
        <v>0</v>
      </c>
      <c r="J49" s="985"/>
      <c r="K49" s="986"/>
      <c r="L49" s="388"/>
      <c r="M49" s="1082"/>
      <c r="N49" s="1083"/>
      <c r="O49" s="1083"/>
      <c r="P49" s="1083"/>
      <c r="Q49" s="1083"/>
      <c r="R49" s="1083"/>
      <c r="S49" s="1083"/>
      <c r="T49" s="1083"/>
      <c r="U49" s="1083"/>
      <c r="V49" s="885"/>
      <c r="W49" s="886"/>
      <c r="X49" s="887"/>
      <c r="Y49"/>
      <c r="Z49" s="235"/>
      <c r="AA49" s="235"/>
      <c r="AE49" s="89"/>
      <c r="AG49" s="89"/>
      <c r="BN49" s="1"/>
      <c r="CK49" s="1"/>
      <c r="CV49" s="244"/>
      <c r="CW49" s="244"/>
      <c r="CY49"/>
      <c r="CZ49"/>
    </row>
    <row r="50" spans="1:110" ht="17" thickBot="1">
      <c r="A50" s="257" t="str">
        <f>"Faktisk arbejdstid ialt i "&amp;A7&amp;" måned"</f>
        <v>Faktisk arbejdstid ialt i November måned</v>
      </c>
      <c r="B50" s="309"/>
      <c r="C50" s="310"/>
      <c r="D50" s="310"/>
      <c r="E50" s="310"/>
      <c r="F50" s="310"/>
      <c r="G50" s="310"/>
      <c r="H50" s="311"/>
      <c r="I50" s="1023">
        <f>I46+I49+I48+I47</f>
        <v>0</v>
      </c>
      <c r="J50" s="1024"/>
      <c r="K50" s="1025"/>
      <c r="L50" s="388"/>
      <c r="M50" s="1082"/>
      <c r="N50" s="1083"/>
      <c r="O50" s="1083"/>
      <c r="P50" s="1083"/>
      <c r="Q50" s="1083"/>
      <c r="R50" s="1083"/>
      <c r="S50" s="1083"/>
      <c r="T50" s="1083"/>
      <c r="U50" s="1083"/>
      <c r="V50" s="885"/>
      <c r="W50" s="886"/>
      <c r="X50" s="887"/>
      <c r="Y50" s="235"/>
      <c r="Z50" s="235"/>
      <c r="AA50" s="213"/>
      <c r="AB50" s="243"/>
      <c r="AC50" s="243"/>
      <c r="AD50" s="243"/>
      <c r="AE50" s="235"/>
      <c r="AF50" s="243"/>
      <c r="AH50" s="235"/>
      <c r="AI50" s="235"/>
      <c r="AM50" s="89"/>
      <c r="AN50" s="89"/>
      <c r="BU50" s="1"/>
      <c r="CR50" s="1"/>
      <c r="CY50"/>
      <c r="CZ50"/>
      <c r="DC50" s="244"/>
      <c r="DD50" s="244"/>
    </row>
    <row r="51" spans="1:110" ht="17" thickBot="1">
      <c r="A51" s="251"/>
      <c r="B51" s="251"/>
      <c r="C51" s="251"/>
      <c r="D51" s="251"/>
      <c r="E51" s="251"/>
      <c r="F51" s="251"/>
      <c r="G51" s="251"/>
      <c r="H51" s="251"/>
      <c r="I51" s="514"/>
      <c r="J51" s="514"/>
      <c r="K51" s="514"/>
      <c r="L51" s="492"/>
      <c r="M51" s="1082"/>
      <c r="N51" s="1083"/>
      <c r="O51" s="1083"/>
      <c r="P51" s="1083"/>
      <c r="Q51" s="1083"/>
      <c r="R51" s="1083"/>
      <c r="S51" s="1083"/>
      <c r="T51" s="1083"/>
      <c r="U51" s="1083"/>
      <c r="V51" s="885"/>
      <c r="W51" s="886"/>
      <c r="X51" s="887"/>
      <c r="Y51" s="235"/>
      <c r="Z51" s="235"/>
      <c r="AA51" s="235"/>
      <c r="AB51" s="235"/>
      <c r="AC51" s="213"/>
      <c r="AD51" s="243"/>
      <c r="AE51" s="243"/>
      <c r="AF51" s="243"/>
      <c r="AG51" s="243"/>
      <c r="AH51" s="235"/>
      <c r="AJ51" s="235"/>
      <c r="AK51" s="235"/>
      <c r="AO51" s="89"/>
      <c r="AP51" s="89"/>
      <c r="BW51" s="1"/>
      <c r="CT51" s="1"/>
      <c r="CY51"/>
      <c r="CZ51"/>
      <c r="DE51" s="244"/>
      <c r="DF51" s="244"/>
    </row>
    <row r="52" spans="1:110" ht="25" thickBot="1">
      <c r="A52" s="973" t="s">
        <v>478</v>
      </c>
      <c r="B52" s="974"/>
      <c r="C52" s="974"/>
      <c r="D52" s="974"/>
      <c r="E52" s="974"/>
      <c r="F52" s="974"/>
      <c r="G52" s="974"/>
      <c r="H52" s="698" t="s">
        <v>669</v>
      </c>
      <c r="I52" s="1133" t="s">
        <v>477</v>
      </c>
      <c r="J52" s="1133"/>
      <c r="K52" s="1134"/>
      <c r="L52" s="492"/>
      <c r="M52" s="1093" t="s">
        <v>294</v>
      </c>
      <c r="N52" s="1094"/>
      <c r="O52" s="1094"/>
      <c r="P52" s="1094"/>
      <c r="Q52" s="1094"/>
      <c r="R52" s="1094"/>
      <c r="S52" s="1094"/>
      <c r="T52" s="1094"/>
      <c r="U52" s="1095"/>
      <c r="V52" s="1096">
        <f>V45-SUM(V48:X51)</f>
        <v>0</v>
      </c>
      <c r="W52" s="1097"/>
      <c r="X52" s="1098"/>
      <c r="Y52" s="235"/>
      <c r="Z52" s="235"/>
      <c r="AA52" s="235"/>
      <c r="AB52" s="235"/>
      <c r="AC52" s="213"/>
      <c r="AD52" s="243"/>
      <c r="AE52" s="243"/>
      <c r="AF52" s="243"/>
      <c r="AG52" s="243"/>
      <c r="AH52" s="235"/>
      <c r="AJ52" s="235"/>
      <c r="AK52" s="235"/>
      <c r="AO52" s="89"/>
      <c r="AP52" s="89"/>
      <c r="BW52" s="1"/>
      <c r="CT52" s="1"/>
      <c r="CY52"/>
      <c r="CZ52"/>
      <c r="DE52" s="244"/>
      <c r="DF52" s="244"/>
    </row>
    <row r="53" spans="1:110" ht="16" customHeight="1">
      <c r="A53" s="1008"/>
      <c r="B53" s="1009"/>
      <c r="C53" s="1009"/>
      <c r="D53" s="1009"/>
      <c r="E53" s="1009"/>
      <c r="F53" s="1009"/>
      <c r="G53" s="1009"/>
      <c r="H53" s="597">
        <f>Oktober!H62</f>
        <v>0</v>
      </c>
      <c r="I53" s="1099">
        <f>Oktober!I62</f>
        <v>0</v>
      </c>
      <c r="J53" s="1099"/>
      <c r="K53" s="1100"/>
      <c r="L53" s="492"/>
      <c r="M53" s="235"/>
      <c r="N53" s="235"/>
      <c r="O53" s="235"/>
      <c r="P53" s="235"/>
      <c r="Q53" s="213"/>
      <c r="R53" s="243"/>
      <c r="S53" s="243"/>
      <c r="T53" s="243"/>
      <c r="U53" s="243"/>
      <c r="V53" s="235"/>
      <c r="X53" s="235"/>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84" t="s">
        <v>481</v>
      </c>
      <c r="B54" s="1085"/>
      <c r="C54" s="1085"/>
      <c r="D54" s="1085"/>
      <c r="E54" s="1085"/>
      <c r="F54" s="1085"/>
      <c r="G54" s="1086"/>
      <c r="H54" s="595"/>
      <c r="I54" s="1138"/>
      <c r="J54" s="1139"/>
      <c r="K54" s="1140"/>
      <c r="L54" s="492"/>
      <c r="M54" s="235"/>
      <c r="N54" s="235"/>
      <c r="O54" s="235"/>
      <c r="P54" s="235"/>
      <c r="Q54" s="213"/>
      <c r="R54" s="243"/>
      <c r="S54" s="243"/>
      <c r="T54" s="243"/>
      <c r="U54" s="243"/>
      <c r="V54" s="235"/>
      <c r="X54" s="235"/>
      <c r="Y54" s="235"/>
      <c r="Z54" s="235"/>
      <c r="AA54" s="235"/>
      <c r="AB54" s="235"/>
      <c r="AC54" s="213"/>
      <c r="AD54" s="243"/>
      <c r="AE54" s="243"/>
      <c r="AF54" s="243"/>
      <c r="AG54" s="243"/>
      <c r="AH54" s="235"/>
      <c r="AJ54" s="235"/>
      <c r="AK54" s="235"/>
      <c r="AO54" s="89"/>
      <c r="AP54" s="89"/>
      <c r="BW54" s="1"/>
      <c r="CT54" s="1"/>
      <c r="CY54"/>
      <c r="CZ54"/>
      <c r="DE54" s="244"/>
      <c r="DF54" s="244"/>
    </row>
    <row r="55" spans="1:110" ht="37" customHeight="1">
      <c r="A55" s="879" t="s">
        <v>670</v>
      </c>
      <c r="B55" s="880"/>
      <c r="C55" s="880"/>
      <c r="D55" s="880"/>
      <c r="E55" s="880"/>
      <c r="F55" s="880"/>
      <c r="G55" s="880"/>
      <c r="H55" s="880"/>
      <c r="I55" s="880"/>
      <c r="J55" s="880"/>
      <c r="K55" s="881"/>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5" customHeight="1">
      <c r="A56" s="1010" t="s">
        <v>671</v>
      </c>
      <c r="B56" s="1011"/>
      <c r="C56" s="913" t="s">
        <v>509</v>
      </c>
      <c r="D56" s="914"/>
      <c r="E56" s="915" t="s">
        <v>510</v>
      </c>
      <c r="F56" s="880"/>
      <c r="G56" s="916"/>
      <c r="H56" s="925" t="s">
        <v>479</v>
      </c>
      <c r="I56" s="925"/>
      <c r="J56" s="925"/>
      <c r="K56" s="926"/>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c r="A57" s="917"/>
      <c r="B57" s="918"/>
      <c r="C57" s="921"/>
      <c r="D57" s="920"/>
      <c r="E57" s="922"/>
      <c r="F57" s="923"/>
      <c r="G57" s="924"/>
      <c r="H57" s="596"/>
      <c r="I57" s="911"/>
      <c r="J57" s="911"/>
      <c r="K57" s="912"/>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919"/>
      <c r="B58" s="920"/>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919"/>
      <c r="B60" s="920"/>
      <c r="C60" s="921"/>
      <c r="D60" s="920"/>
      <c r="E60" s="922"/>
      <c r="F60" s="923"/>
      <c r="G60" s="924"/>
      <c r="H60" s="596"/>
      <c r="I60" s="911"/>
      <c r="J60" s="911"/>
      <c r="K60" s="912"/>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ht="17" thickBot="1">
      <c r="A61" s="908" t="s">
        <v>480</v>
      </c>
      <c r="B61" s="909"/>
      <c r="C61" s="910"/>
      <c r="D61" s="910"/>
      <c r="E61" s="910"/>
      <c r="F61" s="910"/>
      <c r="G61" s="910"/>
      <c r="H61" s="598">
        <f>H54+H53-SUM(H57:H60)</f>
        <v>0</v>
      </c>
      <c r="I61" s="927">
        <f>I53+I54-SUM(I57:K60)</f>
        <v>0</v>
      </c>
      <c r="J61" s="928"/>
      <c r="K61" s="929"/>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idden="1">
      <c r="A62" s="488"/>
      <c r="B62" s="488"/>
      <c r="C62" s="488"/>
      <c r="D62" s="488"/>
      <c r="E62" s="488"/>
      <c r="F62" s="488"/>
      <c r="G62" s="488"/>
      <c r="H62" s="444"/>
      <c r="I62" s="498"/>
      <c r="J62" s="498"/>
      <c r="K62" s="488"/>
      <c r="L62" s="650"/>
      <c r="M62" s="650"/>
      <c r="N62" s="650"/>
      <c r="O62" s="650"/>
      <c r="P62" s="650"/>
      <c r="Q62" s="516"/>
      <c r="R62" s="517"/>
      <c r="S62" s="517"/>
      <c r="T62" s="517"/>
      <c r="U62" s="517"/>
      <c r="V62" s="515" t="s">
        <v>570</v>
      </c>
      <c r="W62" s="518"/>
      <c r="X62" s="515"/>
      <c r="Y62"/>
      <c r="Z62"/>
      <c r="AA62" s="89"/>
      <c r="AB62" s="89"/>
      <c r="BI62" s="1"/>
      <c r="CF62" s="1"/>
      <c r="CQ62" s="244"/>
      <c r="CR62" s="244"/>
      <c r="CY62"/>
      <c r="CZ62"/>
    </row>
    <row r="63" spans="1:110" hidden="1">
      <c r="A63" s="490" t="s">
        <v>206</v>
      </c>
      <c r="B63" s="490"/>
      <c r="C63" s="490"/>
      <c r="D63" s="490">
        <f>COUNTIF([0]!November,"Skema 1")</f>
        <v>21</v>
      </c>
      <c r="E63" s="491"/>
      <c r="F63" s="490" t="s">
        <v>186</v>
      </c>
      <c r="G63" s="490">
        <f>COUNTIFS($B$9:$B$38,"ma",[0]!November,"Skema 1")</f>
        <v>4</v>
      </c>
      <c r="H63" s="122"/>
      <c r="I63" s="503"/>
      <c r="J63" s="650"/>
      <c r="K63" s="650"/>
      <c r="L63" s="503"/>
      <c r="M63" s="651"/>
      <c r="N63" s="650"/>
      <c r="O63" s="651"/>
      <c r="P63" s="669" t="s">
        <v>588</v>
      </c>
      <c r="Q63" s="671" t="s">
        <v>599</v>
      </c>
      <c r="R63" s="227"/>
      <c r="S63" s="227"/>
      <c r="T63" s="227"/>
      <c r="U63" s="227"/>
      <c r="V63" s="227"/>
      <c r="W63" s="117"/>
      <c r="X63" s="117"/>
      <c r="Y63"/>
      <c r="Z63"/>
      <c r="AA63" s="89"/>
      <c r="AB63" s="89"/>
      <c r="BI63" s="1"/>
      <c r="CF63" s="1"/>
      <c r="CQ63" s="244"/>
      <c r="CR63" s="244"/>
      <c r="CY63"/>
      <c r="CZ63"/>
    </row>
    <row r="64" spans="1:110" hidden="1">
      <c r="A64" s="1128" t="s">
        <v>207</v>
      </c>
      <c r="B64" s="1128"/>
      <c r="C64" s="1128"/>
      <c r="D64" s="490">
        <f>COUNTIF([0]!November,"Skema 2")</f>
        <v>0</v>
      </c>
      <c r="E64" s="491"/>
      <c r="F64" s="490" t="s">
        <v>187</v>
      </c>
      <c r="G64" s="490">
        <f>COUNTIFS($B$9:$B$38,"ti",[0]!November,"Skema 1")</f>
        <v>4</v>
      </c>
      <c r="H64" s="122"/>
      <c r="I64" s="503" t="s">
        <v>589</v>
      </c>
      <c r="J64" s="650"/>
      <c r="K64" s="503"/>
      <c r="L64" s="653"/>
      <c r="M64" s="651"/>
      <c r="N64" s="651"/>
      <c r="O64" s="654"/>
      <c r="P64" s="669">
        <f>IF(Stamoplysninger!$B$22="Ulempetillæg udbetales med 25% af nettotimelønnen.",SUM(DO40:DR40)-SUM(DS40:DV40),0)</f>
        <v>0</v>
      </c>
      <c r="Q64" s="671"/>
      <c r="R64" s="227"/>
      <c r="S64" s="227"/>
      <c r="T64" s="227"/>
      <c r="U64" s="227"/>
      <c r="V64" s="227"/>
      <c r="W64" s="117"/>
      <c r="X64" s="117"/>
      <c r="Y64"/>
      <c r="Z64"/>
      <c r="AA64" s="89"/>
      <c r="AB64" s="89"/>
      <c r="BI64" s="1"/>
      <c r="CF64" s="1"/>
      <c r="CQ64" s="244"/>
      <c r="CR64" s="244"/>
      <c r="CY64"/>
      <c r="CZ64"/>
    </row>
    <row r="65" spans="1:109" hidden="1">
      <c r="A65" s="1128" t="s">
        <v>208</v>
      </c>
      <c r="B65" s="1128"/>
      <c r="C65" s="1128"/>
      <c r="D65" s="490">
        <f>COUNTIF([0]!November,"Skema 3")</f>
        <v>0</v>
      </c>
      <c r="E65" s="491"/>
      <c r="F65" s="490" t="s">
        <v>188</v>
      </c>
      <c r="G65" s="490">
        <f>COUNTIFS($B$9:$B$38,"on",[0]!November,"Skema 1")</f>
        <v>4</v>
      </c>
      <c r="H65" s="490"/>
      <c r="I65" s="668" t="s">
        <v>590</v>
      </c>
      <c r="J65" s="650"/>
      <c r="K65" s="503"/>
      <c r="L65" s="653"/>
      <c r="M65" s="651"/>
      <c r="N65" s="651"/>
      <c r="O65" s="651"/>
      <c r="P65" s="669"/>
      <c r="Q65" s="671">
        <f>IF(Stamoplysninger!$B$22="Ulempetillæg afspadseres med 25%(Kræver en aftale imellem ledelsen og den ansatte)",EC40+ED40+EE40+EF40-EG40-EH40-EI40-EJ40,0)</f>
        <v>0</v>
      </c>
      <c r="R65" s="227"/>
      <c r="S65" s="227"/>
      <c r="T65" s="227"/>
      <c r="U65" s="227"/>
      <c r="V65" s="227"/>
      <c r="W65" s="117"/>
      <c r="X65" s="117"/>
      <c r="Y65"/>
      <c r="Z65"/>
      <c r="AA65" s="89"/>
      <c r="AB65" s="89"/>
      <c r="BI65" s="1"/>
      <c r="CF65" s="1"/>
      <c r="CQ65" s="244"/>
      <c r="CR65" s="244"/>
      <c r="CY65"/>
      <c r="CZ65"/>
    </row>
    <row r="66" spans="1:109" hidden="1">
      <c r="A66" s="1128" t="s">
        <v>209</v>
      </c>
      <c r="B66" s="1128"/>
      <c r="C66" s="1128"/>
      <c r="D66" s="490">
        <f>COUNTIF([0]!November,"Skema 4")</f>
        <v>0</v>
      </c>
      <c r="E66" s="491"/>
      <c r="F66" s="490" t="s">
        <v>190</v>
      </c>
      <c r="G66" s="490">
        <f>COUNTIFS($B$9:$B$38,"to",[0]!November,"Skema 1")</f>
        <v>4</v>
      </c>
      <c r="H66" s="490"/>
      <c r="I66" s="668" t="s">
        <v>591</v>
      </c>
      <c r="J66" s="650"/>
      <c r="K66" s="503"/>
      <c r="L66" s="653"/>
      <c r="M66" s="656"/>
      <c r="N66" s="656"/>
      <c r="O66" s="4"/>
      <c r="P66" s="669"/>
      <c r="Q66" s="671"/>
      <c r="R66" s="227"/>
      <c r="S66" s="227"/>
      <c r="T66" s="227"/>
      <c r="U66" s="227"/>
      <c r="V66" s="227"/>
      <c r="W66" s="117"/>
      <c r="X66" s="117"/>
      <c r="Y66" s="235"/>
      <c r="Z66" s="235"/>
      <c r="AA66" s="235"/>
      <c r="AB66" s="213"/>
      <c r="AC66" s="243"/>
      <c r="AD66" s="243"/>
      <c r="AE66" s="243"/>
      <c r="AF66" s="243"/>
      <c r="AG66" s="235"/>
      <c r="AI66" s="235"/>
      <c r="AJ66" s="235"/>
      <c r="AN66" s="89"/>
      <c r="AO66" s="89"/>
      <c r="BV66" s="1"/>
      <c r="CS66" s="1"/>
      <c r="CY66"/>
      <c r="CZ66"/>
      <c r="DD66" s="244"/>
      <c r="DE66" s="244"/>
    </row>
    <row r="67" spans="1:109" hidden="1">
      <c r="A67" s="490" t="s">
        <v>112</v>
      </c>
      <c r="B67" s="490"/>
      <c r="C67" s="490"/>
      <c r="D67" s="490">
        <f>COUNTIF([0]!November,"Fagdag")+COUNTIF([0]!November,"emnedag")</f>
        <v>0</v>
      </c>
      <c r="E67" s="491"/>
      <c r="F67" s="490" t="s">
        <v>189</v>
      </c>
      <c r="G67" s="490">
        <f>COUNTIFS($B$9:$B$38,"fr",[0]!November,"Skema 1")</f>
        <v>5</v>
      </c>
      <c r="H67" s="490"/>
      <c r="I67" s="653" t="s">
        <v>592</v>
      </c>
      <c r="J67" s="650"/>
      <c r="K67" s="503"/>
      <c r="L67" s="653"/>
      <c r="M67" s="656"/>
      <c r="N67" s="656"/>
      <c r="O67" s="4"/>
      <c r="P67" s="669"/>
      <c r="Q67" s="671">
        <f>IF(Stamoplysninger!$B$26="Weekendtimer og weekendtillæg afspadseres.",EK40+EL40-EM40-EN40,0)</f>
        <v>0</v>
      </c>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4" t="s">
        <v>111</v>
      </c>
      <c r="B68" s="490"/>
      <c r="C68" s="490"/>
      <c r="D68" s="490">
        <f>COUNTIF([0]!November,"Lejrskole")+COUNTIF([0]!November,"Ekskursion")</f>
        <v>0</v>
      </c>
      <c r="E68" s="491"/>
      <c r="F68" s="490"/>
      <c r="G68" s="490"/>
      <c r="H68" s="490"/>
      <c r="I68" s="653" t="s">
        <v>593</v>
      </c>
      <c r="J68" s="653"/>
      <c r="K68" s="653"/>
      <c r="L68" s="653"/>
      <c r="M68" s="657"/>
      <c r="N68" s="657"/>
      <c r="O68" s="4"/>
      <c r="P68" s="670">
        <f>IF(Stamoplysninger!$B$26="Weekendtimer og weekendtillæg udbetales.",EO40+EP40-EQ40-ER40,0)</f>
        <v>0</v>
      </c>
      <c r="Q68" s="671"/>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0" t="s">
        <v>110</v>
      </c>
      <c r="B69" s="490"/>
      <c r="C69" s="490"/>
      <c r="D69" s="490">
        <f>COUNTIF([0]!November,"Pæd.dag")</f>
        <v>0</v>
      </c>
      <c r="E69" s="491"/>
      <c r="F69" s="490" t="s">
        <v>191</v>
      </c>
      <c r="G69" s="490">
        <f>COUNTIFS($B$9:$B$38,"ma",[0]!November,"Skema 2")</f>
        <v>0</v>
      </c>
      <c r="H69" s="490"/>
      <c r="I69" s="653" t="s">
        <v>594</v>
      </c>
      <c r="J69" s="653"/>
      <c r="K69" s="653"/>
      <c r="L69" s="653"/>
      <c r="M69" s="657"/>
      <c r="N69" s="657"/>
      <c r="O69" s="4"/>
      <c r="P69" s="669"/>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120</v>
      </c>
      <c r="B70" s="490"/>
      <c r="C70" s="490"/>
      <c r="D70" s="490">
        <f>COUNTIF([0]!November,"Weekend")</f>
        <v>9</v>
      </c>
      <c r="E70" s="491"/>
      <c r="F70" s="490" t="s">
        <v>192</v>
      </c>
      <c r="G70" s="490">
        <f>COUNTIFS($B$9:$B$38,"ti",[0]!November,"Skema 2")</f>
        <v>0</v>
      </c>
      <c r="H70" s="490"/>
      <c r="I70" s="653" t="s">
        <v>595</v>
      </c>
      <c r="J70" s="653"/>
      <c r="K70" s="653"/>
      <c r="L70" s="653"/>
      <c r="M70" s="658"/>
      <c r="N70" s="658"/>
      <c r="O70" s="4"/>
      <c r="P70" s="669"/>
      <c r="Q70" s="672">
        <f>IF(Stamoplysninger!$B$26="Der er indgået lokalaftale omkring weekendtimer.(Kræver aftale med TR/FSL) Weekendtillæg afspadseres.",ES40+ET40-EU40-EV40,0)</f>
        <v>0</v>
      </c>
      <c r="R70" s="227"/>
      <c r="S70" s="227"/>
      <c r="T70" s="227"/>
      <c r="U70" s="227"/>
      <c r="V70" s="227"/>
      <c r="W70" s="117"/>
      <c r="X70" s="117"/>
      <c r="Y70"/>
      <c r="Z70"/>
      <c r="AM70" s="1"/>
      <c r="BJ70" s="1"/>
      <c r="BU70" s="244"/>
      <c r="BV70" s="244"/>
      <c r="CY70"/>
      <c r="CZ70"/>
    </row>
    <row r="71" spans="1:109" hidden="1">
      <c r="A71" s="490" t="s">
        <v>127</v>
      </c>
      <c r="B71" s="490"/>
      <c r="C71" s="490"/>
      <c r="D71" s="490">
        <f>COUNTIF([0]!November,"SH-dag")</f>
        <v>0</v>
      </c>
      <c r="E71" s="491"/>
      <c r="F71" s="490" t="s">
        <v>193</v>
      </c>
      <c r="G71" s="490">
        <f>COUNTIFS($B$9:$B$38,"on",[0]!November,"Skema 2")</f>
        <v>0</v>
      </c>
      <c r="H71" s="490"/>
      <c r="I71" s="653" t="s">
        <v>596</v>
      </c>
      <c r="J71" s="653"/>
      <c r="K71" s="653"/>
      <c r="L71" s="653"/>
      <c r="M71" s="658"/>
      <c r="N71" s="658"/>
      <c r="O71" s="4"/>
      <c r="P71" s="669">
        <f>IF(Stamoplysninger!$B$26="Der er indgået lokalaftale omkring weekendtimer(Kræver aftale med TR/FSL). Weekendtillæg udbetales.",EW40+EX40-EY40-EZ40,0)</f>
        <v>0</v>
      </c>
      <c r="Q71" s="671"/>
      <c r="R71" s="227"/>
      <c r="S71" s="227"/>
      <c r="T71" s="227"/>
      <c r="U71" s="227"/>
      <c r="V71" s="227"/>
      <c r="W71" s="117"/>
      <c r="X71" s="117"/>
      <c r="Y71"/>
      <c r="Z71"/>
      <c r="AM71" s="1"/>
      <c r="BJ71" s="1"/>
      <c r="BU71" s="244"/>
      <c r="BV71" s="244"/>
      <c r="CY71"/>
      <c r="CZ71"/>
    </row>
    <row r="72" spans="1:109" hidden="1">
      <c r="A72" s="490" t="s">
        <v>109</v>
      </c>
      <c r="B72" s="490"/>
      <c r="C72" s="490"/>
      <c r="D72" s="490">
        <f>COUNTIF([0]!November,"Feriedag")</f>
        <v>0</v>
      </c>
      <c r="E72" s="491"/>
      <c r="F72" s="490" t="s">
        <v>194</v>
      </c>
      <c r="G72" s="490">
        <f>COUNTIFS($B$9:$B$38,"to",[0]!November,"Skema 2")</f>
        <v>0</v>
      </c>
      <c r="H72" s="490"/>
      <c r="I72" s="653" t="s">
        <v>597</v>
      </c>
      <c r="J72" s="653"/>
      <c r="K72" s="653"/>
      <c r="L72" s="653"/>
      <c r="M72" s="658"/>
      <c r="N72" s="658"/>
      <c r="O72" s="4"/>
      <c r="P72" s="669"/>
      <c r="Q72" s="620">
        <f>IF(Stamoplysninger!$B$26="Der er indgået lokalaftale omkring weekendtillæg(Kræver aftale med TR/FSL). Weekendtimerne afspadseres.",FA40+FB40-FC40-FD40,0)</f>
        <v>0</v>
      </c>
      <c r="R72" s="40"/>
      <c r="S72" s="40"/>
      <c r="T72" s="40"/>
      <c r="Y72"/>
      <c r="Z72"/>
      <c r="AM72" s="1"/>
      <c r="BJ72" s="1"/>
      <c r="BU72" s="244"/>
      <c r="BV72" s="244"/>
      <c r="CY72"/>
      <c r="CZ72"/>
    </row>
    <row r="73" spans="1:109" hidden="1">
      <c r="A73" s="490" t="s">
        <v>178</v>
      </c>
      <c r="B73" s="490"/>
      <c r="C73" s="490"/>
      <c r="D73" s="490">
        <f>COUNTIF([0]!November,"Nul-dag")</f>
        <v>0</v>
      </c>
      <c r="E73" s="491"/>
      <c r="F73" s="490" t="s">
        <v>195</v>
      </c>
      <c r="G73" s="490">
        <f>COUNTIFS($B$9:$B$38,"fr",[0]!November,"Skema 2")</f>
        <v>0</v>
      </c>
      <c r="H73" s="490"/>
      <c r="I73" s="653" t="s">
        <v>598</v>
      </c>
      <c r="J73" s="653"/>
      <c r="K73" s="653"/>
      <c r="L73" s="653"/>
      <c r="M73" s="658"/>
      <c r="N73" s="658"/>
      <c r="O73" s="4"/>
      <c r="P73" s="669">
        <f>IF(Stamoplysninger!$B$26="Der er indgået lokalaftale omkring weekendtillæg(Kræver aftale med TR/FSL). Weekendtimerne udbetales.",FE40+FF40-FG40-FH40,0)</f>
        <v>0</v>
      </c>
      <c r="Q73" s="620"/>
      <c r="V73" t="s">
        <v>605</v>
      </c>
      <c r="Y73"/>
      <c r="Z73"/>
      <c r="AM73" s="1"/>
      <c r="BJ73" s="1"/>
      <c r="BU73" s="244"/>
      <c r="BV73" s="244"/>
      <c r="CY73"/>
      <c r="CZ73"/>
    </row>
    <row r="74" spans="1:109" hidden="1">
      <c r="A74" s="495" t="s">
        <v>415</v>
      </c>
      <c r="B74" s="490"/>
      <c r="C74" s="490"/>
      <c r="D74" s="490">
        <f>COUNTIF([0]!November,"Orlov")</f>
        <v>0</v>
      </c>
      <c r="E74" s="491"/>
      <c r="F74" s="496"/>
      <c r="G74" s="496"/>
      <c r="H74" s="496"/>
      <c r="I74" s="653" t="s">
        <v>604</v>
      </c>
      <c r="J74" s="653"/>
      <c r="K74" s="653"/>
      <c r="L74" s="653"/>
      <c r="M74" s="659"/>
      <c r="N74" s="659"/>
      <c r="O74" s="4"/>
      <c r="P74" s="652"/>
      <c r="R74">
        <f>IF(C9="ikke relevant",V9*-1+X9*-1,0)</f>
        <v>0</v>
      </c>
      <c r="S74" t="s">
        <v>610</v>
      </c>
      <c r="V74">
        <f>IF(C9="ikke relevant",R9*-1,0)</f>
        <v>0</v>
      </c>
      <c r="Y74"/>
      <c r="Z74"/>
      <c r="AM74" s="1"/>
      <c r="BJ74" s="1"/>
      <c r="BU74" s="244"/>
      <c r="BV74" s="244"/>
      <c r="CY74"/>
      <c r="CZ74"/>
    </row>
    <row r="75" spans="1:109" hidden="1">
      <c r="A75" s="490" t="s">
        <v>160</v>
      </c>
      <c r="B75" s="490"/>
      <c r="C75" s="490"/>
      <c r="D75" s="490">
        <f>COUNTIF([0]!November,"Ikke relevant")</f>
        <v>0</v>
      </c>
      <c r="E75" s="491"/>
      <c r="F75" s="490" t="s">
        <v>196</v>
      </c>
      <c r="G75" s="490">
        <f>COUNTIFS($B$9:$B$38,"ma",[0]!November,"Skema 3")</f>
        <v>0</v>
      </c>
      <c r="H75" s="490"/>
      <c r="I75" s="653"/>
      <c r="J75" s="653"/>
      <c r="K75" s="653"/>
      <c r="L75" s="503"/>
      <c r="M75" s="659"/>
      <c r="N75" s="659"/>
      <c r="O75" s="4"/>
      <c r="P75" s="652"/>
      <c r="R75">
        <f>IF(C10="ikke relevant",V10*-1+X10*-1,0)</f>
        <v>0</v>
      </c>
      <c r="V75">
        <f>IF(C10="ikke relevant",R10*-1,0)</f>
        <v>0</v>
      </c>
      <c r="Y75"/>
      <c r="Z75"/>
      <c r="AM75" s="1"/>
      <c r="BJ75" s="1"/>
      <c r="BU75" s="244"/>
      <c r="BV75" s="244"/>
      <c r="CY75"/>
      <c r="CZ75"/>
    </row>
    <row r="76" spans="1:109" hidden="1">
      <c r="A76" s="490" t="s">
        <v>108</v>
      </c>
      <c r="B76" s="490"/>
      <c r="C76" s="490"/>
      <c r="D76" s="490">
        <f>SUM(D63:D75)</f>
        <v>30</v>
      </c>
      <c r="E76" s="490"/>
      <c r="F76" s="490" t="s">
        <v>197</v>
      </c>
      <c r="G76" s="490">
        <f>COUNTIFS($B$9:$B$38,"ti",[0]!November,"Skema 3")</f>
        <v>0</v>
      </c>
      <c r="H76" s="490"/>
      <c r="I76" s="653"/>
      <c r="J76" s="653"/>
      <c r="K76" s="653"/>
      <c r="L76" s="503"/>
      <c r="M76" s="659"/>
      <c r="N76" s="659"/>
      <c r="O76" s="4"/>
      <c r="P76" s="652"/>
      <c r="R76">
        <f t="shared" ref="R76:R104" si="39">IF(C11="ikke relevant",V11*-1+X11*-1,0)</f>
        <v>0</v>
      </c>
      <c r="V76">
        <f t="shared" ref="V76:V104" si="40">IF(C11="ikke relevant",R11*-1,0)</f>
        <v>0</v>
      </c>
      <c r="Y76"/>
      <c r="Z76"/>
      <c r="AO76" s="1"/>
      <c r="BL76" s="1"/>
      <c r="BW76" s="244"/>
      <c r="BX76" s="244"/>
      <c r="CY76"/>
      <c r="CZ76"/>
    </row>
    <row r="77" spans="1:109" hidden="1">
      <c r="A77" s="490" t="s">
        <v>239</v>
      </c>
      <c r="B77" s="490"/>
      <c r="C77" s="490"/>
      <c r="D77" s="490">
        <f>D76-D70-A86-D75</f>
        <v>21</v>
      </c>
      <c r="E77" s="497"/>
      <c r="F77" s="490" t="s">
        <v>198</v>
      </c>
      <c r="G77" s="490">
        <f>COUNTIFS($B$9:$B$38,"on",[0]!November,"Skema 3")</f>
        <v>0</v>
      </c>
      <c r="H77" s="490"/>
      <c r="I77" s="653"/>
      <c r="J77" s="653"/>
      <c r="K77" s="653"/>
      <c r="L77" s="503"/>
      <c r="M77" s="659"/>
      <c r="N77" s="659"/>
      <c r="O77" s="4"/>
      <c r="P77" s="652"/>
      <c r="R77">
        <f t="shared" si="39"/>
        <v>0</v>
      </c>
      <c r="V77">
        <f t="shared" si="40"/>
        <v>0</v>
      </c>
      <c r="Y77"/>
      <c r="Z77"/>
      <c r="AO77" s="1"/>
      <c r="BL77" s="1"/>
      <c r="BW77" s="244"/>
      <c r="BX77" s="244"/>
      <c r="CY77"/>
      <c r="CZ77"/>
    </row>
    <row r="78" spans="1:109" hidden="1">
      <c r="A78" s="490"/>
      <c r="B78" s="490"/>
      <c r="C78" s="490"/>
      <c r="D78" s="490"/>
      <c r="E78" s="490"/>
      <c r="F78" s="490" t="s">
        <v>199</v>
      </c>
      <c r="G78" s="490">
        <f>COUNTIFS($B$9:$B$38,"to",[0]!November,"Skema 3")</f>
        <v>0</v>
      </c>
      <c r="H78" s="490"/>
      <c r="I78" s="655"/>
      <c r="J78" s="653"/>
      <c r="K78" s="653"/>
      <c r="L78" s="503"/>
      <c r="M78" s="651"/>
      <c r="N78" s="651"/>
      <c r="O78" s="4"/>
      <c r="P78" s="652"/>
      <c r="R78">
        <f t="shared" si="39"/>
        <v>0</v>
      </c>
      <c r="V78">
        <f t="shared" si="40"/>
        <v>0</v>
      </c>
      <c r="Y78"/>
      <c r="Z78"/>
      <c r="AO78" s="1"/>
      <c r="BL78" s="1"/>
      <c r="BW78" s="244"/>
      <c r="BX78" s="244"/>
      <c r="CY78"/>
      <c r="CZ78"/>
    </row>
    <row r="79" spans="1:109" hidden="1">
      <c r="A79" s="490"/>
      <c r="B79" s="490"/>
      <c r="C79" s="490"/>
      <c r="D79" s="490"/>
      <c r="E79" s="490"/>
      <c r="F79" s="490" t="s">
        <v>200</v>
      </c>
      <c r="G79" s="490">
        <f>COUNTIFS($B$9:$B$38,"fr",[0]!November,"Skema 3")</f>
        <v>0</v>
      </c>
      <c r="H79" s="490"/>
      <c r="I79" s="498"/>
      <c r="J79" s="503"/>
      <c r="K79" s="503"/>
      <c r="L79" s="503"/>
      <c r="M79" s="4"/>
      <c r="N79" s="4"/>
      <c r="O79" s="4"/>
      <c r="P79" s="4"/>
      <c r="R79">
        <f t="shared" si="39"/>
        <v>0</v>
      </c>
      <c r="V79">
        <f t="shared" si="40"/>
        <v>0</v>
      </c>
      <c r="Y79"/>
      <c r="Z79"/>
      <c r="AO79" s="1"/>
      <c r="BL79" s="1"/>
      <c r="BW79" s="244"/>
      <c r="BX79" s="244"/>
      <c r="CY79"/>
      <c r="CZ79"/>
    </row>
    <row r="80" spans="1:109" hidden="1">
      <c r="A80" s="490" t="s">
        <v>292</v>
      </c>
      <c r="B80" s="490"/>
      <c r="C80" s="490"/>
      <c r="D80" s="490"/>
      <c r="E80" s="490"/>
      <c r="F80" s="490"/>
      <c r="G80" s="490"/>
      <c r="H80" s="490"/>
      <c r="I80" s="498"/>
      <c r="J80" s="503"/>
      <c r="K80" s="503"/>
      <c r="L80" s="503"/>
      <c r="M80" s="4"/>
      <c r="N80" s="4"/>
      <c r="O80" s="4"/>
      <c r="P80" s="4"/>
      <c r="R80">
        <f t="shared" si="39"/>
        <v>0</v>
      </c>
      <c r="V80">
        <f t="shared" si="40"/>
        <v>0</v>
      </c>
      <c r="Y80"/>
      <c r="Z80"/>
      <c r="AO80" s="1"/>
      <c r="BL80" s="1"/>
      <c r="BW80" s="244"/>
      <c r="BX80" s="244"/>
      <c r="CY80"/>
      <c r="CZ80"/>
    </row>
    <row r="81" spans="1:111" hidden="1">
      <c r="A81" s="490">
        <f>COUNTIF($C$10:$C$11,"Skema 1")+COUNTIF($C$10:$C$11,"Skema 2")+COUNTIF($C$10:$C$11,"Skema 3")+COUNTIF($C$10:$C$11,"Skema 4")+COUNTIF($C$10:$C$11,"Fagdag")+COUNTIF($C$10:$C$11,"Emnedag")+COUNTIF($C$10:$C$11,"Lejrskole")+COUNTIF($C$10:$C$11,"Ekskursion")+COUNTIF($C$10:$C$11,"Pæd.dag")</f>
        <v>0</v>
      </c>
      <c r="B81" s="490"/>
      <c r="C81" s="490"/>
      <c r="D81" s="490"/>
      <c r="E81" s="490"/>
      <c r="F81" s="490" t="s">
        <v>201</v>
      </c>
      <c r="G81" s="490">
        <f>COUNTIFS($B$9:$B$38,"ma",[0]!November,"Skema 4")</f>
        <v>0</v>
      </c>
      <c r="H81" s="490"/>
      <c r="I81" s="498"/>
      <c r="J81" s="503"/>
      <c r="K81" s="503"/>
      <c r="L81" s="503"/>
      <c r="M81" s="4"/>
      <c r="N81" s="4"/>
      <c r="O81" s="4"/>
      <c r="P81" s="4"/>
      <c r="R81">
        <f t="shared" si="39"/>
        <v>0</v>
      </c>
      <c r="V81">
        <f t="shared" si="40"/>
        <v>0</v>
      </c>
      <c r="Y81"/>
      <c r="Z81"/>
      <c r="AO81" s="1"/>
      <c r="BL81" s="1"/>
      <c r="BW81" s="244"/>
      <c r="BX81" s="244"/>
      <c r="CY81"/>
      <c r="CZ81"/>
    </row>
    <row r="82" spans="1:111" hidden="1">
      <c r="A82" s="490">
        <f>COUNTIF($C$17:$C$18,"Skema 1")+COUNTIF($C$17:$C$18,"Skema 2")+COUNTIF($C$17:$C$18,"Skema 3")+COUNTIF($C$17:$C$18,"Skema 4")+COUNTIF($C$17:$C$18,"Fagdag")+COUNTIF($C$17:$C$18,"Emnedag")+COUNTIF($C$17:$C$18,"Lejrskole")+COUNTIF($C$17:$C$18,"Ekskursion")+COUNTIF($C$17:$C$18,"Pæd.dag")</f>
        <v>0</v>
      </c>
      <c r="B82" s="490"/>
      <c r="C82" s="490"/>
      <c r="D82" s="490"/>
      <c r="E82" s="490"/>
      <c r="F82" s="490" t="s">
        <v>202</v>
      </c>
      <c r="G82" s="490">
        <f>COUNTIFS($B$9:$B$38,"ti",[0]!November,"Skema 4")</f>
        <v>0</v>
      </c>
      <c r="H82" s="490"/>
      <c r="I82" s="498"/>
      <c r="J82" s="503"/>
      <c r="K82" s="503"/>
      <c r="L82" s="503"/>
      <c r="M82" s="4"/>
      <c r="N82" s="4"/>
      <c r="O82" s="4"/>
      <c r="P82" s="4"/>
      <c r="R82">
        <f t="shared" si="39"/>
        <v>0</v>
      </c>
      <c r="V82">
        <f t="shared" si="40"/>
        <v>0</v>
      </c>
      <c r="Y82"/>
      <c r="Z82"/>
      <c r="AO82" s="1"/>
      <c r="BL82" s="1"/>
      <c r="BW82" s="244"/>
      <c r="BX82" s="244"/>
      <c r="CY82"/>
      <c r="CZ82"/>
    </row>
    <row r="83" spans="1:111" hidden="1">
      <c r="A83" s="490">
        <f>COUNTIF($C$24:$C$25,"Skema 1")+COUNTIF($C$24:$C$25,"Skema 2")+COUNTIF($C$24:$C$25,"Skema 3")+COUNTIF($C$24:$C$25,"Skema 4")+COUNTIF($C$24:$C$25,"Fagdag")+COUNTIF($C$24:$C$25,"Emnedag")+COUNTIF($C$24:$C$25,"Lejrskole")+COUNTIF($C$24:$C$25,"Ekskursion")+COUNTIF($C$24:$C$25,"Pæd.dag")</f>
        <v>0</v>
      </c>
      <c r="B83" s="490"/>
      <c r="C83" s="490"/>
      <c r="D83" s="490"/>
      <c r="E83" s="490"/>
      <c r="F83" s="490" t="s">
        <v>203</v>
      </c>
      <c r="G83" s="490">
        <f>COUNTIFS($B$9:$B$38,"on",[0]!November,"Skema 4")</f>
        <v>0</v>
      </c>
      <c r="H83" s="490"/>
      <c r="I83" s="498"/>
      <c r="J83" s="503"/>
      <c r="K83" s="503"/>
      <c r="L83" s="503"/>
      <c r="M83" s="4"/>
      <c r="N83" s="4"/>
      <c r="O83" s="4"/>
      <c r="P83" s="4"/>
      <c r="R83">
        <f t="shared" si="39"/>
        <v>0</v>
      </c>
      <c r="V83">
        <f t="shared" si="40"/>
        <v>0</v>
      </c>
      <c r="Y83"/>
      <c r="Z83"/>
      <c r="AO83" s="1"/>
      <c r="BL83" s="1"/>
      <c r="BW83" s="244"/>
      <c r="BX83" s="244"/>
      <c r="CY83"/>
      <c r="CZ83"/>
    </row>
    <row r="84" spans="1:111" hidden="1">
      <c r="A84" s="490">
        <f>COUNTIF($C$31:$C$32,"Skema 1")+COUNTIF($C$31:$C$32,"Skema 2")+COUNTIF($C$31:$C$32,"Skema 3")+COUNTIF($C$31:$C$32,"Skema 4")+COUNTIF($C$31:$C$32,"Fagdag")+COUNTIF($C$31:$C$32,"Emnedag")+COUNTIF($C$31:$C$32,"Lejrskole")+COUNTIF($C$31:$C$32,"Ekskursion")+COUNTIF($C$31:$C$32,"Pæd.dag")</f>
        <v>0</v>
      </c>
      <c r="B84" s="490"/>
      <c r="C84" s="490"/>
      <c r="D84" s="490"/>
      <c r="E84" s="490"/>
      <c r="F84" s="490" t="s">
        <v>204</v>
      </c>
      <c r="G84" s="490">
        <f>COUNTIFS($B$9:$B$38,"to",[0]!November,"Skema 4")</f>
        <v>0</v>
      </c>
      <c r="H84" s="490"/>
      <c r="I84" s="498"/>
      <c r="J84" s="503"/>
      <c r="K84" s="503"/>
      <c r="L84" s="503"/>
      <c r="M84" s="4"/>
      <c r="N84" s="4"/>
      <c r="O84" s="4"/>
      <c r="P84" s="4"/>
      <c r="R84">
        <f t="shared" si="39"/>
        <v>0</v>
      </c>
      <c r="V84">
        <f t="shared" si="40"/>
        <v>0</v>
      </c>
      <c r="Y84"/>
      <c r="Z84"/>
      <c r="AO84" s="1">
        <f>SUM(N84:AN84)</f>
        <v>0</v>
      </c>
      <c r="BL84" s="1">
        <f>SUM(AI84:BK84)</f>
        <v>0</v>
      </c>
      <c r="BW84" s="244"/>
      <c r="BX84" s="244"/>
      <c r="CY84"/>
      <c r="CZ84"/>
    </row>
    <row r="85" spans="1:111" hidden="1">
      <c r="A85" s="490">
        <f>COUNTIF($C$38,"Skema 1")+COUNTIF($C$38,"Skema 2")+COUNTIF($C$38,"Skema 3")+COUNTIF($C$38,"Skema 4")+COUNTIF($C$38,"Fagdag")+COUNTIF($C$38,"Emnedag")+COUNTIF($C$38,"Lejrskole")+COUNTIF($C$38,"Ekskursion")+COUNTIF($C$38,"Pæd.dag")</f>
        <v>0</v>
      </c>
      <c r="B85" s="490"/>
      <c r="C85" s="490"/>
      <c r="D85" s="490"/>
      <c r="E85" s="490"/>
      <c r="F85" s="490" t="s">
        <v>205</v>
      </c>
      <c r="G85" s="490">
        <f>COUNTIFS($B$9:$B$38,"fr",[0]!November,"Skema 4")</f>
        <v>0</v>
      </c>
      <c r="H85" s="490"/>
      <c r="I85" s="490"/>
      <c r="J85" s="493"/>
      <c r="K85" s="493"/>
      <c r="L85" s="40"/>
      <c r="R85">
        <f t="shared" si="39"/>
        <v>0</v>
      </c>
      <c r="V85">
        <f t="shared" si="40"/>
        <v>0</v>
      </c>
      <c r="Y85"/>
      <c r="Z85"/>
      <c r="AO85" s="1">
        <f>SUM(N85:AN85)</f>
        <v>0</v>
      </c>
      <c r="BL85" s="1">
        <f>SUM(AI85:BK85)</f>
        <v>0</v>
      </c>
      <c r="BW85" s="244"/>
      <c r="BX85" s="244"/>
      <c r="CY85"/>
      <c r="CZ85"/>
    </row>
    <row r="86" spans="1:111" hidden="1">
      <c r="A86" s="490">
        <f>SUM(A81:A85)</f>
        <v>0</v>
      </c>
      <c r="B86" s="490"/>
      <c r="C86" s="490"/>
      <c r="D86" s="490"/>
      <c r="E86" s="490"/>
      <c r="F86" s="490"/>
      <c r="G86" s="495">
        <f>SUM(G63:G85)</f>
        <v>21</v>
      </c>
      <c r="H86" s="493"/>
      <c r="I86" s="490"/>
      <c r="J86" s="493"/>
      <c r="K86" s="493"/>
      <c r="L86" s="40"/>
      <c r="R86">
        <f t="shared" si="39"/>
        <v>0</v>
      </c>
      <c r="V86">
        <f t="shared" si="40"/>
        <v>0</v>
      </c>
      <c r="Y86"/>
      <c r="Z86"/>
      <c r="AO86" s="1">
        <f>SUM(N86:AN86)</f>
        <v>0</v>
      </c>
      <c r="BL86" s="1">
        <f>SUM(AI86:BK86)</f>
        <v>0</v>
      </c>
      <c r="BW86" s="244"/>
      <c r="BX86" s="244"/>
      <c r="CY86"/>
      <c r="CZ86"/>
    </row>
    <row r="87" spans="1:111" hidden="1">
      <c r="A87" s="493"/>
      <c r="B87" s="493"/>
      <c r="C87" s="493"/>
      <c r="D87" s="493"/>
      <c r="E87" s="490"/>
      <c r="F87" s="490"/>
      <c r="G87" s="490"/>
      <c r="H87" s="40"/>
      <c r="I87" s="493"/>
      <c r="J87" s="493"/>
      <c r="K87" s="493"/>
      <c r="L87" s="40"/>
      <c r="R87">
        <f t="shared" si="39"/>
        <v>0</v>
      </c>
      <c r="V87">
        <f t="shared" si="40"/>
        <v>0</v>
      </c>
      <c r="Y87"/>
      <c r="Z87"/>
      <c r="AO87" s="1">
        <f>SUM(N87:AN87)</f>
        <v>0</v>
      </c>
      <c r="BL87" s="1">
        <f>SUM(AI87:BK87)</f>
        <v>0</v>
      </c>
      <c r="BW87" s="244"/>
      <c r="BX87" s="244"/>
      <c r="CY87"/>
      <c r="CZ87"/>
    </row>
    <row r="88" spans="1:111" hidden="1">
      <c r="A88" s="493"/>
      <c r="B88" s="493"/>
      <c r="C88" s="493"/>
      <c r="D88" s="493"/>
      <c r="E88" s="490"/>
      <c r="F88" s="490"/>
      <c r="G88" s="490"/>
      <c r="H88" s="40"/>
      <c r="I88" s="40"/>
      <c r="J88" s="493"/>
      <c r="K88" s="493"/>
      <c r="L88" s="40"/>
      <c r="R88">
        <f t="shared" si="39"/>
        <v>0</v>
      </c>
      <c r="V88">
        <f t="shared" si="40"/>
        <v>0</v>
      </c>
      <c r="Y88"/>
      <c r="Z88"/>
      <c r="BW88" s="244"/>
      <c r="BX88" s="244"/>
      <c r="CY88"/>
      <c r="CZ88"/>
    </row>
    <row r="89" spans="1:111" hidden="1">
      <c r="A89" s="493"/>
      <c r="B89" s="493"/>
      <c r="C89" s="493"/>
      <c r="D89" s="493"/>
      <c r="E89" s="490"/>
      <c r="F89" s="490"/>
      <c r="G89" s="490"/>
      <c r="H89" s="40"/>
      <c r="I89" s="40"/>
      <c r="J89" s="40"/>
      <c r="K89" s="40"/>
      <c r="L89" s="40"/>
      <c r="R89">
        <f t="shared" si="39"/>
        <v>0</v>
      </c>
      <c r="V89">
        <f t="shared" si="40"/>
        <v>0</v>
      </c>
      <c r="Y89"/>
      <c r="Z89"/>
      <c r="BW89" s="244"/>
      <c r="BX89" s="244"/>
      <c r="CY89"/>
      <c r="CZ89"/>
    </row>
    <row r="90" spans="1:111" hidden="1">
      <c r="A90" s="493"/>
      <c r="B90" s="493"/>
      <c r="C90" s="493"/>
      <c r="D90" s="493"/>
      <c r="E90" s="490"/>
      <c r="F90" s="490"/>
      <c r="G90" s="490"/>
      <c r="H90" s="40"/>
      <c r="I90" s="40"/>
      <c r="J90" s="40"/>
      <c r="K90" s="40"/>
      <c r="L90" s="40"/>
      <c r="R90">
        <f t="shared" si="39"/>
        <v>0</v>
      </c>
      <c r="V90">
        <f t="shared" si="40"/>
        <v>0</v>
      </c>
      <c r="Y90"/>
      <c r="Z90"/>
      <c r="BW90" s="244"/>
      <c r="BX90" s="244"/>
      <c r="CY90"/>
      <c r="CZ90"/>
    </row>
    <row r="91" spans="1:111" hidden="1">
      <c r="A91" s="493"/>
      <c r="B91" s="493"/>
      <c r="C91" s="493"/>
      <c r="D91" s="493"/>
      <c r="E91" s="490"/>
      <c r="F91" s="490"/>
      <c r="G91" s="490"/>
      <c r="I91" s="40"/>
      <c r="J91" s="40"/>
      <c r="K91" s="40"/>
      <c r="L91" s="40"/>
      <c r="R91">
        <f t="shared" si="39"/>
        <v>0</v>
      </c>
      <c r="V91">
        <f t="shared" si="40"/>
        <v>0</v>
      </c>
      <c r="Y91"/>
      <c r="Z91"/>
      <c r="BW91" s="244"/>
      <c r="BX91" s="244"/>
      <c r="CY91"/>
      <c r="CZ91"/>
    </row>
    <row r="92" spans="1:111" hidden="1">
      <c r="A92" s="493"/>
      <c r="B92" s="493"/>
      <c r="C92" s="493"/>
      <c r="D92" s="493"/>
      <c r="E92" s="490"/>
      <c r="F92" s="490"/>
      <c r="G92" s="490"/>
      <c r="I92" s="40"/>
      <c r="J92" s="40"/>
      <c r="K92" s="40"/>
      <c r="L92" s="40"/>
      <c r="R92">
        <f t="shared" si="39"/>
        <v>0</v>
      </c>
      <c r="V92">
        <f t="shared" si="40"/>
        <v>0</v>
      </c>
      <c r="Y92"/>
      <c r="Z92"/>
      <c r="BW92" s="244"/>
      <c r="BX92" s="244"/>
      <c r="CY92"/>
      <c r="CZ92"/>
    </row>
    <row r="93" spans="1:111" hidden="1">
      <c r="A93" s="493"/>
      <c r="B93" s="493"/>
      <c r="C93" s="493"/>
      <c r="D93" s="493"/>
      <c r="E93" s="490"/>
      <c r="F93" s="490"/>
      <c r="G93" s="490"/>
      <c r="I93" s="40"/>
      <c r="J93" s="40"/>
      <c r="K93" s="40"/>
      <c r="L93" s="40"/>
      <c r="R93">
        <f t="shared" si="39"/>
        <v>0</v>
      </c>
      <c r="V93">
        <f t="shared" si="40"/>
        <v>0</v>
      </c>
      <c r="Y93"/>
      <c r="Z93"/>
      <c r="AD93" s="4"/>
      <c r="AE93" s="228"/>
      <c r="AF93" s="228"/>
      <c r="AG93" s="228"/>
      <c r="AH93" s="228"/>
      <c r="CY93"/>
      <c r="CZ93"/>
      <c r="DF93" s="244"/>
      <c r="DG93" s="244"/>
    </row>
    <row r="94" spans="1:111" hidden="1">
      <c r="A94" s="439"/>
      <c r="B94" s="439"/>
      <c r="C94" s="439"/>
      <c r="D94" s="439"/>
      <c r="E94" s="117"/>
      <c r="F94" s="117"/>
      <c r="G94" s="117"/>
      <c r="I94" s="40"/>
      <c r="J94" s="40"/>
      <c r="K94" s="40"/>
      <c r="L94" s="40"/>
      <c r="R94">
        <f t="shared" si="39"/>
        <v>0</v>
      </c>
      <c r="V94">
        <f t="shared" si="40"/>
        <v>0</v>
      </c>
      <c r="Y94"/>
      <c r="Z94"/>
      <c r="AD94" s="4"/>
      <c r="AE94" s="228"/>
      <c r="AF94" s="228"/>
      <c r="AG94" s="228"/>
      <c r="AH94" s="228"/>
      <c r="CY94"/>
      <c r="CZ94"/>
      <c r="DF94" s="244"/>
      <c r="DG94" s="244"/>
    </row>
    <row r="95" spans="1:111" hidden="1">
      <c r="A95" s="439"/>
      <c r="B95" s="439"/>
      <c r="C95" s="439"/>
      <c r="D95" s="439"/>
      <c r="E95" s="117"/>
      <c r="F95" s="117"/>
      <c r="G95" s="117"/>
      <c r="I95" s="40"/>
      <c r="J95" s="40"/>
      <c r="K95" s="40"/>
      <c r="L95" s="40"/>
      <c r="R95">
        <f t="shared" si="39"/>
        <v>0</v>
      </c>
      <c r="V95">
        <f t="shared" si="40"/>
        <v>0</v>
      </c>
    </row>
    <row r="96" spans="1:111" hidden="1">
      <c r="A96" s="439"/>
      <c r="B96" s="439"/>
      <c r="C96" s="439"/>
      <c r="D96" s="439"/>
      <c r="E96" s="117"/>
      <c r="F96" s="117"/>
      <c r="G96" s="117"/>
      <c r="I96" s="40"/>
      <c r="J96" s="40"/>
      <c r="K96" s="40"/>
      <c r="L96" s="40"/>
      <c r="R96">
        <f t="shared" si="39"/>
        <v>0</v>
      </c>
      <c r="V96">
        <f t="shared" si="40"/>
        <v>0</v>
      </c>
    </row>
    <row r="97" spans="1:22" hidden="1">
      <c r="A97" s="439"/>
      <c r="B97" s="439"/>
      <c r="C97" s="439"/>
      <c r="D97" s="439"/>
      <c r="E97" s="439"/>
      <c r="F97" s="439"/>
      <c r="G97" s="439"/>
      <c r="I97" s="40"/>
      <c r="J97" s="40"/>
      <c r="K97" s="40"/>
      <c r="L97" s="40"/>
      <c r="R97">
        <f t="shared" si="39"/>
        <v>0</v>
      </c>
      <c r="V97">
        <f t="shared" si="40"/>
        <v>0</v>
      </c>
    </row>
    <row r="98" spans="1:22" hidden="1">
      <c r="A98" s="439"/>
      <c r="B98" s="439"/>
      <c r="C98" s="439"/>
      <c r="D98" s="439"/>
      <c r="I98" s="40"/>
      <c r="J98" s="40"/>
      <c r="K98" s="40"/>
      <c r="L98" s="40"/>
      <c r="R98">
        <f t="shared" si="39"/>
        <v>0</v>
      </c>
      <c r="V98">
        <f t="shared" si="40"/>
        <v>0</v>
      </c>
    </row>
    <row r="99" spans="1:22" hidden="1">
      <c r="I99" s="40"/>
      <c r="J99" s="40"/>
      <c r="K99" s="40"/>
      <c r="L99" s="439"/>
      <c r="R99">
        <f t="shared" si="39"/>
        <v>0</v>
      </c>
      <c r="V99">
        <f t="shared" si="40"/>
        <v>0</v>
      </c>
    </row>
    <row r="100" spans="1:22" hidden="1">
      <c r="I100" s="40"/>
      <c r="J100" s="40"/>
      <c r="K100" s="40"/>
      <c r="L100" s="439"/>
      <c r="R100">
        <f t="shared" si="39"/>
        <v>0</v>
      </c>
      <c r="V100">
        <f t="shared" si="40"/>
        <v>0</v>
      </c>
    </row>
    <row r="101" spans="1:22" hidden="1">
      <c r="I101" s="40"/>
      <c r="J101" s="40"/>
      <c r="K101" s="40"/>
      <c r="L101" s="439"/>
      <c r="R101">
        <f t="shared" si="39"/>
        <v>0</v>
      </c>
      <c r="V101">
        <f t="shared" si="40"/>
        <v>0</v>
      </c>
    </row>
    <row r="102" spans="1:22" hidden="1">
      <c r="I102" s="439"/>
      <c r="J102" s="40"/>
      <c r="K102" s="40"/>
      <c r="L102" s="439"/>
      <c r="R102">
        <f t="shared" si="39"/>
        <v>0</v>
      </c>
      <c r="V102">
        <f t="shared" si="40"/>
        <v>0</v>
      </c>
    </row>
    <row r="103" spans="1:22" hidden="1">
      <c r="I103" s="439"/>
      <c r="J103" s="439"/>
      <c r="K103" s="439"/>
      <c r="L103" s="439"/>
      <c r="R103">
        <f t="shared" si="39"/>
        <v>0</v>
      </c>
      <c r="V103">
        <f t="shared" si="40"/>
        <v>0</v>
      </c>
    </row>
    <row r="104" spans="1:22" ht="17" hidden="1" thickBot="1">
      <c r="I104" s="439"/>
      <c r="J104" s="439"/>
      <c r="K104" s="439"/>
      <c r="L104" s="439"/>
      <c r="R104">
        <f t="shared" si="39"/>
        <v>0</v>
      </c>
      <c r="V104">
        <f t="shared" si="40"/>
        <v>0</v>
      </c>
    </row>
    <row r="105" spans="1:22" ht="17" hidden="1" thickBot="1">
      <c r="I105" s="439"/>
      <c r="J105" s="439"/>
      <c r="K105" s="439"/>
      <c r="L105" s="439"/>
      <c r="R105" s="684">
        <f>SUM(R74:R104)+FB40</f>
        <v>0</v>
      </c>
      <c r="V105">
        <f>SUM(V74:V104)</f>
        <v>0</v>
      </c>
    </row>
    <row r="106" spans="1:22" hidden="1">
      <c r="I106" s="439"/>
      <c r="J106" s="439"/>
      <c r="K106" s="439"/>
      <c r="L106" s="439"/>
    </row>
    <row r="107" spans="1:22" hidden="1"/>
  </sheetData>
  <sheetProtection sheet="1" objects="1" scenarios="1"/>
  <mergeCells count="173">
    <mergeCell ref="FQ8:FR8"/>
    <mergeCell ref="DS8:DV8"/>
    <mergeCell ref="DZ8:EB8"/>
    <mergeCell ref="EG8:EI8"/>
    <mergeCell ref="EM8:EN8"/>
    <mergeCell ref="EQ8:ER8"/>
    <mergeCell ref="EU8:EV8"/>
    <mergeCell ref="FC8:FD8"/>
    <mergeCell ref="FG8:FH8"/>
    <mergeCell ref="FK8:FL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A66:C66"/>
    <mergeCell ref="M41:X41"/>
    <mergeCell ref="M42:U42"/>
    <mergeCell ref="V42:X42"/>
    <mergeCell ref="M43:U43"/>
    <mergeCell ref="V43:X43"/>
    <mergeCell ref="M44:U44"/>
    <mergeCell ref="V44:X44"/>
    <mergeCell ref="M45:U45"/>
    <mergeCell ref="V45:X45"/>
    <mergeCell ref="A42:G42"/>
    <mergeCell ref="I42:K42"/>
    <mergeCell ref="A43:G43"/>
    <mergeCell ref="I43:K43"/>
    <mergeCell ref="A55:K55"/>
    <mergeCell ref="A56:B56"/>
    <mergeCell ref="C56:D56"/>
    <mergeCell ref="E56:G56"/>
    <mergeCell ref="H56:K56"/>
    <mergeCell ref="A57:B57"/>
    <mergeCell ref="C57:D57"/>
    <mergeCell ref="E57:G57"/>
    <mergeCell ref="I57:K57"/>
    <mergeCell ref="A58:B58"/>
    <mergeCell ref="E36:G36"/>
    <mergeCell ref="E37:G37"/>
    <mergeCell ref="E38:G38"/>
    <mergeCell ref="A39:I39"/>
    <mergeCell ref="A41:G41"/>
    <mergeCell ref="I41:K41"/>
    <mergeCell ref="C58:D58"/>
    <mergeCell ref="E58:G58"/>
    <mergeCell ref="I58:K58"/>
    <mergeCell ref="A46:G46"/>
    <mergeCell ref="I46:K46"/>
    <mergeCell ref="A44:G44"/>
    <mergeCell ref="I44:K44"/>
    <mergeCell ref="A45:G45"/>
    <mergeCell ref="I45:K45"/>
    <mergeCell ref="A65:C65"/>
    <mergeCell ref="M51:U51"/>
    <mergeCell ref="V51:X51"/>
    <mergeCell ref="A52:G53"/>
    <mergeCell ref="I52:K52"/>
    <mergeCell ref="M52:U52"/>
    <mergeCell ref="V52:X52"/>
    <mergeCell ref="I53:K53"/>
    <mergeCell ref="A59:B59"/>
    <mergeCell ref="C59:D59"/>
    <mergeCell ref="E59:G59"/>
    <mergeCell ref="I59:K59"/>
    <mergeCell ref="A60:B60"/>
    <mergeCell ref="C60:D60"/>
    <mergeCell ref="E60:G60"/>
    <mergeCell ref="M47:U47"/>
    <mergeCell ref="V47:X47"/>
    <mergeCell ref="A47:H47"/>
    <mergeCell ref="I47:K47"/>
    <mergeCell ref="A64:C64"/>
    <mergeCell ref="A49:H49"/>
    <mergeCell ref="I49:K49"/>
    <mergeCell ref="I50:K50"/>
    <mergeCell ref="M48:U48"/>
    <mergeCell ref="V48:X48"/>
    <mergeCell ref="M49:U49"/>
    <mergeCell ref="V49:X49"/>
    <mergeCell ref="M50:U50"/>
    <mergeCell ref="V50:X50"/>
    <mergeCell ref="I60:K60"/>
    <mergeCell ref="A61:G61"/>
    <mergeCell ref="I61:K61"/>
    <mergeCell ref="A54:G54"/>
    <mergeCell ref="I54:K54"/>
    <mergeCell ref="A48:H48"/>
    <mergeCell ref="I48:K48"/>
    <mergeCell ref="BQ6:BU6"/>
    <mergeCell ref="BV6:BZ6"/>
    <mergeCell ref="CD6:CH6"/>
    <mergeCell ref="CI6:CM6"/>
    <mergeCell ref="CN6:CR6"/>
    <mergeCell ref="CS6:CW6"/>
    <mergeCell ref="AL6:AP6"/>
    <mergeCell ref="AQ6:AU6"/>
    <mergeCell ref="AV6:AZ6"/>
    <mergeCell ref="BC6:BF6"/>
    <mergeCell ref="BG6:BK6"/>
    <mergeCell ref="M46:X46"/>
    <mergeCell ref="BL6:BP6"/>
    <mergeCell ref="P6:P7"/>
    <mergeCell ref="AA6:AE6"/>
    <mergeCell ref="AG6:AK6"/>
    <mergeCell ref="S5:X5"/>
    <mergeCell ref="S6:X6"/>
    <mergeCell ref="S8:U8"/>
    <mergeCell ref="V8:X8"/>
    <mergeCell ref="A3:X3"/>
    <mergeCell ref="E11:G11"/>
    <mergeCell ref="E12:G12"/>
    <mergeCell ref="E13:G13"/>
    <mergeCell ref="E14:G14"/>
    <mergeCell ref="B2:E2"/>
    <mergeCell ref="E4:G4"/>
    <mergeCell ref="K4:L4"/>
    <mergeCell ref="A5:R5"/>
    <mergeCell ref="A4:D4"/>
    <mergeCell ref="I8:J8"/>
    <mergeCell ref="K8:R8"/>
    <mergeCell ref="I6:I7"/>
    <mergeCell ref="J6:J7"/>
    <mergeCell ref="Q6:Q7"/>
    <mergeCell ref="R6:R7"/>
    <mergeCell ref="E6:G8"/>
    <mergeCell ref="K6:L6"/>
    <mergeCell ref="N6:N7"/>
    <mergeCell ref="O6:O7"/>
    <mergeCell ref="A7:D8"/>
    <mergeCell ref="H7:H8"/>
    <mergeCell ref="E9:G9"/>
    <mergeCell ref="E10:G10"/>
    <mergeCell ref="DA6:DE6"/>
    <mergeCell ref="EY8:EZ8"/>
    <mergeCell ref="EW6:EZ6"/>
    <mergeCell ref="E15:G15"/>
    <mergeCell ref="E16:G16"/>
    <mergeCell ref="E34:G34"/>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2:G32"/>
  </mergeCells>
  <phoneticPr fontId="5" type="noConversion"/>
  <conditionalFormatting sqref="A9:H38">
    <cfRule type="expression" dxfId="745" priority="42">
      <formula>OR($C9="ekskursion")</formula>
    </cfRule>
    <cfRule type="expression" dxfId="744" priority="48" stopIfTrue="1">
      <formula>OR($C9="Orlov")</formula>
    </cfRule>
    <cfRule type="expression" dxfId="743" priority="47">
      <formula>OR($C9="weekend")</formula>
    </cfRule>
    <cfRule type="expression" dxfId="742" priority="46">
      <formula>OR($C9="feriedag")</formula>
    </cfRule>
    <cfRule type="expression" dxfId="741" priority="45">
      <formula>OR($C9="fagdag")</formula>
    </cfRule>
    <cfRule type="expression" dxfId="740" priority="44">
      <formula>OR($C9="emnedag")</formula>
    </cfRule>
    <cfRule type="expression" dxfId="739" priority="43">
      <formula>OR($C9="lejrskole")</formula>
    </cfRule>
    <cfRule type="expression" dxfId="738" priority="41">
      <formula>OR($C9="SH-dag")</formula>
    </cfRule>
    <cfRule type="expression" dxfId="737" priority="40">
      <formula>OR($C9="nul-dag")</formula>
    </cfRule>
    <cfRule type="expression" dxfId="736" priority="39">
      <formula>OR($C9="pæd.dag")</formula>
    </cfRule>
    <cfRule type="expression" dxfId="735" priority="38">
      <formula>OR($C9="Ikke relevant")</formula>
    </cfRule>
    <cfRule type="expression" dxfId="734" priority="34">
      <formula>OR($C9="Skema 1")</formula>
    </cfRule>
    <cfRule type="expression" dxfId="733" priority="35">
      <formula>OR($C9="skema 2")</formula>
    </cfRule>
    <cfRule type="expression" dxfId="732" priority="36">
      <formula>OR($C9="Skema 3")</formula>
    </cfRule>
    <cfRule type="expression" dxfId="731" priority="37">
      <formula>OR($C9="Skema 4")</formula>
    </cfRule>
  </conditionalFormatting>
  <conditionalFormatting sqref="E20">
    <cfRule type="expression" dxfId="730" priority="50">
      <formula>OR($D19="nul-dag")</formula>
    </cfRule>
    <cfRule type="expression" dxfId="729" priority="51">
      <formula>OR($D19="SH-dag")</formula>
    </cfRule>
    <cfRule type="expression" dxfId="728" priority="52">
      <formula>OR($D19="ekskursion")</formula>
    </cfRule>
    <cfRule type="expression" dxfId="727" priority="53">
      <formula>OR($D19="lejrskole")</formula>
    </cfRule>
    <cfRule type="expression" dxfId="726" priority="49">
      <formula>OR($D19="pæd.dag")</formula>
    </cfRule>
    <cfRule type="expression" dxfId="725" priority="54">
      <formula>OR($D19="emnedag")</formula>
    </cfRule>
    <cfRule type="expression" dxfId="724" priority="55">
      <formula>OR($D19="fagdag")</formula>
    </cfRule>
    <cfRule type="expression" dxfId="723" priority="56">
      <formula>OR($D19="feriedag")</formula>
    </cfRule>
    <cfRule type="expression" dxfId="722" priority="57">
      <formula>OR($D19="weekend")</formula>
    </cfRule>
    <cfRule type="expression" dxfId="721" priority="58" stopIfTrue="1">
      <formula>OR($D19="skoledag")</formula>
    </cfRule>
    <cfRule type="expression" dxfId="720" priority="59">
      <formula>OR($D19="Ikke relevant")</formula>
    </cfRule>
  </conditionalFormatting>
  <conditionalFormatting sqref="H57:H60">
    <cfRule type="expression" dxfId="719" priority="1">
      <formula>OR($A57&gt;0,)</formula>
    </cfRule>
  </conditionalFormatting>
  <conditionalFormatting sqref="I57:I60">
    <cfRule type="expression" dxfId="718" priority="2">
      <formula>OR($C57&gt;0,)</formula>
    </cfRule>
  </conditionalFormatting>
  <conditionalFormatting sqref="K9:K38">
    <cfRule type="expression" dxfId="717" priority="31">
      <formula>OR($C9="Pæd.dag",)</formula>
    </cfRule>
  </conditionalFormatting>
  <conditionalFormatting sqref="K9:L38">
    <cfRule type="expression" dxfId="716" priority="33">
      <formula>OR($C9="Ekskursion",)</formula>
    </cfRule>
    <cfRule type="expression" dxfId="715" priority="32">
      <formula>OR($C9="Lejrskole",)</formula>
    </cfRule>
  </conditionalFormatting>
  <conditionalFormatting sqref="K9:M38">
    <cfRule type="expression" dxfId="714" priority="30">
      <formula>OR($C9="emnedag",)</formula>
    </cfRule>
    <cfRule type="expression" dxfId="713" priority="29">
      <formula>OR($C9="fagdag",)</formula>
    </cfRule>
  </conditionalFormatting>
  <conditionalFormatting sqref="R9:R38">
    <cfRule type="expression" dxfId="712" priority="60">
      <formula>OR($H9&gt;"0",)</formula>
    </cfRule>
  </conditionalFormatting>
  <conditionalFormatting sqref="V9:V38">
    <cfRule type="expression" dxfId="711" priority="11">
      <formula>OR($S9="X",)</formula>
    </cfRule>
  </conditionalFormatting>
  <conditionalFormatting sqref="V48:X51">
    <cfRule type="expression" dxfId="710" priority="3">
      <formula>OR($M48&gt;0,)</formula>
    </cfRule>
  </conditionalFormatting>
  <conditionalFormatting sqref="W9:W38">
    <cfRule type="expression" dxfId="709" priority="9">
      <formula>OR($T9="X",)</formula>
    </cfRule>
  </conditionalFormatting>
  <conditionalFormatting sqref="X9:X38">
    <cfRule type="expression" dxfId="708" priority="10">
      <formula>OR($U9="X",)</formula>
    </cfRule>
  </conditionalFormatting>
  <dataValidations count="3">
    <dataValidation type="list" allowBlank="1" showInputMessage="1" showErrorMessage="1" sqref="S9:U38 A57:D60" xr:uid="{EDE9D3BB-3F35-2747-835E-B54B8654965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1:I32 I17:I18 I24:I25 I38 I10:I11" xr:uid="{AB8DC5DC-53A9-064F-AC0D-F74976A97A73}">
      <formula1>$W$1:$W$2</formula1>
    </dataValidation>
    <dataValidation type="list" allowBlank="1" showInputMessage="1" showErrorMessage="1" promptTitle="OBS:" prompt="Ved arrangementer med overnatning ydes istedet for ulempe- og weekendgodtgørelse på hhv. 25% og 50% faste tillæg pr. påbegyndt dag. " sqref="J9:J38" xr:uid="{07E5C6AB-8020-F34F-8FE6-46083758EDB3}">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August!$A$89:$A$103</xm:f>
          </x14:formula1>
          <xm:sqref>C9:C38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GC114"/>
  <sheetViews>
    <sheetView zoomScale="139" zoomScaleNormal="100" workbookViewId="0">
      <selection activeCell="GC23" sqref="Y1:GC104857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12</v>
      </c>
      <c r="B2" s="1101"/>
      <c r="C2" s="1101"/>
      <c r="D2" s="1101"/>
      <c r="E2" s="1101"/>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0" t="s">
        <v>309</v>
      </c>
      <c r="B3" s="1131"/>
      <c r="C3" s="1131"/>
      <c r="D3" s="1131"/>
      <c r="E3" s="1131"/>
      <c r="F3" s="1131"/>
      <c r="G3" s="1131"/>
      <c r="H3" s="1131"/>
      <c r="I3" s="1131"/>
      <c r="J3" s="1131"/>
      <c r="K3" s="1131"/>
      <c r="L3" s="1131"/>
      <c r="M3" s="1131"/>
      <c r="N3" s="1131"/>
      <c r="O3" s="1131"/>
      <c r="P3" s="1131"/>
      <c r="Q3" s="1131"/>
      <c r="R3" s="1131"/>
      <c r="S3" s="1131"/>
      <c r="T3" s="1131"/>
      <c r="U3" s="1131"/>
      <c r="V3" s="1131"/>
      <c r="W3" s="1131"/>
      <c r="X3" s="1132"/>
      <c r="Y3" s="89"/>
      <c r="Z3"/>
      <c r="AC3" s="89"/>
      <c r="AD3" s="89"/>
      <c r="AF3" s="89"/>
      <c r="CT3" s="244"/>
      <c r="CU3" s="244"/>
      <c r="CY3"/>
      <c r="CZ3"/>
      <c r="FI3" s="893" t="s">
        <v>623</v>
      </c>
      <c r="FJ3" s="894"/>
      <c r="FK3" s="894"/>
      <c r="FL3" s="894"/>
      <c r="FM3" s="894"/>
      <c r="FN3" s="894"/>
      <c r="FO3" s="894"/>
      <c r="FP3" s="894"/>
      <c r="FQ3" s="894"/>
      <c r="FR3" s="894"/>
      <c r="FS3" s="894"/>
      <c r="FT3" s="894"/>
      <c r="FU3" s="894"/>
      <c r="FV3" s="894"/>
      <c r="FW3" s="894"/>
      <c r="FX3" s="894"/>
      <c r="FY3" s="894"/>
      <c r="FZ3" s="894"/>
      <c r="GA3" s="894"/>
      <c r="GB3" s="894"/>
      <c r="GC3" s="895"/>
    </row>
    <row r="4" spans="1:185" ht="254" customHeight="1" thickBot="1">
      <c r="A4" s="930" t="s">
        <v>431</v>
      </c>
      <c r="B4" s="931"/>
      <c r="C4" s="931"/>
      <c r="D4" s="931"/>
      <c r="E4" s="935" t="s">
        <v>310</v>
      </c>
      <c r="F4" s="935"/>
      <c r="G4" s="935"/>
      <c r="H4" s="276" t="s">
        <v>413</v>
      </c>
      <c r="I4" s="432" t="s">
        <v>466</v>
      </c>
      <c r="J4" s="432" t="s">
        <v>467</v>
      </c>
      <c r="K4" s="946" t="s">
        <v>514</v>
      </c>
      <c r="L4" s="946"/>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5" t="s">
        <v>621</v>
      </c>
      <c r="FJ4" s="745"/>
      <c r="FK4" s="745"/>
      <c r="FL4" s="745"/>
      <c r="FM4" t="s">
        <v>614</v>
      </c>
      <c r="FO4" s="745" t="s">
        <v>620</v>
      </c>
      <c r="FP4" s="745"/>
      <c r="FQ4" s="745"/>
      <c r="FR4" s="745"/>
    </row>
    <row r="5" spans="1:185" ht="26" customHeight="1" thickBot="1">
      <c r="A5" s="947" t="str">
        <f>""&amp;A7&amp;" måneds kalender for: "&amp;Stamoplysninger!E8&amp;". Måneden vedr. normperioden: "&amp;Stamoplysninger!E11&amp;" - "&amp;Stamoplysninger!G11&amp;"."</f>
        <v>December måneds kalender for: . Måneden vedr. normperioden:  - .</v>
      </c>
      <c r="B5" s="948"/>
      <c r="C5" s="948"/>
      <c r="D5" s="948"/>
      <c r="E5" s="948"/>
      <c r="F5" s="948"/>
      <c r="G5" s="948"/>
      <c r="H5" s="948"/>
      <c r="I5" s="948"/>
      <c r="J5" s="948"/>
      <c r="K5" s="948"/>
      <c r="L5" s="948"/>
      <c r="M5" s="948"/>
      <c r="N5" s="948"/>
      <c r="O5" s="948"/>
      <c r="P5" s="948"/>
      <c r="Q5" s="948"/>
      <c r="R5" s="948"/>
      <c r="S5" s="940" t="s">
        <v>305</v>
      </c>
      <c r="T5" s="941"/>
      <c r="U5" s="941"/>
      <c r="V5" s="941"/>
      <c r="W5" s="941"/>
      <c r="X5" s="942"/>
      <c r="Y5" s="242"/>
      <c r="Z5" s="89"/>
      <c r="AB5" s="89"/>
      <c r="AC5" s="89"/>
      <c r="AH5" s="89"/>
      <c r="AI5" s="89"/>
      <c r="CX5" s="244"/>
      <c r="CZ5"/>
      <c r="FI5" s="896" t="s">
        <v>607</v>
      </c>
      <c r="FJ5" s="896"/>
      <c r="FK5" s="896"/>
      <c r="FL5" s="896"/>
      <c r="FM5" s="896"/>
      <c r="FN5" s="896"/>
      <c r="FO5" s="896"/>
      <c r="FP5" s="896"/>
      <c r="FQ5" s="896"/>
      <c r="FR5" s="896"/>
      <c r="FU5" t="s">
        <v>622</v>
      </c>
      <c r="FV5" t="s">
        <v>615</v>
      </c>
      <c r="FX5" t="s">
        <v>616</v>
      </c>
      <c r="FZ5" t="s">
        <v>617</v>
      </c>
      <c r="GB5" s="518" t="s">
        <v>618</v>
      </c>
    </row>
    <row r="6" spans="1:185" ht="47" customHeight="1">
      <c r="A6" s="324">
        <f>August!A7</f>
        <v>2024</v>
      </c>
      <c r="B6" s="238"/>
      <c r="C6" s="239"/>
      <c r="D6" s="240"/>
      <c r="E6" s="955" t="s">
        <v>470</v>
      </c>
      <c r="F6" s="956"/>
      <c r="G6" s="957"/>
      <c r="H6" s="321" t="s">
        <v>323</v>
      </c>
      <c r="I6" s="903" t="s">
        <v>465</v>
      </c>
      <c r="J6" s="953" t="s">
        <v>486</v>
      </c>
      <c r="K6" s="949" t="s">
        <v>302</v>
      </c>
      <c r="L6" s="950"/>
      <c r="M6" s="322" t="s">
        <v>303</v>
      </c>
      <c r="N6" s="903" t="s">
        <v>446</v>
      </c>
      <c r="O6" s="903" t="s">
        <v>307</v>
      </c>
      <c r="P6" s="903" t="s">
        <v>455</v>
      </c>
      <c r="Q6" s="903" t="s">
        <v>386</v>
      </c>
      <c r="R6" s="906" t="s">
        <v>515</v>
      </c>
      <c r="S6" s="968" t="s">
        <v>304</v>
      </c>
      <c r="T6" s="969"/>
      <c r="U6" s="969"/>
      <c r="V6" s="969"/>
      <c r="W6" s="969"/>
      <c r="X6" s="970"/>
      <c r="Y6" s="211"/>
      <c r="Z6" s="211"/>
      <c r="AA6" s="905" t="s">
        <v>261</v>
      </c>
      <c r="AB6" s="905"/>
      <c r="AC6" s="905"/>
      <c r="AD6" s="905"/>
      <c r="AE6" s="905"/>
      <c r="AF6" s="208"/>
      <c r="AG6" s="905" t="s">
        <v>222</v>
      </c>
      <c r="AH6" s="905"/>
      <c r="AI6" s="905"/>
      <c r="AJ6" s="905"/>
      <c r="AK6" s="905"/>
      <c r="AL6" s="905" t="s">
        <v>223</v>
      </c>
      <c r="AM6" s="905"/>
      <c r="AN6" s="905"/>
      <c r="AO6" s="905"/>
      <c r="AP6" s="905"/>
      <c r="AQ6" s="905" t="s">
        <v>224</v>
      </c>
      <c r="AR6" s="905"/>
      <c r="AS6" s="905"/>
      <c r="AT6" s="905"/>
      <c r="AU6" s="905"/>
      <c r="AV6" s="905" t="s">
        <v>225</v>
      </c>
      <c r="AW6" s="905"/>
      <c r="AX6" s="905"/>
      <c r="AY6" s="905"/>
      <c r="AZ6" s="905"/>
      <c r="BA6" s="295"/>
      <c r="BB6" s="208"/>
      <c r="BC6" s="905" t="s">
        <v>264</v>
      </c>
      <c r="BD6" s="905"/>
      <c r="BE6" s="905"/>
      <c r="BF6" s="905"/>
      <c r="BG6" s="905" t="s">
        <v>227</v>
      </c>
      <c r="BH6" s="905"/>
      <c r="BI6" s="905"/>
      <c r="BJ6" s="905"/>
      <c r="BK6" s="905"/>
      <c r="BL6" s="905" t="s">
        <v>228</v>
      </c>
      <c r="BM6" s="905"/>
      <c r="BN6" s="905"/>
      <c r="BO6" s="905"/>
      <c r="BP6" s="905"/>
      <c r="BQ6" s="905" t="s">
        <v>229</v>
      </c>
      <c r="BR6" s="905"/>
      <c r="BS6" s="905"/>
      <c r="BT6" s="905"/>
      <c r="BU6" s="905"/>
      <c r="BV6" s="905" t="s">
        <v>230</v>
      </c>
      <c r="BW6" s="905"/>
      <c r="BX6" s="905"/>
      <c r="BY6" s="905"/>
      <c r="BZ6" s="905"/>
      <c r="CD6" s="905" t="s">
        <v>265</v>
      </c>
      <c r="CE6" s="905"/>
      <c r="CF6" s="905"/>
      <c r="CG6" s="905"/>
      <c r="CH6" s="905"/>
      <c r="CI6" s="905" t="s">
        <v>267</v>
      </c>
      <c r="CJ6" s="905"/>
      <c r="CK6" s="905"/>
      <c r="CL6" s="905"/>
      <c r="CM6" s="905"/>
      <c r="CN6" s="905" t="s">
        <v>266</v>
      </c>
      <c r="CO6" s="905"/>
      <c r="CP6" s="905"/>
      <c r="CQ6" s="905"/>
      <c r="CR6" s="905"/>
      <c r="CS6" s="905" t="s">
        <v>268</v>
      </c>
      <c r="CT6" s="905"/>
      <c r="CU6" s="905"/>
      <c r="CV6" s="905"/>
      <c r="CW6" s="905"/>
      <c r="CX6" s="244"/>
      <c r="CZ6"/>
      <c r="DA6" s="745" t="s">
        <v>212</v>
      </c>
      <c r="DB6" s="745"/>
      <c r="DC6" s="745"/>
      <c r="DD6" s="745"/>
      <c r="DE6" s="745"/>
      <c r="DO6" s="1064" t="s">
        <v>319</v>
      </c>
      <c r="DP6" s="1065"/>
      <c r="DQ6" s="1065"/>
      <c r="DR6" s="1065"/>
      <c r="DS6" s="1065"/>
      <c r="DT6" s="1065"/>
      <c r="DU6" s="1065"/>
      <c r="DV6" s="1066"/>
      <c r="DW6" s="1067" t="s">
        <v>319</v>
      </c>
      <c r="DX6" s="1068"/>
      <c r="DY6" s="1068"/>
      <c r="DZ6" s="1068"/>
      <c r="EA6" s="1068"/>
      <c r="EB6" s="1069"/>
      <c r="EC6" s="1070" t="s">
        <v>375</v>
      </c>
      <c r="ED6" s="1071"/>
      <c r="EE6" s="1071"/>
      <c r="EF6" s="1071"/>
      <c r="EG6" s="1071"/>
      <c r="EH6" s="1071"/>
      <c r="EI6" s="1071"/>
      <c r="EJ6" s="1072"/>
      <c r="EK6" s="1073" t="s">
        <v>320</v>
      </c>
      <c r="EL6" s="1074"/>
      <c r="EM6" s="1074"/>
      <c r="EN6" s="1075"/>
      <c r="EO6" s="1073" t="s">
        <v>324</v>
      </c>
      <c r="EP6" s="1074"/>
      <c r="EQ6" s="1074"/>
      <c r="ER6" s="1075"/>
      <c r="ES6" s="888" t="s">
        <v>378</v>
      </c>
      <c r="ET6" s="889"/>
      <c r="EU6" s="889"/>
      <c r="EV6" s="890"/>
      <c r="EW6" s="888" t="s">
        <v>379</v>
      </c>
      <c r="EX6" s="889"/>
      <c r="EY6" s="889"/>
      <c r="EZ6" s="890"/>
      <c r="FA6" s="888" t="s">
        <v>380</v>
      </c>
      <c r="FB6" s="889"/>
      <c r="FC6" s="889"/>
      <c r="FD6" s="890"/>
      <c r="FE6" s="888" t="s">
        <v>381</v>
      </c>
      <c r="FF6" s="889"/>
      <c r="FG6" s="889"/>
      <c r="FH6" s="890"/>
      <c r="FI6" s="898" t="s">
        <v>592</v>
      </c>
      <c r="FJ6" s="899"/>
      <c r="FK6" s="899"/>
      <c r="FL6" s="1076"/>
      <c r="FM6" s="897" t="s">
        <v>380</v>
      </c>
      <c r="FN6" s="897"/>
      <c r="FO6" s="898" t="s">
        <v>619</v>
      </c>
      <c r="FP6" s="899"/>
      <c r="FQ6" s="899"/>
      <c r="FR6" s="900"/>
      <c r="FS6" s="901" t="s">
        <v>609</v>
      </c>
      <c r="FT6" s="902"/>
      <c r="FU6" t="s">
        <v>612</v>
      </c>
      <c r="FV6" s="897" t="s">
        <v>378</v>
      </c>
      <c r="FW6" s="897"/>
      <c r="FX6" s="897" t="s">
        <v>379</v>
      </c>
      <c r="FY6" s="897"/>
      <c r="FZ6" s="897" t="s">
        <v>381</v>
      </c>
      <c r="GA6" s="897"/>
      <c r="GB6" s="897" t="s">
        <v>377</v>
      </c>
      <c r="GC6" s="897"/>
    </row>
    <row r="7" spans="1:185" ht="184" customHeight="1">
      <c r="A7" s="1012" t="s">
        <v>282</v>
      </c>
      <c r="B7" s="1013"/>
      <c r="C7" s="1013"/>
      <c r="D7" s="1014"/>
      <c r="E7" s="958"/>
      <c r="F7" s="959"/>
      <c r="G7" s="960"/>
      <c r="H7" s="967" t="s">
        <v>485</v>
      </c>
      <c r="I7" s="952"/>
      <c r="J7" s="954"/>
      <c r="K7" s="323" t="s">
        <v>516</v>
      </c>
      <c r="L7" s="323" t="s">
        <v>517</v>
      </c>
      <c r="M7" s="323" t="s">
        <v>518</v>
      </c>
      <c r="N7" s="904"/>
      <c r="O7" s="904"/>
      <c r="P7" s="904"/>
      <c r="Q7" s="904"/>
      <c r="R7" s="907"/>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1015"/>
      <c r="B8" s="1016"/>
      <c r="C8" s="1016"/>
      <c r="D8" s="1017"/>
      <c r="E8" s="961"/>
      <c r="F8" s="962"/>
      <c r="G8" s="963"/>
      <c r="H8" s="904"/>
      <c r="I8" s="943" t="s">
        <v>382</v>
      </c>
      <c r="J8" s="951"/>
      <c r="K8" s="943" t="s">
        <v>325</v>
      </c>
      <c r="L8" s="944"/>
      <c r="M8" s="944"/>
      <c r="N8" s="944"/>
      <c r="O8" s="944"/>
      <c r="P8" s="944"/>
      <c r="Q8" s="944"/>
      <c r="R8" s="944"/>
      <c r="S8" s="971" t="s">
        <v>382</v>
      </c>
      <c r="T8" s="944"/>
      <c r="U8" s="951"/>
      <c r="V8" s="943" t="s">
        <v>383</v>
      </c>
      <c r="W8" s="944"/>
      <c r="X8" s="945"/>
      <c r="Y8" s="211"/>
      <c r="Z8" s="211"/>
      <c r="AA8" s="296"/>
      <c r="BB8" s="225"/>
      <c r="CA8" s="111"/>
      <c r="CB8" s="230"/>
      <c r="CC8" s="296"/>
      <c r="CX8" s="244"/>
      <c r="DA8" s="244"/>
      <c r="DB8" s="244"/>
      <c r="DC8" s="244"/>
      <c r="DD8" s="244"/>
      <c r="DE8" s="244"/>
      <c r="DF8" s="244"/>
      <c r="DG8" s="244"/>
      <c r="DH8" t="s">
        <v>492</v>
      </c>
      <c r="DI8" t="s">
        <v>493</v>
      </c>
      <c r="DJ8" t="s">
        <v>494</v>
      </c>
      <c r="DO8" s="643"/>
      <c r="DS8" s="1078" t="s">
        <v>162</v>
      </c>
      <c r="DT8" s="1078"/>
      <c r="DU8" s="1078"/>
      <c r="DV8" s="1079"/>
      <c r="DW8" s="643"/>
      <c r="DZ8" s="1080" t="s">
        <v>162</v>
      </c>
      <c r="EA8" s="1080"/>
      <c r="EB8" s="1081"/>
      <c r="EG8" s="1080" t="s">
        <v>162</v>
      </c>
      <c r="EH8" s="1080"/>
      <c r="EI8" s="1080"/>
      <c r="EJ8" s="644"/>
      <c r="EK8" s="279"/>
      <c r="EL8" s="247"/>
      <c r="EM8" s="891" t="s">
        <v>162</v>
      </c>
      <c r="EN8" s="892"/>
      <c r="EO8" s="279"/>
      <c r="EP8" s="247"/>
      <c r="EQ8" s="891" t="s">
        <v>162</v>
      </c>
      <c r="ER8" s="892"/>
      <c r="ES8" s="279"/>
      <c r="ET8" s="247"/>
      <c r="EU8" s="891" t="s">
        <v>162</v>
      </c>
      <c r="EV8" s="892"/>
      <c r="EW8" s="279"/>
      <c r="EX8" s="247"/>
      <c r="EY8" s="891" t="s">
        <v>162</v>
      </c>
      <c r="EZ8" s="892"/>
      <c r="FA8" s="279"/>
      <c r="FB8" s="247"/>
      <c r="FC8" s="891" t="s">
        <v>162</v>
      </c>
      <c r="FD8" s="892"/>
      <c r="FE8" s="279"/>
      <c r="FF8" s="247"/>
      <c r="FG8" s="891" t="s">
        <v>162</v>
      </c>
      <c r="FH8" s="892"/>
      <c r="FI8" s="279"/>
      <c r="FJ8" s="247"/>
      <c r="FK8" s="891" t="s">
        <v>162</v>
      </c>
      <c r="FL8" s="892"/>
      <c r="FN8" s="636" t="s">
        <v>160</v>
      </c>
      <c r="FO8" s="279"/>
      <c r="FP8" s="247"/>
      <c r="FQ8" s="891" t="s">
        <v>162</v>
      </c>
      <c r="FR8" s="1077"/>
      <c r="FS8" s="279"/>
      <c r="FT8" s="683" t="s">
        <v>160</v>
      </c>
      <c r="FW8" s="636" t="s">
        <v>160</v>
      </c>
      <c r="FY8" s="636" t="s">
        <v>160</v>
      </c>
      <c r="GA8" s="636" t="s">
        <v>160</v>
      </c>
      <c r="GC8" s="636" t="s">
        <v>160</v>
      </c>
    </row>
    <row r="9" spans="1:185">
      <c r="A9" s="241">
        <f>IF(ISNUMBER(A7),A7+1,1)</f>
        <v>1</v>
      </c>
      <c r="B9" s="127" t="str">
        <f t="shared" ref="B9:B39" si="0">CHOOSE(MOD(WEEKDAY(DATE(A$6,A$2,A9)),7)+1,"lø","sø","ma","ti","on","to","fr",)</f>
        <v>sø</v>
      </c>
      <c r="C9" s="128" t="s">
        <v>120</v>
      </c>
      <c r="D9" s="129" t="str">
        <f t="shared" ref="D9:D39" si="1">IF(B9="ma",(DATE(A$6,A$2,A9)-DATE(A$6,1,1)+7)/7,"")</f>
        <v/>
      </c>
      <c r="E9" s="932"/>
      <c r="F9" s="933"/>
      <c r="G9" s="934"/>
      <c r="H9" s="294"/>
      <c r="I9" s="407"/>
      <c r="J9" s="407"/>
      <c r="K9" s="374"/>
      <c r="L9" s="374"/>
      <c r="M9" s="374"/>
      <c r="N9" s="313">
        <f>BA9</f>
        <v>0</v>
      </c>
      <c r="O9" s="313">
        <f>CA9</f>
        <v>0</v>
      </c>
      <c r="P9" s="313">
        <f>IF(Stamoplysninger!$H$29="JA",December!DG9,CX9)</f>
        <v>0</v>
      </c>
      <c r="Q9" s="313">
        <f>IF(OR(C9="Lejrskole",C9="Ekskursion"),0,N9-O9-P9)</f>
        <v>0</v>
      </c>
      <c r="R9" s="314"/>
      <c r="S9" s="319"/>
      <c r="T9" s="320"/>
      <c r="U9" s="320"/>
      <c r="V9" s="429"/>
      <c r="W9" s="406"/>
      <c r="X9" s="633"/>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9" si="8">SUM(AG9:AK9)*24</f>
        <v>0</v>
      </c>
      <c r="BC9" s="1">
        <f>IF($C$9="Lejrskole",$L$9,0)</f>
        <v>0</v>
      </c>
      <c r="BD9" s="1">
        <f t="shared" ref="BD9:BD39" si="9">IF(C9="Ekskursion",L9,0)</f>
        <v>0</v>
      </c>
      <c r="BE9" s="1">
        <f t="shared" ref="BE9:BE39" si="10">IF(C9="fagdag",L9,0)</f>
        <v>0</v>
      </c>
      <c r="BF9" s="1">
        <f t="shared" ref="BF9:BF39" si="11">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9" si="12">IF(C9="fagdag",M9,0)</f>
        <v>0</v>
      </c>
      <c r="CC9" s="1">
        <f t="shared" ref="CC9:CC39" si="13">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4">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5">IF(AND(I9="X",S9="X"),V9,0)</f>
        <v>0</v>
      </c>
      <c r="FT9" s="649">
        <f t="shared" ref="FT9:FT37"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ma</v>
      </c>
      <c r="C10" s="128" t="s">
        <v>206</v>
      </c>
      <c r="D10" s="129">
        <f t="shared" si="1"/>
        <v>49</v>
      </c>
      <c r="E10" s="932"/>
      <c r="F10" s="933"/>
      <c r="G10" s="934"/>
      <c r="H10" s="294"/>
      <c r="I10" s="519"/>
      <c r="J10" s="407"/>
      <c r="K10" s="374"/>
      <c r="L10" s="374"/>
      <c r="M10" s="374"/>
      <c r="N10" s="313">
        <f t="shared" ref="N10:N39" si="19">BA10</f>
        <v>0</v>
      </c>
      <c r="O10" s="313">
        <f t="shared" ref="O10:O39" si="20">CA10</f>
        <v>0</v>
      </c>
      <c r="P10" s="313">
        <f>IF(Stamoplysninger!$H$29="JA",December!DG10,CX10)</f>
        <v>0</v>
      </c>
      <c r="Q10" s="313">
        <f t="shared" ref="Q10:Q39" si="21">IF(OR(C10="Lejrskole",C10="Ekskursion"),0,N10-O10-P10)</f>
        <v>0</v>
      </c>
      <c r="R10" s="314"/>
      <c r="S10" s="319"/>
      <c r="T10" s="320"/>
      <c r="U10" s="320"/>
      <c r="V10" s="429"/>
      <c r="W10" s="406"/>
      <c r="X10" s="633"/>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f>IF(AND(C10="Skema 1",B10="ma"),Arbejdstidsoversigt!$E$72,"")</f>
        <v>0</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6">
        <f t="shared" si="8"/>
        <v>0</v>
      </c>
      <c r="BC10" s="1">
        <f t="shared" ref="BC10:BC39" si="24">IF(C10="Lejrskole",L10,0)</f>
        <v>0</v>
      </c>
      <c r="BD10" s="1">
        <f t="shared" si="9"/>
        <v>0</v>
      </c>
      <c r="BE10" s="1">
        <f t="shared" si="10"/>
        <v>0</v>
      </c>
      <c r="BF10" s="1">
        <f t="shared" si="11"/>
        <v>0</v>
      </c>
      <c r="BG10" s="209">
        <f>IF(AND(C10="Skema 1",B10="ma"),Skemaoplysninger!$E$30,"")</f>
        <v>0</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9" si="25">SUM(BG10:BZ10)*24+SUM(BC10:BF10)</f>
        <v>0</v>
      </c>
      <c r="CB10" s="1">
        <f t="shared" si="12"/>
        <v>0</v>
      </c>
      <c r="CC10" s="1">
        <f t="shared" si="13"/>
        <v>0</v>
      </c>
      <c r="CD10" s="209">
        <f>IF(AND(C10="Skema 1",B10="ma"),Skemaoplysninger!$E$31,"")</f>
        <v>0</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9" si="26">SUM(CY10:DF10)</f>
        <v>0</v>
      </c>
      <c r="DH10" t="str">
        <f t="shared" ref="DH10:DH38" si="27">IF(AND(E10&gt;0,H10&gt;0),""&amp;E10&amp;" og "&amp;H10&amp;"","")</f>
        <v/>
      </c>
      <c r="DI10">
        <f t="shared" ref="DI10:DI38" si="28">IF(H10="",E10,"")</f>
        <v>0</v>
      </c>
      <c r="DJ10">
        <f t="shared" ref="DJ10:DJ38" si="29">IF(E10="",H10,"")</f>
        <v>0</v>
      </c>
      <c r="DK10" t="str">
        <f t="shared" si="14"/>
        <v/>
      </c>
      <c r="DL10" t="str">
        <f t="shared" si="14"/>
        <v/>
      </c>
      <c r="DM10" t="str">
        <f t="shared" si="14"/>
        <v/>
      </c>
      <c r="DN10" t="str">
        <f t="shared" ref="DN10:DN38"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ti</v>
      </c>
      <c r="C11" s="128" t="s">
        <v>206</v>
      </c>
      <c r="D11" s="129" t="str">
        <f t="shared" si="1"/>
        <v/>
      </c>
      <c r="E11" s="932"/>
      <c r="F11" s="933"/>
      <c r="G11" s="934"/>
      <c r="H11" s="294"/>
      <c r="I11" s="519"/>
      <c r="J11" s="407"/>
      <c r="K11" s="374"/>
      <c r="L11" s="374"/>
      <c r="M11" s="374"/>
      <c r="N11" s="313">
        <f t="shared" si="19"/>
        <v>0</v>
      </c>
      <c r="O11" s="313">
        <f t="shared" si="20"/>
        <v>0</v>
      </c>
      <c r="P11" s="313">
        <f>IF(Stamoplysninger!$H$29="JA",December!DG11,CX11)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f>IF(AND(C11="Skema 1",B11="ti"),Arbejdstidsoversigt!$E$73,"")</f>
        <v>0</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t="str">
        <f>IF(AND(C11="Skema 1",B11="ma"),Skemaoplysninger!$E$30,"")</f>
        <v/>
      </c>
      <c r="BH11" s="209">
        <f>IF(AND(C11="Skema 1",B11="ti"),Skemaoplysninger!$G$30,"")</f>
        <v>0</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t="str">
        <f>IF(AND(C11="Skema 1",B11="ma"),Skemaoplysninger!$E$31,"")</f>
        <v/>
      </c>
      <c r="CE11" s="209">
        <f>IF(AND(C11="Skema 1",B11="ti"),Skemaoplysninger!$G$31,"")</f>
        <v>0</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on</v>
      </c>
      <c r="C12" s="128" t="s">
        <v>206</v>
      </c>
      <c r="D12" s="129" t="str">
        <f t="shared" si="1"/>
        <v/>
      </c>
      <c r="E12" s="932"/>
      <c r="F12" s="933"/>
      <c r="G12" s="934"/>
      <c r="H12" s="294"/>
      <c r="I12" s="519"/>
      <c r="J12" s="407"/>
      <c r="K12" s="374"/>
      <c r="L12" s="374"/>
      <c r="M12" s="374"/>
      <c r="N12" s="313">
        <f t="shared" si="19"/>
        <v>0</v>
      </c>
      <c r="O12" s="313">
        <f t="shared" si="20"/>
        <v>0</v>
      </c>
      <c r="P12" s="313">
        <f>IF(Stamoplysninger!$H$29="JA",December!DG12,CX12)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f>IF(AND(C12="Skema 1",B12="on"),Arbejdstidsoversigt!$E$74,"")</f>
        <v>0</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t="str">
        <f>IF(AND(C12="Skema 1",B12="ti"),Skemaoplysninger!$G$30,"")</f>
        <v/>
      </c>
      <c r="BI12" s="209">
        <f>IF(AND(C12="Skema 1",B12="on"),Skemaoplysninger!$I$30,"")</f>
        <v>0</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t="str">
        <f>IF(AND(C12="Skema 1",B12="ti"),Skemaoplysninger!$G$31,"")</f>
        <v/>
      </c>
      <c r="CF12" s="209">
        <f>IF(AND(C12="Skema 1",B12="on"),Skemaoplysninger!$I$31,"")</f>
        <v>0</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to</v>
      </c>
      <c r="C13" s="128" t="s">
        <v>206</v>
      </c>
      <c r="D13" s="129" t="str">
        <f t="shared" si="1"/>
        <v/>
      </c>
      <c r="E13" s="932"/>
      <c r="F13" s="933"/>
      <c r="G13" s="934"/>
      <c r="H13" s="294"/>
      <c r="I13" s="519"/>
      <c r="J13" s="407"/>
      <c r="K13" s="374"/>
      <c r="L13" s="374"/>
      <c r="M13" s="374"/>
      <c r="N13" s="313">
        <f t="shared" si="19"/>
        <v>0</v>
      </c>
      <c r="O13" s="313">
        <f t="shared" si="20"/>
        <v>0</v>
      </c>
      <c r="P13" s="313">
        <f>IF(Stamoplysninger!$H$29="JA",December!DG13,CX13)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f>IF(AND(C13="Skema 1",B13="to"),Arbejdstidsoversigt!$E$75,"")</f>
        <v>0</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t="str">
        <f>IF(AND(C13="Skema 1",B13="ma"),Skemaoplysninger!$E$30,"")</f>
        <v/>
      </c>
      <c r="BH13" s="209" t="str">
        <f>IF(AND(C13="Skema 1",B13="ti"),Skemaoplysninger!$G$30,"")</f>
        <v/>
      </c>
      <c r="BI13" s="209" t="str">
        <f>IF(AND(C13="Skema 1",B13="on"),Skemaoplysninger!$I$30,"")</f>
        <v/>
      </c>
      <c r="BJ13" s="209">
        <f>IF(AND(C13="Skema 1",B13="to"),Skemaoplysninger!$K$30,"")</f>
        <v>0</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t="str">
        <f>IF(AND(C13="Skema 1",B13="ma"),Skemaoplysninger!$E$31,"")</f>
        <v/>
      </c>
      <c r="CE13" s="209" t="str">
        <f>IF(AND(C13="Skema 1",B13="ti"),Skemaoplysninger!$G$31,"")</f>
        <v/>
      </c>
      <c r="CF13" s="209" t="str">
        <f>IF(AND(C13="Skema 1",B13="on"),Skemaoplysninger!$I$31,"")</f>
        <v/>
      </c>
      <c r="CG13" s="209">
        <f>IF(AND(C13="Skema 1",B13="to"),Skemaoplysninger!$K$31,"")</f>
        <v>0</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fr</v>
      </c>
      <c r="C14" s="128" t="s">
        <v>206</v>
      </c>
      <c r="D14" s="129" t="str">
        <f t="shared" si="1"/>
        <v/>
      </c>
      <c r="E14" s="932"/>
      <c r="F14" s="933"/>
      <c r="G14" s="934"/>
      <c r="H14" s="294"/>
      <c r="I14" s="519"/>
      <c r="J14" s="407"/>
      <c r="K14" s="374"/>
      <c r="L14" s="374"/>
      <c r="M14" s="374"/>
      <c r="N14" s="313">
        <f t="shared" si="19"/>
        <v>0</v>
      </c>
      <c r="O14" s="313">
        <f t="shared" si="20"/>
        <v>0</v>
      </c>
      <c r="P14" s="313">
        <f>IF(Stamoplysninger!$H$29="JA",December!DG14,CX14)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f>IF(AND(C14="Skema 1",B14="fr"),Arbejdstidsoversigt!$E$76,"")</f>
        <v>0</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t="str">
        <f>IF(AND(C14="Skema 1",B14="ma"),Skemaoplysninger!$E$30,"")</f>
        <v/>
      </c>
      <c r="BH14" s="209" t="str">
        <f>IF(AND(C14="Skema 1",B14="ti"),Skemaoplysninger!$G$30,"")</f>
        <v/>
      </c>
      <c r="BI14" s="209" t="str">
        <f>IF(AND(C14="Skema 1",B14="on"),Skemaoplysninger!$I$30,"")</f>
        <v/>
      </c>
      <c r="BJ14" s="209" t="str">
        <f>IF(AND(C14="Skema 1",B14="to"),Skemaoplysninger!$K$30,"")</f>
        <v/>
      </c>
      <c r="BK14" s="209">
        <f>IF(AND(C14="Skema 1",B14="fr"),Skemaoplysninger!$M$30,"")</f>
        <v>0</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t="str">
        <f>IF(AND(C14="Skema 1",B14="ma"),Skemaoplysninger!$E$31,"")</f>
        <v/>
      </c>
      <c r="CE14" s="209" t="str">
        <f>IF(AND(C14="Skema 1",B14="ti"),Skemaoplysninger!$G$31,"")</f>
        <v/>
      </c>
      <c r="CF14" s="209" t="str">
        <f>IF(AND(C14="Skema 1",B14="on"),Skemaoplysninger!$I$31,"")</f>
        <v/>
      </c>
      <c r="CG14" s="209" t="str">
        <f>IF(AND(C14="Skema 1",B14="to"),Skemaoplysninger!$K$31,"")</f>
        <v/>
      </c>
      <c r="CH14" s="209">
        <f>IF(AND(C14="Skema 1",B14="fr"),Skemaoplysninger!$M$31,"")</f>
        <v>0</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lø</v>
      </c>
      <c r="C15" s="128" t="s">
        <v>120</v>
      </c>
      <c r="D15" s="129" t="str">
        <f t="shared" si="1"/>
        <v/>
      </c>
      <c r="E15" s="932"/>
      <c r="F15" s="933"/>
      <c r="G15" s="934"/>
      <c r="H15" s="294"/>
      <c r="I15" s="407"/>
      <c r="J15" s="407"/>
      <c r="K15" s="374"/>
      <c r="L15" s="374"/>
      <c r="M15" s="374"/>
      <c r="N15" s="313">
        <f t="shared" si="19"/>
        <v>0</v>
      </c>
      <c r="O15" s="313">
        <f t="shared" si="20"/>
        <v>0</v>
      </c>
      <c r="P15" s="313">
        <f>IF(Stamoplysninger!$H$29="JA",December!DG15,CX15)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t="str">
        <f>IF(AND(C15="Skema 1",B15="ma"),Skemaoplysninger!$E$30,"")</f>
        <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t="str">
        <f>IF(AND(C15="Skema 1",B15="ma"),Skemaoplysninger!$E$31,"")</f>
        <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sø</v>
      </c>
      <c r="C16" s="128" t="s">
        <v>120</v>
      </c>
      <c r="D16" s="129" t="str">
        <f t="shared" si="1"/>
        <v/>
      </c>
      <c r="E16" s="932"/>
      <c r="F16" s="933"/>
      <c r="G16" s="934"/>
      <c r="H16" s="294"/>
      <c r="I16" s="407"/>
      <c r="J16" s="407"/>
      <c r="K16" s="374"/>
      <c r="L16" s="374"/>
      <c r="M16" s="374"/>
      <c r="N16" s="313">
        <f t="shared" si="19"/>
        <v>0</v>
      </c>
      <c r="O16" s="313">
        <f t="shared" si="20"/>
        <v>0</v>
      </c>
      <c r="P16" s="313">
        <f>IF(Stamoplysninger!$H$29="JA",December!DG16,CX16)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4"/>
        <v/>
      </c>
      <c r="DL16" t="str">
        <f t="shared" si="14"/>
        <v/>
      </c>
      <c r="DM16" t="str">
        <f t="shared" si="14"/>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ma</v>
      </c>
      <c r="C17" s="128" t="s">
        <v>206</v>
      </c>
      <c r="D17" s="129">
        <f t="shared" si="1"/>
        <v>50</v>
      </c>
      <c r="E17" s="932"/>
      <c r="F17" s="933"/>
      <c r="G17" s="934"/>
      <c r="H17" s="294"/>
      <c r="I17" s="519"/>
      <c r="J17" s="407"/>
      <c r="K17" s="374"/>
      <c r="L17" s="374"/>
      <c r="M17" s="374"/>
      <c r="N17" s="313">
        <f t="shared" si="19"/>
        <v>0</v>
      </c>
      <c r="O17" s="313">
        <f t="shared" si="20"/>
        <v>0</v>
      </c>
      <c r="P17" s="313">
        <f>IF(Stamoplysninger!$H$29="JA",December!DG17,CX17)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f>IF(AND(C17="Skema 1",B17="ma"),Arbejdstidsoversigt!$E$72,"")</f>
        <v>0</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f>IF(AND(C17="Skema 1",B17="ma"),Skemaoplysninger!$E$30,"")</f>
        <v>0</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f>IF(AND(C17="Skema 1",B17="ma"),Skemaoplysninger!$E$31,"")</f>
        <v>0</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4"/>
        <v/>
      </c>
      <c r="DL17" t="str">
        <f t="shared" si="14"/>
        <v/>
      </c>
      <c r="DM17" t="str">
        <f t="shared" si="14"/>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ti</v>
      </c>
      <c r="C18" s="128" t="s">
        <v>206</v>
      </c>
      <c r="D18" s="129" t="str">
        <f t="shared" si="1"/>
        <v/>
      </c>
      <c r="E18" s="932"/>
      <c r="F18" s="933"/>
      <c r="G18" s="934"/>
      <c r="H18" s="294"/>
      <c r="I18" s="519"/>
      <c r="J18" s="407"/>
      <c r="K18" s="374"/>
      <c r="L18" s="374"/>
      <c r="M18" s="374"/>
      <c r="N18" s="313">
        <f t="shared" si="19"/>
        <v>0</v>
      </c>
      <c r="O18" s="313">
        <f t="shared" si="20"/>
        <v>0</v>
      </c>
      <c r="P18" s="313">
        <f>IF(Stamoplysninger!$H$29="JA",December!DG18,CX18)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f>IF(AND(C18="Skema 1",B18="ti"),Arbejdstidsoversigt!$E$73,"")</f>
        <v>0</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t="str">
        <f>IF(AND(C18="Skema 1",B18="ma"),Skemaoplysninger!$E$30,"")</f>
        <v/>
      </c>
      <c r="BH18" s="209">
        <f>IF(AND(C18="Skema 1",B18="ti"),Skemaoplysninger!$G$30,"")</f>
        <v>0</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t="str">
        <f>IF(AND(C18="Skema 1",B18="ma"),Skemaoplysninger!$E$31,"")</f>
        <v/>
      </c>
      <c r="CE18" s="209">
        <f>IF(AND(C18="Skema 1",B18="ti"),Skemaoplysninger!$G$31,"")</f>
        <v>0</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4"/>
        <v/>
      </c>
      <c r="DL18" t="str">
        <f t="shared" si="14"/>
        <v/>
      </c>
      <c r="DM18" t="str">
        <f t="shared" si="14"/>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on</v>
      </c>
      <c r="C19" s="128" t="s">
        <v>206</v>
      </c>
      <c r="D19" s="129" t="str">
        <f t="shared" si="1"/>
        <v/>
      </c>
      <c r="E19" s="932"/>
      <c r="F19" s="933"/>
      <c r="G19" s="934"/>
      <c r="H19" s="294"/>
      <c r="I19" s="519"/>
      <c r="J19" s="407"/>
      <c r="K19" s="374"/>
      <c r="L19" s="374"/>
      <c r="M19" s="374"/>
      <c r="N19" s="313">
        <f t="shared" si="19"/>
        <v>0</v>
      </c>
      <c r="O19" s="313">
        <f t="shared" si="20"/>
        <v>0</v>
      </c>
      <c r="P19" s="313">
        <f>IF(Stamoplysninger!$H$29="JA",December!DG19,CX19)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f>IF(AND(C19="Skema 1",B19="on"),Arbejdstidsoversigt!$E$74,"")</f>
        <v>0</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t="str">
        <f>IF(AND(C19="Skema 1",B19="ti"),Skemaoplysninger!$G$30,"")</f>
        <v/>
      </c>
      <c r="BI19" s="209">
        <f>IF(AND(C19="Skema 1",B19="on"),Skemaoplysninger!$I$30,"")</f>
        <v>0</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t="str">
        <f>IF(AND(C19="Skema 1",B19="ti"),Skemaoplysninger!$G$31,"")</f>
        <v/>
      </c>
      <c r="CF19" s="209">
        <f>IF(AND(C19="Skema 1",B19="on"),Skemaoplysninger!$I$31,"")</f>
        <v>0</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4"/>
        <v/>
      </c>
      <c r="DL19" t="str">
        <f t="shared" si="14"/>
        <v/>
      </c>
      <c r="DM19" t="str">
        <f t="shared" si="14"/>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to</v>
      </c>
      <c r="C20" s="128" t="s">
        <v>206</v>
      </c>
      <c r="D20" s="129" t="str">
        <f t="shared" si="1"/>
        <v/>
      </c>
      <c r="E20" s="932"/>
      <c r="F20" s="933"/>
      <c r="G20" s="934"/>
      <c r="H20" s="294"/>
      <c r="I20" s="519"/>
      <c r="J20" s="407"/>
      <c r="K20" s="374"/>
      <c r="L20" s="374"/>
      <c r="M20" s="374"/>
      <c r="N20" s="313">
        <f t="shared" si="19"/>
        <v>0</v>
      </c>
      <c r="O20" s="313">
        <f t="shared" si="20"/>
        <v>0</v>
      </c>
      <c r="P20" s="313">
        <f>IF(Stamoplysninger!$H$29="JA",December!DG20,CX20)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f>IF(AND(C20="Skema 1",B20="to"),Arbejdstidsoversigt!$E$75,"")</f>
        <v>0</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t="str">
        <f>IF(AND(C20="Skema 1",B20="ma"),Skemaoplysninger!$E$30,"")</f>
        <v/>
      </c>
      <c r="BH20" s="209" t="str">
        <f>IF(AND(C20="Skema 1",B20="ti"),Skemaoplysninger!$G$30,"")</f>
        <v/>
      </c>
      <c r="BI20" s="209" t="str">
        <f>IF(AND(C20="Skema 1",B20="on"),Skemaoplysninger!$I$30,"")</f>
        <v/>
      </c>
      <c r="BJ20" s="209">
        <f>IF(AND(C20="Skema 1",B20="to"),Skemaoplysninger!$K$30,"")</f>
        <v>0</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t="str">
        <f>IF(AND(C20="Skema 1",B20="ma"),Skemaoplysninger!$E$31,"")</f>
        <v/>
      </c>
      <c r="CE20" s="209" t="str">
        <f>IF(AND(C20="Skema 1",B20="ti"),Skemaoplysninger!$G$31,"")</f>
        <v/>
      </c>
      <c r="CF20" s="209" t="str">
        <f>IF(AND(C20="Skema 1",B20="on"),Skemaoplysninger!$I$31,"")</f>
        <v/>
      </c>
      <c r="CG20" s="209">
        <f>IF(AND(C20="Skema 1",B20="to"),Skemaoplysninger!$K$31,"")</f>
        <v>0</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fr</v>
      </c>
      <c r="C21" s="128" t="s">
        <v>206</v>
      </c>
      <c r="D21" s="129" t="str">
        <f t="shared" si="1"/>
        <v/>
      </c>
      <c r="E21" s="964"/>
      <c r="F21" s="965"/>
      <c r="G21" s="966"/>
      <c r="H21" s="293"/>
      <c r="I21" s="519"/>
      <c r="J21" s="407"/>
      <c r="K21" s="374"/>
      <c r="L21" s="374"/>
      <c r="M21" s="374"/>
      <c r="N21" s="313">
        <f t="shared" si="19"/>
        <v>0</v>
      </c>
      <c r="O21" s="313">
        <f t="shared" si="20"/>
        <v>0</v>
      </c>
      <c r="P21" s="313">
        <f>IF(Stamoplysninger!$H$29="JA",December!DG21,CX21)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f>IF(AND(C21="Skema 1",B21="fr"),Arbejdstidsoversigt!$E$76,"")</f>
        <v>0</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t="str">
        <f>IF(AND(C21="Skema 1",B21="ma"),Skemaoplysninger!$E$30,"")</f>
        <v/>
      </c>
      <c r="BH21" s="209" t="str">
        <f>IF(AND(C21="Skema 1",B21="ti"),Skemaoplysninger!$G$30,"")</f>
        <v/>
      </c>
      <c r="BI21" s="209" t="str">
        <f>IF(AND(C21="Skema 1",B21="on"),Skemaoplysninger!$I$30,"")</f>
        <v/>
      </c>
      <c r="BJ21" s="209" t="str">
        <f>IF(AND(C21="Skema 1",B21="to"),Skemaoplysninger!$K$30,"")</f>
        <v/>
      </c>
      <c r="BK21" s="209">
        <f>IF(AND(C21="Skema 1",B21="fr"),Skemaoplysninger!$M$30,"")</f>
        <v>0</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t="str">
        <f>IF(AND(C21="Skema 1",B21="ma"),Skemaoplysninger!$E$31,"")</f>
        <v/>
      </c>
      <c r="CE21" s="209" t="str">
        <f>IF(AND(C21="Skema 1",B21="ti"),Skemaoplysninger!$G$31,"")</f>
        <v/>
      </c>
      <c r="CF21" s="209" t="str">
        <f>IF(AND(C21="Skema 1",B21="on"),Skemaoplysninger!$I$31,"")</f>
        <v/>
      </c>
      <c r="CG21" s="209" t="str">
        <f>IF(AND(C21="Skema 1",B21="to"),Skemaoplysninger!$K$31,"")</f>
        <v/>
      </c>
      <c r="CH21" s="209">
        <f>IF(AND(C21="Skema 1",B21="fr"),Skemaoplysninger!$M$31,"")</f>
        <v>0</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lø</v>
      </c>
      <c r="C22" s="128" t="s">
        <v>120</v>
      </c>
      <c r="D22" s="129" t="str">
        <f t="shared" si="1"/>
        <v/>
      </c>
      <c r="E22" s="964"/>
      <c r="F22" s="965"/>
      <c r="G22" s="966"/>
      <c r="H22" s="293"/>
      <c r="I22" s="407"/>
      <c r="J22" s="407"/>
      <c r="K22" s="374"/>
      <c r="L22" s="374"/>
      <c r="M22" s="374"/>
      <c r="N22" s="313">
        <f t="shared" si="19"/>
        <v>0</v>
      </c>
      <c r="O22" s="313">
        <f t="shared" si="20"/>
        <v>0</v>
      </c>
      <c r="P22" s="313">
        <f>IF(Stamoplysninger!$H$29="JA",December!DG22,CX22)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4"/>
        <v/>
      </c>
      <c r="DL22" t="str">
        <f t="shared" si="14"/>
        <v/>
      </c>
      <c r="DM22" t="str">
        <f t="shared" si="14"/>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sø</v>
      </c>
      <c r="C23" s="128" t="s">
        <v>120</v>
      </c>
      <c r="D23" s="129" t="str">
        <f t="shared" si="1"/>
        <v/>
      </c>
      <c r="E23" s="964"/>
      <c r="F23" s="965"/>
      <c r="G23" s="966"/>
      <c r="H23" s="293"/>
      <c r="I23" s="407"/>
      <c r="J23" s="407"/>
      <c r="K23" s="374"/>
      <c r="L23" s="374"/>
      <c r="M23" s="374"/>
      <c r="N23" s="313">
        <f t="shared" si="19"/>
        <v>0</v>
      </c>
      <c r="O23" s="313">
        <f t="shared" si="20"/>
        <v>0</v>
      </c>
      <c r="P23" s="313">
        <f>IF(Stamoplysninger!$H$29="JA",December!DG23,CX23)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4"/>
        <v/>
      </c>
      <c r="DL23" t="str">
        <f t="shared" si="14"/>
        <v/>
      </c>
      <c r="DM23" t="str">
        <f t="shared" si="14"/>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ma</v>
      </c>
      <c r="C24" s="128" t="s">
        <v>206</v>
      </c>
      <c r="D24" s="129">
        <f t="shared" si="1"/>
        <v>51</v>
      </c>
      <c r="E24" s="932"/>
      <c r="F24" s="933"/>
      <c r="G24" s="934"/>
      <c r="H24" s="294"/>
      <c r="I24" s="519"/>
      <c r="J24" s="407"/>
      <c r="K24" s="374"/>
      <c r="L24" s="374"/>
      <c r="M24" s="374"/>
      <c r="N24" s="313">
        <f t="shared" si="19"/>
        <v>0</v>
      </c>
      <c r="O24" s="313">
        <f t="shared" si="20"/>
        <v>0</v>
      </c>
      <c r="P24" s="313">
        <f>IF(Stamoplysninger!$H$29="JA",December!DG24,CX24)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f>IF(AND(C24="Skema 1",B24="ma"),Arbejdstidsoversigt!$E$72,"")</f>
        <v>0</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f>IF(AND(C24="Skema 1",B24="ma"),Skemaoplysninger!$E$30,"")</f>
        <v>0</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f>IF(AND(C24="Skema 1",B24="ma"),Skemaoplysninger!$E$31,"")</f>
        <v>0</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4"/>
        <v/>
      </c>
      <c r="DL24" t="str">
        <f t="shared" si="14"/>
        <v/>
      </c>
      <c r="DM24" t="str">
        <f t="shared" si="14"/>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ti</v>
      </c>
      <c r="C25" s="128" t="s">
        <v>206</v>
      </c>
      <c r="D25" s="129" t="str">
        <f t="shared" si="1"/>
        <v/>
      </c>
      <c r="E25" s="932"/>
      <c r="F25" s="933"/>
      <c r="G25" s="934"/>
      <c r="H25" s="294"/>
      <c r="I25" s="519"/>
      <c r="J25" s="407"/>
      <c r="K25" s="374"/>
      <c r="L25" s="374"/>
      <c r="M25" s="374"/>
      <c r="N25" s="313">
        <f t="shared" si="19"/>
        <v>0</v>
      </c>
      <c r="O25" s="313">
        <f t="shared" si="20"/>
        <v>0</v>
      </c>
      <c r="P25" s="313">
        <f>IF(Stamoplysninger!$H$29="JA",December!DG25,CX25)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f>IF(AND(C25="Skema 1",B25="ti"),Arbejdstidsoversigt!$E$73,"")</f>
        <v>0</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t="str">
        <f>IF(AND(C25="Skema 1",B25="ma"),Skemaoplysninger!$E$30,"")</f>
        <v/>
      </c>
      <c r="BH25" s="209">
        <f>IF(AND(C25="Skema 1",B25="ti"),Skemaoplysninger!$G$30,"")</f>
        <v>0</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t="str">
        <f>IF(AND(C25="Skema 1",B25="ma"),Skemaoplysninger!$E$31,"")</f>
        <v/>
      </c>
      <c r="CE25" s="209">
        <f>IF(AND(C25="Skema 1",B25="ti"),Skemaoplysninger!$G$31,"")</f>
        <v>0</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4"/>
        <v/>
      </c>
      <c r="DL25" t="str">
        <f t="shared" si="14"/>
        <v/>
      </c>
      <c r="DM25" t="str">
        <f t="shared" si="14"/>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on</v>
      </c>
      <c r="C26" s="128" t="s">
        <v>206</v>
      </c>
      <c r="D26" s="129" t="str">
        <f t="shared" si="1"/>
        <v/>
      </c>
      <c r="E26" s="932"/>
      <c r="F26" s="933"/>
      <c r="G26" s="934"/>
      <c r="H26" s="294"/>
      <c r="I26" s="519"/>
      <c r="J26" s="407"/>
      <c r="K26" s="374"/>
      <c r="L26" s="374"/>
      <c r="M26" s="374"/>
      <c r="N26" s="313">
        <f t="shared" si="19"/>
        <v>0</v>
      </c>
      <c r="O26" s="313">
        <f t="shared" si="20"/>
        <v>0</v>
      </c>
      <c r="P26" s="313">
        <f>IF(Stamoplysninger!$H$29="JA",December!DG26,CX26)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f>IF(AND(C26="Skema 1",B26="on"),Arbejdstidsoversigt!$E$74,"")</f>
        <v>0</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t="str">
        <f>IF(AND(C26="Skema 1",B26="ti"),Skemaoplysninger!$G$30,"")</f>
        <v/>
      </c>
      <c r="BI26" s="209">
        <f>IF(AND(C26="Skema 1",B26="on"),Skemaoplysninger!$I$30,"")</f>
        <v>0</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t="str">
        <f>IF(AND(C26="Skema 1",B26="ti"),Skemaoplysninger!$G$31,"")</f>
        <v/>
      </c>
      <c r="CF26" s="209">
        <f>IF(AND(C26="Skema 1",B26="on"),Skemaoplysninger!$I$31,"")</f>
        <v>0</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4"/>
        <v/>
      </c>
      <c r="DL26" t="str">
        <f t="shared" si="14"/>
        <v/>
      </c>
      <c r="DM26" t="str">
        <f t="shared" si="14"/>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to</v>
      </c>
      <c r="C27" s="128" t="s">
        <v>206</v>
      </c>
      <c r="D27" s="129" t="str">
        <f t="shared" si="1"/>
        <v/>
      </c>
      <c r="E27" s="932"/>
      <c r="F27" s="933"/>
      <c r="G27" s="934"/>
      <c r="H27" s="294"/>
      <c r="I27" s="519"/>
      <c r="J27" s="407"/>
      <c r="K27" s="374"/>
      <c r="L27" s="374"/>
      <c r="M27" s="374"/>
      <c r="N27" s="313">
        <f t="shared" si="19"/>
        <v>0</v>
      </c>
      <c r="O27" s="313">
        <f t="shared" si="20"/>
        <v>0</v>
      </c>
      <c r="P27" s="313">
        <f>IF(Stamoplysninger!$H$29="JA",December!DG27,CX27)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f>IF(AND(C27="Skema 1",B27="to"),Arbejdstidsoversigt!$E$75,"")</f>
        <v>0</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t="str">
        <f>IF(AND(C27="Skema 1",B27="ma"),Skemaoplysninger!$E$30,"")</f>
        <v/>
      </c>
      <c r="BH27" s="209" t="str">
        <f>IF(AND(C27="Skema 1",B27="ti"),Skemaoplysninger!$G$30,"")</f>
        <v/>
      </c>
      <c r="BI27" s="209" t="str">
        <f>IF(AND(C27="Skema 1",B27="on"),Skemaoplysninger!$I$30,"")</f>
        <v/>
      </c>
      <c r="BJ27" s="209">
        <f>IF(AND(C27="Skema 1",B27="to"),Skemaoplysninger!$K$30,"")</f>
        <v>0</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t="str">
        <f>IF(AND(C27="Skema 1",B27="ma"),Skemaoplysninger!$E$31,"")</f>
        <v/>
      </c>
      <c r="CE27" s="209" t="str">
        <f>IF(AND(C27="Skema 1",B27="ti"),Skemaoplysninger!$G$31,"")</f>
        <v/>
      </c>
      <c r="CF27" s="209" t="str">
        <f>IF(AND(C27="Skema 1",B27="on"),Skemaoplysninger!$I$31,"")</f>
        <v/>
      </c>
      <c r="CG27" s="209">
        <f>IF(AND(C27="Skema 1",B27="to"),Skemaoplysninger!$K$31,"")</f>
        <v>0</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fr</v>
      </c>
      <c r="C28" s="128" t="s">
        <v>206</v>
      </c>
      <c r="D28" s="129" t="str">
        <f t="shared" si="1"/>
        <v/>
      </c>
      <c r="E28" s="932"/>
      <c r="F28" s="933"/>
      <c r="G28" s="934"/>
      <c r="H28" s="294"/>
      <c r="I28" s="519"/>
      <c r="J28" s="407"/>
      <c r="K28" s="374"/>
      <c r="L28" s="374"/>
      <c r="M28" s="374"/>
      <c r="N28" s="313">
        <f t="shared" si="19"/>
        <v>0</v>
      </c>
      <c r="O28" s="313">
        <f t="shared" si="20"/>
        <v>0</v>
      </c>
      <c r="P28" s="313">
        <f>IF(Stamoplysninger!$H$29="JA",December!DG28,CX28)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f>IF(AND(C28="Skema 1",B28="fr"),Arbejdstidsoversigt!$E$76,"")</f>
        <v>0</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t="str">
        <f>IF(AND(C28="Skema 1",B28="ma"),Skemaoplysninger!$E$30,"")</f>
        <v/>
      </c>
      <c r="BH28" s="209" t="str">
        <f>IF(AND(C28="Skema 1",B28="ti"),Skemaoplysninger!$G$30,"")</f>
        <v/>
      </c>
      <c r="BI28" s="209" t="str">
        <f>IF(AND(C28="Skema 1",B28="on"),Skemaoplysninger!$I$30,"")</f>
        <v/>
      </c>
      <c r="BJ28" s="209" t="str">
        <f>IF(AND(C28="Skema 1",B28="to"),Skemaoplysninger!$K$30,"")</f>
        <v/>
      </c>
      <c r="BK28" s="209">
        <f>IF(AND(C28="Skema 1",B28="fr"),Skemaoplysninger!$M$30,"")</f>
        <v>0</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t="str">
        <f>IF(AND(C28="Skema 1",B28="ma"),Skemaoplysninger!$E$31,"")</f>
        <v/>
      </c>
      <c r="CE28" s="209" t="str">
        <f>IF(AND(C28="Skema 1",B28="ti"),Skemaoplysninger!$G$31,"")</f>
        <v/>
      </c>
      <c r="CF28" s="209" t="str">
        <f>IF(AND(C28="Skema 1",B28="on"),Skemaoplysninger!$I$31,"")</f>
        <v/>
      </c>
      <c r="CG28" s="209" t="str">
        <f>IF(AND(C28="Skema 1",B28="to"),Skemaoplysninger!$K$31,"")</f>
        <v/>
      </c>
      <c r="CH28" s="209">
        <f>IF(AND(C28="Skema 1",B28="fr"),Skemaoplysninger!$M$31,"")</f>
        <v>0</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lø</v>
      </c>
      <c r="C29" s="128" t="s">
        <v>120</v>
      </c>
      <c r="D29" s="129" t="str">
        <f t="shared" si="1"/>
        <v/>
      </c>
      <c r="E29" s="932"/>
      <c r="F29" s="933"/>
      <c r="G29" s="934"/>
      <c r="H29" s="294"/>
      <c r="I29" s="407"/>
      <c r="J29" s="407"/>
      <c r="K29" s="374"/>
      <c r="L29" s="374"/>
      <c r="M29" s="374"/>
      <c r="N29" s="313">
        <f t="shared" si="19"/>
        <v>0</v>
      </c>
      <c r="O29" s="313">
        <f t="shared" si="20"/>
        <v>0</v>
      </c>
      <c r="P29" s="313">
        <f>IF(Stamoplysninger!$H$29="JA",December!DG29,CX29)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t="str">
        <f>IF(AND(C29="Skema 1",B29="ma"),Skemaoplysninger!$E$30,"")</f>
        <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t="str">
        <f>IF(AND(C29="Skema 1",B29="ma"),Skemaoplysninger!$E$31,"")</f>
        <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4"/>
        <v/>
      </c>
      <c r="DL29" t="str">
        <f t="shared" si="14"/>
        <v/>
      </c>
      <c r="DM29" t="str">
        <f t="shared" si="14"/>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sø</v>
      </c>
      <c r="C30" s="128" t="s">
        <v>120</v>
      </c>
      <c r="D30" s="129" t="str">
        <f t="shared" si="1"/>
        <v/>
      </c>
      <c r="E30" s="932"/>
      <c r="F30" s="933"/>
      <c r="G30" s="934"/>
      <c r="H30" s="294"/>
      <c r="I30" s="407"/>
      <c r="J30" s="407"/>
      <c r="K30" s="374"/>
      <c r="L30" s="374"/>
      <c r="M30" s="374"/>
      <c r="N30" s="313">
        <f t="shared" si="19"/>
        <v>0</v>
      </c>
      <c r="O30" s="313">
        <f t="shared" si="20"/>
        <v>0</v>
      </c>
      <c r="P30" s="313">
        <f>IF(Stamoplysninger!$H$29="JA",December!DG30,CX30)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4"/>
        <v/>
      </c>
      <c r="DL30" t="str">
        <f t="shared" si="14"/>
        <v/>
      </c>
      <c r="DM30" t="str">
        <f t="shared" si="14"/>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9"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ma</v>
      </c>
      <c r="C31" s="128" t="s">
        <v>128</v>
      </c>
      <c r="D31" s="129">
        <f t="shared" si="1"/>
        <v>52</v>
      </c>
      <c r="E31" s="932"/>
      <c r="F31" s="933"/>
      <c r="G31" s="934"/>
      <c r="H31" s="294"/>
      <c r="I31" s="519"/>
      <c r="J31" s="407"/>
      <c r="K31" s="374"/>
      <c r="L31" s="374"/>
      <c r="M31" s="374"/>
      <c r="N31" s="313">
        <f t="shared" si="19"/>
        <v>0</v>
      </c>
      <c r="O31" s="313">
        <f t="shared" si="20"/>
        <v>0</v>
      </c>
      <c r="P31" s="313">
        <f>IF(Stamoplysninger!$H$29="JA",December!DG31,CX31)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4"/>
        <v/>
      </c>
      <c r="DL31" t="str">
        <f t="shared" si="14"/>
        <v/>
      </c>
      <c r="DM31" t="str">
        <f t="shared" si="14"/>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ti</v>
      </c>
      <c r="C32" s="128" t="s">
        <v>128</v>
      </c>
      <c r="D32" s="129" t="str">
        <f t="shared" si="1"/>
        <v/>
      </c>
      <c r="E32" s="964" t="s">
        <v>130</v>
      </c>
      <c r="F32" s="965"/>
      <c r="G32" s="966"/>
      <c r="H32" s="294"/>
      <c r="I32" s="519"/>
      <c r="J32" s="407"/>
      <c r="K32" s="374"/>
      <c r="L32" s="374"/>
      <c r="M32" s="374"/>
      <c r="N32" s="313">
        <f t="shared" si="19"/>
        <v>0</v>
      </c>
      <c r="O32" s="313">
        <f t="shared" si="20"/>
        <v>0</v>
      </c>
      <c r="P32" s="313">
        <f>IF(Stamoplysninger!$H$29="JA",December!DG32,CX32)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t="str">
        <f>IF(AND(C32="Skema 1",B32="ma"),Skemaoplysninger!$E$30,"")</f>
        <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t="str">
        <f>IF(AND(C32="Skema 1",B32="ma"),Skemaoplysninger!$E$31,"")</f>
        <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t="str">
        <f t="shared" si="28"/>
        <v>Juleaftensdag</v>
      </c>
      <c r="DJ32" t="str">
        <f t="shared" si="29"/>
        <v/>
      </c>
      <c r="DK32" t="str">
        <f t="shared" si="14"/>
        <v/>
      </c>
      <c r="DL32" t="str">
        <f t="shared" si="14"/>
        <v>Juleaftensdag</v>
      </c>
      <c r="DM32" t="str">
        <f t="shared" si="14"/>
        <v/>
      </c>
      <c r="DN32" t="str">
        <f t="shared" si="30"/>
        <v>Juleaftensdag</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on</v>
      </c>
      <c r="C33" s="128" t="s">
        <v>119</v>
      </c>
      <c r="D33" s="129" t="str">
        <f t="shared" si="1"/>
        <v/>
      </c>
      <c r="E33" s="932" t="s">
        <v>317</v>
      </c>
      <c r="F33" s="933"/>
      <c r="G33" s="934"/>
      <c r="H33" s="294"/>
      <c r="I33" s="407"/>
      <c r="J33" s="407"/>
      <c r="K33" s="374"/>
      <c r="L33" s="374"/>
      <c r="M33" s="374"/>
      <c r="N33" s="313">
        <f t="shared" si="19"/>
        <v>0</v>
      </c>
      <c r="O33" s="313">
        <f t="shared" si="20"/>
        <v>0</v>
      </c>
      <c r="P33" s="313">
        <f>IF(Stamoplysninger!$H$29="JA",December!DG33,CX33)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t="str">
        <f t="shared" si="28"/>
        <v>Juledag</v>
      </c>
      <c r="DJ33" t="str">
        <f t="shared" si="29"/>
        <v/>
      </c>
      <c r="DK33" t="str">
        <f t="shared" si="14"/>
        <v/>
      </c>
      <c r="DL33" t="str">
        <f t="shared" si="14"/>
        <v>Juledag</v>
      </c>
      <c r="DM33" t="str">
        <f t="shared" si="14"/>
        <v/>
      </c>
      <c r="DN33" t="str">
        <f t="shared" si="30"/>
        <v>Juledag</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to</v>
      </c>
      <c r="C34" s="128" t="s">
        <v>119</v>
      </c>
      <c r="D34" s="129" t="str">
        <f t="shared" si="1"/>
        <v/>
      </c>
      <c r="E34" s="932" t="s">
        <v>97</v>
      </c>
      <c r="F34" s="933"/>
      <c r="G34" s="934"/>
      <c r="H34" s="294"/>
      <c r="I34" s="407"/>
      <c r="J34" s="407"/>
      <c r="K34" s="374"/>
      <c r="L34" s="374"/>
      <c r="M34" s="374"/>
      <c r="N34" s="313">
        <f t="shared" si="19"/>
        <v>0</v>
      </c>
      <c r="O34" s="313">
        <f t="shared" si="20"/>
        <v>0</v>
      </c>
      <c r="P34" s="313">
        <f>IF(Stamoplysninger!$H$29="JA",December!DG34,CX34)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t="str">
        <f t="shared" si="28"/>
        <v>2. juledag</v>
      </c>
      <c r="DJ34" t="str">
        <f t="shared" si="29"/>
        <v/>
      </c>
      <c r="DK34" t="str">
        <f t="shared" si="14"/>
        <v/>
      </c>
      <c r="DL34" t="str">
        <f t="shared" si="14"/>
        <v>2. juledag</v>
      </c>
      <c r="DM34" t="str">
        <f t="shared" si="14"/>
        <v/>
      </c>
      <c r="DN34" t="str">
        <f t="shared" si="30"/>
        <v>2. juledag</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 t="shared" si="31"/>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fr</v>
      </c>
      <c r="C35" s="128" t="s">
        <v>128</v>
      </c>
      <c r="D35" s="129" t="str">
        <f t="shared" si="1"/>
        <v/>
      </c>
      <c r="E35" s="932"/>
      <c r="F35" s="933"/>
      <c r="G35" s="934"/>
      <c r="H35" s="294"/>
      <c r="I35" s="519"/>
      <c r="J35" s="407"/>
      <c r="K35" s="374"/>
      <c r="L35" s="374"/>
      <c r="M35" s="374"/>
      <c r="N35" s="313">
        <f t="shared" si="19"/>
        <v>0</v>
      </c>
      <c r="O35" s="313">
        <f t="shared" si="20"/>
        <v>0</v>
      </c>
      <c r="P35" s="313">
        <f>IF(Stamoplysninger!$H$29="JA",December!DG35,CX35)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t="str">
        <f>IF(AND(C35="Skema 1",B35="ma"),Skemaoplysninger!$E$30,"")</f>
        <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t="str">
        <f>IF(AND(C35="Skema 1",B35="ma"),Skemaoplysninger!$E$31,"")</f>
        <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lø</v>
      </c>
      <c r="C36" s="128" t="s">
        <v>120</v>
      </c>
      <c r="D36" s="129" t="str">
        <f t="shared" si="1"/>
        <v/>
      </c>
      <c r="E36" s="932"/>
      <c r="F36" s="933"/>
      <c r="G36" s="934"/>
      <c r="H36" s="294"/>
      <c r="I36" s="407"/>
      <c r="J36" s="407"/>
      <c r="K36" s="374"/>
      <c r="L36" s="374"/>
      <c r="M36" s="374"/>
      <c r="N36" s="313">
        <f t="shared" si="19"/>
        <v>0</v>
      </c>
      <c r="O36" s="313">
        <f t="shared" si="20"/>
        <v>0</v>
      </c>
      <c r="P36" s="313">
        <f>IF(Stamoplysninger!$H$29="JA",December!DG36,CX36)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t="str">
        <f>IF(AND(C36="Skema 1",B36="ma"),Skemaoplysninger!$E$30,"")</f>
        <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t="str">
        <f>IF(AND(C36="Skema 1",B36="ma"),Skemaoplysninger!$E$31,"")</f>
        <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4"/>
        <v/>
      </c>
      <c r="DL36" t="str">
        <f t="shared" si="14"/>
        <v/>
      </c>
      <c r="DM36" t="str">
        <f t="shared" si="14"/>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sø</v>
      </c>
      <c r="C37" s="128" t="s">
        <v>120</v>
      </c>
      <c r="D37" s="129" t="str">
        <f t="shared" si="1"/>
        <v/>
      </c>
      <c r="E37" s="932"/>
      <c r="F37" s="933"/>
      <c r="G37" s="934"/>
      <c r="H37" s="294"/>
      <c r="I37" s="407"/>
      <c r="J37" s="407"/>
      <c r="K37" s="374"/>
      <c r="L37" s="374"/>
      <c r="M37" s="374"/>
      <c r="N37" s="313">
        <f t="shared" si="19"/>
        <v>0</v>
      </c>
      <c r="O37" s="313">
        <f t="shared" si="20"/>
        <v>0</v>
      </c>
      <c r="P37" s="313">
        <f>IF(Stamoplysninger!$H$29="JA",December!DG37,CX37)</f>
        <v>0</v>
      </c>
      <c r="Q37" s="313">
        <f t="shared" si="21"/>
        <v>0</v>
      </c>
      <c r="R37" s="314"/>
      <c r="S37" s="319"/>
      <c r="T37" s="320"/>
      <c r="U37" s="320"/>
      <c r="V37" s="429"/>
      <c r="W37" s="406"/>
      <c r="X37" s="633"/>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8"/>
        <v>0</v>
      </c>
      <c r="BC37" s="1">
        <f t="shared" si="24"/>
        <v>0</v>
      </c>
      <c r="BD37" s="1">
        <f t="shared" si="9"/>
        <v>0</v>
      </c>
      <c r="BE37" s="1">
        <f t="shared" si="10"/>
        <v>0</v>
      </c>
      <c r="BF37" s="1">
        <f t="shared" si="11"/>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2"/>
        <v>0</v>
      </c>
      <c r="CC37" s="1">
        <f t="shared" si="13"/>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4"/>
        <v/>
      </c>
      <c r="DL37" t="str">
        <f t="shared" si="14"/>
        <v/>
      </c>
      <c r="DM37" t="str">
        <f t="shared" si="14"/>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32">IF(AND(I37="X",S37="X"),V37,0)</f>
        <v>0</v>
      </c>
      <c r="FT37" s="649">
        <f t="shared" ref="FT37:FT39" si="33">IF(AND(AND(C37="ikke relevant",I37="X",S37="X")),V37,0)</f>
        <v>0</v>
      </c>
      <c r="FU37">
        <f t="shared" ref="FU37:FU39"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ma</v>
      </c>
      <c r="C38" s="128" t="s">
        <v>128</v>
      </c>
      <c r="D38" s="129">
        <v>1</v>
      </c>
      <c r="E38" s="932"/>
      <c r="F38" s="933"/>
      <c r="G38" s="934"/>
      <c r="H38" s="294"/>
      <c r="I38" s="519"/>
      <c r="J38" s="407"/>
      <c r="K38" s="374"/>
      <c r="L38" s="374"/>
      <c r="M38" s="374"/>
      <c r="N38" s="313">
        <f t="shared" si="19"/>
        <v>0</v>
      </c>
      <c r="O38" s="313">
        <f t="shared" si="20"/>
        <v>0</v>
      </c>
      <c r="P38" s="313">
        <f>IF(Stamoplysninger!$H$29="JA",December!DG38,CX38)</f>
        <v>0</v>
      </c>
      <c r="Q38" s="313">
        <f t="shared" si="21"/>
        <v>0</v>
      </c>
      <c r="R38" s="314"/>
      <c r="S38" s="319"/>
      <c r="T38" s="320"/>
      <c r="U38" s="435"/>
      <c r="V38" s="429"/>
      <c r="W38" s="406"/>
      <c r="X38" s="633"/>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8"/>
        <v>0</v>
      </c>
      <c r="BC38" s="1">
        <f t="shared" si="24"/>
        <v>0</v>
      </c>
      <c r="BD38" s="1">
        <f t="shared" si="9"/>
        <v>0</v>
      </c>
      <c r="BE38" s="1">
        <f t="shared" si="10"/>
        <v>0</v>
      </c>
      <c r="BF38" s="1">
        <f t="shared" si="11"/>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2"/>
        <v>0</v>
      </c>
      <c r="CC38" s="1">
        <f t="shared" si="13"/>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4"/>
        <v/>
      </c>
      <c r="DL38" t="str">
        <f t="shared" si="14"/>
        <v/>
      </c>
      <c r="DM38" t="str">
        <f t="shared" si="14"/>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ti</v>
      </c>
      <c r="C39" s="128" t="s">
        <v>128</v>
      </c>
      <c r="D39" s="129" t="str">
        <f t="shared" si="1"/>
        <v/>
      </c>
      <c r="E39" s="964" t="s">
        <v>129</v>
      </c>
      <c r="F39" s="965"/>
      <c r="G39" s="966"/>
      <c r="H39" s="293"/>
      <c r="I39" s="519"/>
      <c r="J39" s="407"/>
      <c r="K39" s="374"/>
      <c r="L39" s="374"/>
      <c r="M39" s="374"/>
      <c r="N39" s="313">
        <f t="shared" si="19"/>
        <v>0</v>
      </c>
      <c r="O39" s="313">
        <f t="shared" si="20"/>
        <v>0</v>
      </c>
      <c r="P39" s="313">
        <f>IF(Stamoplysninger!$H$29="JA",December!DG39,CX39)</f>
        <v>0</v>
      </c>
      <c r="Q39" s="313">
        <f t="shared" si="21"/>
        <v>0</v>
      </c>
      <c r="R39" s="314"/>
      <c r="S39" s="319"/>
      <c r="T39" s="320"/>
      <c r="U39" s="213"/>
      <c r="V39" s="429"/>
      <c r="W39" s="406"/>
      <c r="X39" s="634"/>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6">
        <f t="shared" si="8"/>
        <v>0</v>
      </c>
      <c r="BC39" s="1">
        <f t="shared" si="24"/>
        <v>0</v>
      </c>
      <c r="BD39" s="1">
        <f t="shared" si="9"/>
        <v>0</v>
      </c>
      <c r="BE39" s="1">
        <f t="shared" si="10"/>
        <v>0</v>
      </c>
      <c r="BF39" s="1">
        <f t="shared" si="11"/>
        <v>0</v>
      </c>
      <c r="BG39" s="209" t="str">
        <f>IF(AND(C39="Skema 1",B39="ma"),Skemaoplysninger!$E$30,"")</f>
        <v/>
      </c>
      <c r="BH39" s="209" t="str">
        <f>IF(AND(C39="Skema 1",B39="ti"),Skemaoplysninger!$G$30,"")</f>
        <v/>
      </c>
      <c r="BI39" s="209" t="str">
        <f>IF(AND(C39="Skema 1",B39="on"),Skemaoplysninger!$I$30,"")</f>
        <v/>
      </c>
      <c r="BJ39" s="209" t="str">
        <f>IF(AND(C39="Skema 1",B39="to"),Skemaoplysninger!$K$30,"")</f>
        <v/>
      </c>
      <c r="BK39" s="209" t="str">
        <f>IF(AND(C39="Skema 1",B39="fr"),Skemaoplysninger!$M$30,"")</f>
        <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2"/>
        <v>0</v>
      </c>
      <c r="CC39" s="1">
        <f t="shared" si="13"/>
        <v>0</v>
      </c>
      <c r="CD39" s="209" t="str">
        <f>IF(AND(C39="Skema 1",B39="ma"),Skemaoplysninger!$E$31,"")</f>
        <v/>
      </c>
      <c r="CE39" s="209" t="str">
        <f>IF(AND(C39="Skema 1",B39="ti"),Skemaoplysninger!$G$31,"")</f>
        <v/>
      </c>
      <c r="CF39" s="209" t="str">
        <f>IF(AND(C39="Skema 1",B39="on"),Skemaoplysninger!$I$31,"")</f>
        <v/>
      </c>
      <c r="CG39" s="209" t="str">
        <f>IF(AND(C39="Skema 1",B39="to"),Skemaoplysninger!$K$31,"")</f>
        <v/>
      </c>
      <c r="CH39" s="209" t="str">
        <f>IF(AND(C39="Skema 1",B39="fr"),Skemaoplysninger!$M$31,"")</f>
        <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IF(AND(E39&gt;0,H39&gt;0),""&amp;E39&amp;" og "&amp;H39&amp;"","")</f>
        <v/>
      </c>
      <c r="DI39" t="str">
        <f>IF(H39="",E39,"")</f>
        <v>Nytårsaftensdag</v>
      </c>
      <c r="DJ39" t="str">
        <f>IF(E39="",H39,"")</f>
        <v/>
      </c>
      <c r="DK39" t="str">
        <f>IF(DH39=0,"",DH39)</f>
        <v/>
      </c>
      <c r="DL39" t="str">
        <f>IF(DI39=0,"",DI39)</f>
        <v>Nytårsaftensdag</v>
      </c>
      <c r="DM39" t="str">
        <f>IF(DJ39=0,"",DJ39)</f>
        <v/>
      </c>
      <c r="DN39" t="str">
        <f>DK39&amp;""&amp;DL39&amp;""&amp;DM39</f>
        <v>Nytårsaftensdag</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2"/>
        <v>0</v>
      </c>
      <c r="FT39" s="649">
        <f t="shared" si="33"/>
        <v>0</v>
      </c>
      <c r="FU39">
        <f t="shared" si="34"/>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7" t="s">
        <v>260</v>
      </c>
      <c r="B40" s="988"/>
      <c r="C40" s="988"/>
      <c r="D40" s="988"/>
      <c r="E40" s="988"/>
      <c r="F40" s="988"/>
      <c r="G40" s="988"/>
      <c r="H40" s="988"/>
      <c r="I40" s="989"/>
      <c r="J40" s="308"/>
      <c r="K40" s="316"/>
      <c r="L40" s="316"/>
      <c r="M40" s="316"/>
      <c r="N40" s="317">
        <f>SUM(N9:N39)</f>
        <v>0</v>
      </c>
      <c r="O40" s="317">
        <f>SUM(O9:O39)</f>
        <v>0</v>
      </c>
      <c r="P40" s="317">
        <f>SUM(P9:P39)</f>
        <v>0</v>
      </c>
      <c r="Q40" s="317">
        <f>SUM(Q9:Q39)</f>
        <v>0</v>
      </c>
      <c r="R40"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35">SUM(AA9:AA39)</f>
        <v>0</v>
      </c>
      <c r="AB40" s="231">
        <f t="shared" si="35"/>
        <v>0</v>
      </c>
      <c r="AC40" s="231">
        <f t="shared" si="35"/>
        <v>0</v>
      </c>
      <c r="AD40" s="231">
        <f t="shared" si="35"/>
        <v>0</v>
      </c>
      <c r="AE40" s="231">
        <f t="shared" si="35"/>
        <v>0</v>
      </c>
      <c r="AF40" s="231">
        <f t="shared" si="35"/>
        <v>0</v>
      </c>
      <c r="BA40" s="1">
        <f>SUM(BA9:BA39)</f>
        <v>0</v>
      </c>
      <c r="BB40" s="111"/>
      <c r="BC40" s="231">
        <f>SUM(BC9:BC39)</f>
        <v>0</v>
      </c>
      <c r="BD40" s="231">
        <f>SUM(BD9:BD39)</f>
        <v>0</v>
      </c>
      <c r="BE40" s="231">
        <f>SUM(BE9:BE39)</f>
        <v>0</v>
      </c>
      <c r="BF40" s="231">
        <f>SUM(BF9:BF39)</f>
        <v>0</v>
      </c>
      <c r="CA40" s="231">
        <f>SUM(CA9:CA39)</f>
        <v>0</v>
      </c>
      <c r="CB40" s="231">
        <f>SUM(CB9:CB39)</f>
        <v>0</v>
      </c>
      <c r="CC40" s="231">
        <f>SUM(CC9:CC39)</f>
        <v>0</v>
      </c>
      <c r="CX40" s="245"/>
      <c r="CY40" s="245">
        <f t="shared" ref="CY40:DG40" si="36">SUM(CY9:CY39)</f>
        <v>0</v>
      </c>
      <c r="CZ40" s="245">
        <f t="shared" si="36"/>
        <v>0</v>
      </c>
      <c r="DA40" s="245">
        <f t="shared" si="36"/>
        <v>0</v>
      </c>
      <c r="DB40" s="245">
        <f t="shared" si="36"/>
        <v>0</v>
      </c>
      <c r="DC40" s="245">
        <f t="shared" si="36"/>
        <v>0</v>
      </c>
      <c r="DD40" s="245">
        <f t="shared" si="36"/>
        <v>0</v>
      </c>
      <c r="DE40" s="245">
        <f t="shared" si="36"/>
        <v>0</v>
      </c>
      <c r="DF40" s="245">
        <f t="shared" si="36"/>
        <v>0</v>
      </c>
      <c r="DG40" s="245">
        <f t="shared" si="36"/>
        <v>0</v>
      </c>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31"/>
      <c r="AB41" s="210"/>
      <c r="AC41" s="210"/>
      <c r="AD41" s="231"/>
      <c r="AE41" s="231"/>
      <c r="AG41" s="231"/>
      <c r="BC41" s="231"/>
      <c r="BD41" s="231"/>
      <c r="BE41" s="231"/>
      <c r="BF41" s="231"/>
      <c r="BG41" s="111"/>
      <c r="CB41" s="231"/>
      <c r="CC41" s="231"/>
      <c r="CD41" s="111"/>
      <c r="CX41" s="244"/>
      <c r="CZ41"/>
    </row>
    <row r="42" spans="1:185" ht="70" customHeight="1">
      <c r="A42" s="973" t="str">
        <f>"Arbejdstid for "&amp;A7&amp;" måned:"</f>
        <v>Arbejdstid for December måned:</v>
      </c>
      <c r="B42" s="974"/>
      <c r="C42" s="974"/>
      <c r="D42" s="974"/>
      <c r="E42" s="974"/>
      <c r="F42" s="974"/>
      <c r="G42" s="974"/>
      <c r="H42" s="325" t="s">
        <v>255</v>
      </c>
      <c r="I42" s="974" t="s">
        <v>221</v>
      </c>
      <c r="J42" s="975"/>
      <c r="K42" s="976"/>
      <c r="L42" s="258"/>
      <c r="M42" s="1026" t="str">
        <f>"Ulempetimer og weekendtimer i "&amp;A5&amp;""</f>
        <v>Ulempetimer og weekendtimer i December måneds kalender for: . Måneden vedr. normperioden:  - .</v>
      </c>
      <c r="N42" s="1004"/>
      <c r="O42" s="1004"/>
      <c r="P42" s="1004"/>
      <c r="Q42" s="1004"/>
      <c r="R42" s="1004"/>
      <c r="S42" s="1004"/>
      <c r="T42" s="1004"/>
      <c r="U42" s="1004"/>
      <c r="V42" s="1004"/>
      <c r="W42" s="1004"/>
      <c r="X42" s="1005"/>
      <c r="Y42" s="235"/>
      <c r="Z42" s="235"/>
      <c r="AD42" s="89"/>
      <c r="AE42" s="89"/>
      <c r="BM42" s="1"/>
      <c r="CJ42" s="1"/>
      <c r="CU42" s="244"/>
      <c r="CV42" s="244"/>
      <c r="CY42"/>
      <c r="CZ42"/>
    </row>
    <row r="43" spans="1:185">
      <c r="A43" s="977" t="s">
        <v>528</v>
      </c>
      <c r="B43" s="978"/>
      <c r="C43" s="978"/>
      <c r="D43" s="978"/>
      <c r="E43" s="978"/>
      <c r="F43" s="978"/>
      <c r="G43" s="978"/>
      <c r="H43" s="252">
        <f>D78</f>
        <v>22</v>
      </c>
      <c r="I43" s="990">
        <f>IF(Stamoplysninger!$E$12="Ja",1924/Arbejdstidsoversigt!$K$9*Stamoplysninger!$E$15*H43,H43*7.4*Stamoplysninger!$E$15)</f>
        <v>162.17624521072798</v>
      </c>
      <c r="J43" s="991"/>
      <c r="K43" s="992"/>
      <c r="L43" s="254"/>
      <c r="M43" s="1027" t="s">
        <v>496</v>
      </c>
      <c r="N43" s="1028"/>
      <c r="O43" s="1028"/>
      <c r="P43" s="1028"/>
      <c r="Q43" s="1028"/>
      <c r="R43" s="1028"/>
      <c r="S43" s="1028"/>
      <c r="T43" s="1028"/>
      <c r="U43" s="1029"/>
      <c r="V43" s="1108">
        <f>P65+P69+P72+P74</f>
        <v>0</v>
      </c>
      <c r="W43" s="1108"/>
      <c r="X43" s="1109"/>
      <c r="Y43" s="235"/>
      <c r="Z43" s="235"/>
      <c r="AD43" s="89"/>
      <c r="AE43" s="89"/>
      <c r="BM43" s="1"/>
      <c r="CJ43" s="1"/>
      <c r="CU43" s="244"/>
      <c r="CV43" s="244"/>
      <c r="CY43"/>
      <c r="CZ43"/>
    </row>
    <row r="44" spans="1:185">
      <c r="A44" s="977" t="str">
        <f>"Ferie "&amp;A7&amp;" måned"</f>
        <v>Ferie December måned</v>
      </c>
      <c r="B44" s="978"/>
      <c r="C44" s="978"/>
      <c r="D44" s="978"/>
      <c r="E44" s="978"/>
      <c r="F44" s="978"/>
      <c r="G44" s="978"/>
      <c r="H44" s="253" t="str">
        <f>IF(D73&gt;0,$D$73,"0")</f>
        <v>0</v>
      </c>
      <c r="I44" s="979">
        <f>H44*7.4*Stamoplysninger!$E$15</f>
        <v>0</v>
      </c>
      <c r="J44" s="980"/>
      <c r="K44" s="981"/>
      <c r="L44" s="254"/>
      <c r="M44" s="1033" t="s">
        <v>259</v>
      </c>
      <c r="N44" s="1034"/>
      <c r="O44" s="1034"/>
      <c r="P44" s="1034"/>
      <c r="Q44" s="1034"/>
      <c r="R44" s="1034"/>
      <c r="S44" s="1034"/>
      <c r="T44" s="1034"/>
      <c r="U44" s="1035"/>
      <c r="V44" s="1110">
        <f>Q66+Q68+Q71+Q73</f>
        <v>0</v>
      </c>
      <c r="W44" s="1110"/>
      <c r="X44" s="1111"/>
      <c r="Y44" s="235"/>
      <c r="Z44" s="235"/>
      <c r="AD44" s="89"/>
      <c r="AE44" s="89"/>
      <c r="BM44" s="1"/>
      <c r="CJ44" s="1"/>
      <c r="CU44" s="244"/>
      <c r="CV44" s="244"/>
      <c r="CY44"/>
      <c r="CZ44"/>
    </row>
    <row r="45" spans="1:185">
      <c r="A45" s="977" t="str">
        <f>"Søgnehelligdage i "&amp;A7&amp;" måned"</f>
        <v>Søgnehelligdage i December måned</v>
      </c>
      <c r="B45" s="978"/>
      <c r="C45" s="978"/>
      <c r="D45" s="978"/>
      <c r="E45" s="978"/>
      <c r="F45" s="978"/>
      <c r="G45" s="978"/>
      <c r="H45" s="253">
        <f>IF(D72&gt;0,D72,0)</f>
        <v>2</v>
      </c>
      <c r="I45" s="979">
        <f>H45*7.4*Stamoplysninger!$E$15</f>
        <v>14.8</v>
      </c>
      <c r="J45" s="980"/>
      <c r="K45" s="981"/>
      <c r="L45" s="381"/>
      <c r="M45" s="1143" t="s">
        <v>295</v>
      </c>
      <c r="N45" s="1144"/>
      <c r="O45" s="1144"/>
      <c r="P45" s="1144"/>
      <c r="Q45" s="1144"/>
      <c r="R45" s="1144"/>
      <c r="S45" s="1144"/>
      <c r="T45" s="1144"/>
      <c r="U45" s="1145"/>
      <c r="V45" s="1112">
        <f>November!V52</f>
        <v>0</v>
      </c>
      <c r="W45" s="1112"/>
      <c r="X45" s="1113"/>
      <c r="Y45" s="235"/>
      <c r="Z45" s="235"/>
      <c r="AD45" s="89"/>
      <c r="AE45" s="89"/>
      <c r="BM45" s="1"/>
      <c r="CJ45" s="1"/>
      <c r="CU45" s="244"/>
      <c r="CV45" s="244"/>
      <c r="CY45"/>
      <c r="CZ45"/>
    </row>
    <row r="46" spans="1:185">
      <c r="A46" s="977" t="str">
        <f>"Nettoarbejdstid ialt i "&amp;A7&amp;" måned"</f>
        <v>Nettoarbejdstid ialt i December måned</v>
      </c>
      <c r="B46" s="978"/>
      <c r="C46" s="978"/>
      <c r="D46" s="978"/>
      <c r="E46" s="978"/>
      <c r="F46" s="978"/>
      <c r="G46" s="978"/>
      <c r="H46" s="256">
        <f>H43-H44-H45</f>
        <v>20</v>
      </c>
      <c r="I46" s="979">
        <f>I43-I44-I45</f>
        <v>147.37624521072797</v>
      </c>
      <c r="J46" s="980"/>
      <c r="K46" s="981"/>
      <c r="L46" s="381"/>
      <c r="M46" s="1041" t="s">
        <v>301</v>
      </c>
      <c r="N46" s="1042"/>
      <c r="O46" s="1042"/>
      <c r="P46" s="1042"/>
      <c r="Q46" s="1042"/>
      <c r="R46" s="1042"/>
      <c r="S46" s="1042"/>
      <c r="T46" s="1042"/>
      <c r="U46" s="1043"/>
      <c r="V46" s="1116">
        <f>V44+V45</f>
        <v>0</v>
      </c>
      <c r="W46" s="1116"/>
      <c r="X46" s="1117"/>
      <c r="Y46" s="235"/>
      <c r="Z46" s="235"/>
      <c r="AD46" s="89"/>
      <c r="AE46" s="89"/>
      <c r="BM46" s="1"/>
      <c r="CJ46" s="1"/>
      <c r="CU46" s="244"/>
      <c r="CV46" s="244"/>
      <c r="CY46"/>
      <c r="CZ46"/>
    </row>
    <row r="47" spans="1:185">
      <c r="A47" s="993" t="str">
        <f>"Planlagt arbejdstid efter ovennstående "&amp;A7&amp;" måned kalender"</f>
        <v>Planlagt arbejdstid efter ovennstående December måned kalender</v>
      </c>
      <c r="B47" s="994"/>
      <c r="C47" s="994"/>
      <c r="D47" s="994"/>
      <c r="E47" s="994"/>
      <c r="F47" s="994"/>
      <c r="G47" s="994"/>
      <c r="H47" s="468">
        <f>D64+D65+D66+D67+D68+D69+D70</f>
        <v>15</v>
      </c>
      <c r="I47" s="995">
        <f>N40+R40+V106</f>
        <v>0</v>
      </c>
      <c r="J47" s="996"/>
      <c r="K47" s="997"/>
      <c r="L47" s="381"/>
      <c r="M47" s="1053" t="s">
        <v>293</v>
      </c>
      <c r="N47" s="1054"/>
      <c r="O47" s="1054"/>
      <c r="P47" s="1054"/>
      <c r="Q47" s="1054"/>
      <c r="R47" s="1054"/>
      <c r="S47" s="1054"/>
      <c r="T47" s="1054"/>
      <c r="U47" s="1054"/>
      <c r="V47" s="1054"/>
      <c r="W47" s="1054"/>
      <c r="X47" s="1146"/>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1056" t="s">
        <v>462</v>
      </c>
      <c r="N48" s="1057"/>
      <c r="O48" s="1057"/>
      <c r="P48" s="1057"/>
      <c r="Q48" s="1057"/>
      <c r="R48" s="1057"/>
      <c r="S48" s="1057"/>
      <c r="T48" s="1057"/>
      <c r="U48" s="1058"/>
      <c r="V48" s="1059" t="s">
        <v>221</v>
      </c>
      <c r="W48" s="1060"/>
      <c r="X48" s="1147"/>
      <c r="Y48" s="235"/>
      <c r="Z48" s="235"/>
      <c r="AD48" s="89"/>
      <c r="AE48" s="89"/>
      <c r="BM48" s="1"/>
      <c r="CJ48" s="1"/>
      <c r="CU48" s="244"/>
      <c r="CV48" s="244"/>
      <c r="CY48"/>
      <c r="CZ48"/>
    </row>
    <row r="49" spans="1:110">
      <c r="A49" s="1020" t="str">
        <f>"Arbejde særligt planlagt for "&amp;A7&amp;" måned efter fanen skemaoplysninger"</f>
        <v>Arbejde særligt planlagt for December måned efter fanen skemaoplysninger</v>
      </c>
      <c r="B49" s="1021"/>
      <c r="C49" s="1021"/>
      <c r="D49" s="1021"/>
      <c r="E49" s="1021"/>
      <c r="F49" s="1021"/>
      <c r="G49" s="1021"/>
      <c r="H49" s="1022"/>
      <c r="I49" s="996">
        <f>Skemaoplysninger!O91</f>
        <v>0</v>
      </c>
      <c r="J49" s="1018"/>
      <c r="K49" s="1019"/>
      <c r="L49" s="383"/>
      <c r="M49" s="882"/>
      <c r="N49" s="883"/>
      <c r="O49" s="883"/>
      <c r="P49" s="883"/>
      <c r="Q49" s="883"/>
      <c r="R49" s="883"/>
      <c r="S49" s="883"/>
      <c r="T49" s="883"/>
      <c r="U49" s="884"/>
      <c r="V49" s="1062"/>
      <c r="W49" s="1062"/>
      <c r="X49" s="1063"/>
      <c r="Y49"/>
      <c r="Z49" s="235"/>
      <c r="AA49" s="235"/>
      <c r="AG49" s="89"/>
      <c r="AH49" s="89"/>
      <c r="BA49" s="235"/>
      <c r="BO49" s="1"/>
      <c r="CL49" s="1"/>
      <c r="CV49" s="244"/>
      <c r="CW49" s="244"/>
      <c r="CY49"/>
      <c r="CZ49"/>
    </row>
    <row r="50" spans="1:110">
      <c r="A50" s="982" t="s">
        <v>291</v>
      </c>
      <c r="B50" s="983"/>
      <c r="C50" s="983"/>
      <c r="D50" s="983"/>
      <c r="E50" s="983"/>
      <c r="F50" s="983"/>
      <c r="G50" s="983"/>
      <c r="H50" s="983"/>
      <c r="I50" s="984">
        <f>V40+X40-FA40+R106</f>
        <v>0</v>
      </c>
      <c r="J50" s="985"/>
      <c r="K50" s="986"/>
      <c r="L50" s="237"/>
      <c r="M50" s="882"/>
      <c r="N50" s="883"/>
      <c r="O50" s="883"/>
      <c r="P50" s="883"/>
      <c r="Q50" s="883"/>
      <c r="R50" s="883"/>
      <c r="S50" s="883"/>
      <c r="T50" s="883"/>
      <c r="U50" s="884"/>
      <c r="V50" s="885"/>
      <c r="W50" s="886"/>
      <c r="X50" s="887"/>
      <c r="Y50"/>
      <c r="Z50" s="235"/>
      <c r="AA50" s="235"/>
      <c r="AE50" s="89"/>
      <c r="AF50" s="243"/>
      <c r="AG50" s="89"/>
      <c r="BN50" s="1"/>
      <c r="CK50" s="1"/>
      <c r="CV50" s="244"/>
      <c r="CW50" s="244"/>
      <c r="CY50"/>
      <c r="CZ50"/>
    </row>
    <row r="51" spans="1:110" ht="17" thickBot="1">
      <c r="A51" s="257" t="str">
        <f>"Faktisk arbejdstid ialt i "&amp;A7&amp;" måned"</f>
        <v>Faktisk arbejdstid ialt i December måned</v>
      </c>
      <c r="B51" s="309"/>
      <c r="C51" s="310"/>
      <c r="D51" s="310"/>
      <c r="E51" s="310"/>
      <c r="F51" s="310"/>
      <c r="G51" s="310"/>
      <c r="H51" s="311"/>
      <c r="I51" s="1023">
        <f>I47+I50+I49+I48</f>
        <v>0</v>
      </c>
      <c r="J51" s="1024"/>
      <c r="K51" s="1025"/>
      <c r="L51" s="237"/>
      <c r="M51" s="882"/>
      <c r="N51" s="883"/>
      <c r="O51" s="883"/>
      <c r="P51" s="883"/>
      <c r="Q51" s="883"/>
      <c r="R51" s="883"/>
      <c r="S51" s="883"/>
      <c r="T51" s="883"/>
      <c r="U51" s="884"/>
      <c r="V51" s="885"/>
      <c r="W51" s="886"/>
      <c r="X51" s="887"/>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882"/>
      <c r="N52" s="883"/>
      <c r="O52" s="883"/>
      <c r="P52" s="883"/>
      <c r="Q52" s="883"/>
      <c r="R52" s="883"/>
      <c r="S52" s="883"/>
      <c r="T52" s="883"/>
      <c r="U52" s="884"/>
      <c r="V52" s="885"/>
      <c r="W52" s="886"/>
      <c r="X52" s="887"/>
      <c r="Y52" s="235"/>
      <c r="Z52" s="235"/>
      <c r="AA52" s="235"/>
      <c r="AB52" s="235"/>
      <c r="AC52" s="213"/>
      <c r="AD52" s="243"/>
      <c r="AE52" s="243"/>
      <c r="AF52" s="243"/>
      <c r="AG52" s="243"/>
      <c r="AH52" s="235"/>
      <c r="AJ52" s="235"/>
      <c r="AK52" s="235"/>
      <c r="AO52" s="89"/>
      <c r="AP52" s="89"/>
      <c r="BW52" s="1"/>
      <c r="CT52" s="1"/>
      <c r="CY52"/>
      <c r="CZ52"/>
      <c r="DE52" s="244"/>
      <c r="DF52" s="244"/>
    </row>
    <row r="53" spans="1:110" ht="25" thickBot="1">
      <c r="A53" s="973" t="s">
        <v>478</v>
      </c>
      <c r="B53" s="974"/>
      <c r="C53" s="974"/>
      <c r="D53" s="974"/>
      <c r="E53" s="974"/>
      <c r="F53" s="974"/>
      <c r="G53" s="974"/>
      <c r="H53" s="698" t="s">
        <v>669</v>
      </c>
      <c r="I53" s="1133" t="s">
        <v>477</v>
      </c>
      <c r="J53" s="1133"/>
      <c r="K53" s="1134"/>
      <c r="L53" s="492"/>
      <c r="M53" s="1047" t="s">
        <v>294</v>
      </c>
      <c r="N53" s="1048"/>
      <c r="O53" s="1048"/>
      <c r="P53" s="1048"/>
      <c r="Q53" s="1048"/>
      <c r="R53" s="1048"/>
      <c r="S53" s="1048"/>
      <c r="T53" s="1048"/>
      <c r="U53" s="1049"/>
      <c r="V53" s="1096">
        <f>V46-SUM(V49:X52)</f>
        <v>0</v>
      </c>
      <c r="W53" s="1097"/>
      <c r="X53" s="1098"/>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08"/>
      <c r="B54" s="1009"/>
      <c r="C54" s="1009"/>
      <c r="D54" s="1009"/>
      <c r="E54" s="1009"/>
      <c r="F54" s="1009"/>
      <c r="G54" s="1009"/>
      <c r="H54" s="597">
        <f>November!H61</f>
        <v>0</v>
      </c>
      <c r="I54" s="1099">
        <f>November!I61</f>
        <v>0</v>
      </c>
      <c r="J54" s="1099"/>
      <c r="K54" s="1100"/>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16" customHeight="1">
      <c r="A55" s="1084" t="s">
        <v>481</v>
      </c>
      <c r="B55" s="1085"/>
      <c r="C55" s="1085"/>
      <c r="D55" s="1085"/>
      <c r="E55" s="1085"/>
      <c r="F55" s="1085"/>
      <c r="G55" s="1086"/>
      <c r="H55" s="595"/>
      <c r="I55" s="1087"/>
      <c r="J55" s="1088"/>
      <c r="K55" s="1089"/>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7" customHeight="1">
      <c r="A56" s="879" t="s">
        <v>670</v>
      </c>
      <c r="B56" s="880"/>
      <c r="C56" s="880"/>
      <c r="D56" s="880"/>
      <c r="E56" s="880"/>
      <c r="F56" s="880"/>
      <c r="G56" s="880"/>
      <c r="H56" s="880"/>
      <c r="I56" s="880"/>
      <c r="J56" s="880"/>
      <c r="K56" s="881"/>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10" t="s">
        <v>671</v>
      </c>
      <c r="B57" s="1011"/>
      <c r="C57" s="913" t="s">
        <v>509</v>
      </c>
      <c r="D57" s="914"/>
      <c r="E57" s="915" t="s">
        <v>510</v>
      </c>
      <c r="F57" s="880"/>
      <c r="G57" s="916"/>
      <c r="H57" s="925" t="s">
        <v>479</v>
      </c>
      <c r="I57" s="925"/>
      <c r="J57" s="925"/>
      <c r="K57" s="92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917"/>
      <c r="B58" s="918"/>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919"/>
      <c r="B60" s="920"/>
      <c r="C60" s="921"/>
      <c r="D60" s="920"/>
      <c r="E60" s="922"/>
      <c r="F60" s="923"/>
      <c r="G60" s="924"/>
      <c r="H60" s="596"/>
      <c r="I60" s="911"/>
      <c r="J60" s="911"/>
      <c r="K60" s="912"/>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919"/>
      <c r="B61" s="920"/>
      <c r="C61" s="921"/>
      <c r="D61" s="920"/>
      <c r="E61" s="922"/>
      <c r="F61" s="923"/>
      <c r="G61" s="924"/>
      <c r="H61" s="596"/>
      <c r="I61" s="911"/>
      <c r="J61" s="911"/>
      <c r="K61" s="912"/>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7" thickBot="1">
      <c r="A62" s="908" t="s">
        <v>480</v>
      </c>
      <c r="B62" s="909"/>
      <c r="C62" s="910"/>
      <c r="D62" s="910"/>
      <c r="E62" s="910"/>
      <c r="F62" s="910"/>
      <c r="G62" s="910"/>
      <c r="H62" s="598">
        <f>H55+H54-SUM(H58:H61)</f>
        <v>0</v>
      </c>
      <c r="I62" s="927">
        <f>I54+I55-SUM(I58:K61)</f>
        <v>0</v>
      </c>
      <c r="J62" s="928"/>
      <c r="K62" s="9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idden="1">
      <c r="A63" s="434"/>
      <c r="B63" s="434"/>
      <c r="C63" s="434"/>
      <c r="D63" s="434"/>
      <c r="E63" s="434"/>
      <c r="F63" s="434"/>
      <c r="G63" s="434"/>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122" t="s">
        <v>206</v>
      </c>
      <c r="B64" s="122"/>
      <c r="C64" s="122"/>
      <c r="D64" s="122">
        <f>COUNTIF([0]!December,"Skema 1")</f>
        <v>15</v>
      </c>
      <c r="E64" s="389"/>
      <c r="F64" s="122" t="s">
        <v>186</v>
      </c>
      <c r="G64" s="122">
        <f>COUNTIFS($B$9:$B$39,"ma",[0]!December,"Skema 1")</f>
        <v>3</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85" hidden="1">
      <c r="A65" s="1129" t="s">
        <v>207</v>
      </c>
      <c r="B65" s="1129"/>
      <c r="C65" s="1129"/>
      <c r="D65" s="122">
        <f>COUNTIF([0]!December,"Skema 2")</f>
        <v>0</v>
      </c>
      <c r="E65" s="389"/>
      <c r="F65" s="122" t="s">
        <v>187</v>
      </c>
      <c r="G65" s="122">
        <f>COUNTIFS($B$9:$B$39,"ti",[0]!December,"Skema 1")</f>
        <v>3</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85" s="493" customFormat="1" hidden="1">
      <c r="A66" s="1128" t="s">
        <v>208</v>
      </c>
      <c r="B66" s="1128"/>
      <c r="C66" s="1128"/>
      <c r="D66" s="490">
        <f>COUNTIF([0]!December,"Skema 3")</f>
        <v>0</v>
      </c>
      <c r="E66" s="491"/>
      <c r="F66" s="490" t="s">
        <v>188</v>
      </c>
      <c r="G66" s="490">
        <f>COUNTIFS($B$9:$B$39,"on",[0]!December,"Skema 1")</f>
        <v>3</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AA66" s="490"/>
      <c r="AB66" s="490"/>
      <c r="BI66" s="509"/>
      <c r="CF66" s="509"/>
      <c r="CQ66" s="510"/>
      <c r="CR66" s="510"/>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row>
    <row r="67" spans="1:185" s="493" customFormat="1" hidden="1">
      <c r="A67" s="1128" t="s">
        <v>209</v>
      </c>
      <c r="B67" s="1128"/>
      <c r="C67" s="1128"/>
      <c r="D67" s="490">
        <f>COUNTIF([0]!December,"Skema 4")</f>
        <v>0</v>
      </c>
      <c r="E67" s="491"/>
      <c r="F67" s="490" t="s">
        <v>190</v>
      </c>
      <c r="G67" s="490">
        <f>COUNTIFS($B$9:$B$39,"to",[0]!December,"Skema 1")</f>
        <v>3</v>
      </c>
      <c r="H67" s="490"/>
      <c r="I67" s="668" t="s">
        <v>591</v>
      </c>
      <c r="J67" s="650"/>
      <c r="K67" s="503"/>
      <c r="L67" s="653"/>
      <c r="M67" s="656"/>
      <c r="N67" s="656"/>
      <c r="O67" s="4"/>
      <c r="P67" s="669"/>
      <c r="Q67" s="671"/>
      <c r="R67" s="227"/>
      <c r="S67" s="227"/>
      <c r="T67" s="227"/>
      <c r="U67" s="227"/>
      <c r="V67" s="227"/>
      <c r="W67" s="117"/>
      <c r="X67" s="117"/>
      <c r="Y67" s="507"/>
      <c r="Z67" s="507"/>
      <c r="AA67" s="507"/>
      <c r="AB67" s="508"/>
      <c r="AC67" s="508"/>
      <c r="AD67" s="508"/>
      <c r="AE67" s="508"/>
      <c r="AF67" s="508"/>
      <c r="AG67" s="507"/>
      <c r="AI67" s="507"/>
      <c r="AJ67" s="507"/>
      <c r="AN67" s="490"/>
      <c r="AO67" s="490"/>
      <c r="BV67" s="509"/>
      <c r="CS67" s="509"/>
      <c r="DD67" s="510"/>
      <c r="DE67" s="510"/>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row>
    <row r="68" spans="1:185" s="493" customFormat="1" hidden="1">
      <c r="A68" s="490" t="s">
        <v>112</v>
      </c>
      <c r="B68" s="490"/>
      <c r="C68" s="490"/>
      <c r="D68" s="490">
        <f>COUNTIF([0]!December,"Fagdag")+COUNTIF([0]!December,"emnedag")</f>
        <v>0</v>
      </c>
      <c r="E68" s="491"/>
      <c r="F68" s="490" t="s">
        <v>189</v>
      </c>
      <c r="G68" s="490">
        <f>COUNTIFS($B$9:$B$39,"fr",[0]!December,"Skema 1")</f>
        <v>3</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507"/>
      <c r="Z68" s="507"/>
      <c r="AA68" s="507"/>
      <c r="AB68" s="508"/>
      <c r="AC68" s="508"/>
      <c r="AD68" s="508"/>
      <c r="AE68" s="508"/>
      <c r="AF68" s="508"/>
      <c r="AG68" s="507"/>
      <c r="AI68" s="507"/>
      <c r="AJ68" s="507"/>
      <c r="AN68" s="490"/>
      <c r="AO68" s="490"/>
      <c r="BV68" s="509"/>
      <c r="CS68" s="509"/>
      <c r="DD68" s="510"/>
      <c r="DE68" s="510"/>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row>
    <row r="69" spans="1:185" s="493" customFormat="1" hidden="1">
      <c r="A69" s="494" t="s">
        <v>111</v>
      </c>
      <c r="B69" s="490"/>
      <c r="C69" s="490"/>
      <c r="D69" s="490">
        <f>COUNTIF([0]!December,"Lejrskole")+COUNTIF([0]!December,"Ekskursion")</f>
        <v>0</v>
      </c>
      <c r="E69" s="491"/>
      <c r="F69" s="490"/>
      <c r="G69" s="490"/>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507"/>
      <c r="Z69" s="507"/>
      <c r="AA69" s="507"/>
      <c r="AB69" s="508"/>
      <c r="AC69" s="508"/>
      <c r="AD69" s="508"/>
      <c r="AE69" s="508"/>
      <c r="AF69" s="508"/>
      <c r="AG69" s="507"/>
      <c r="AI69" s="507"/>
      <c r="AJ69" s="507"/>
      <c r="AN69" s="490"/>
      <c r="AO69" s="490"/>
      <c r="BV69" s="509"/>
      <c r="CS69" s="509"/>
      <c r="DD69" s="510"/>
      <c r="DE69" s="510"/>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row>
    <row r="70" spans="1:185" s="493" customFormat="1" hidden="1">
      <c r="A70" s="490" t="s">
        <v>110</v>
      </c>
      <c r="B70" s="490"/>
      <c r="C70" s="490"/>
      <c r="D70" s="490">
        <f>COUNTIF([0]!December,"Pæd.dag")</f>
        <v>0</v>
      </c>
      <c r="E70" s="491"/>
      <c r="F70" s="490" t="s">
        <v>191</v>
      </c>
      <c r="G70" s="490">
        <f>COUNTIFS($B$9:$B$39,"ma",[0]!December,"Skema 2")</f>
        <v>0</v>
      </c>
      <c r="H70" s="490"/>
      <c r="I70" s="653" t="s">
        <v>594</v>
      </c>
      <c r="J70" s="653"/>
      <c r="K70" s="653"/>
      <c r="L70" s="653"/>
      <c r="M70" s="657"/>
      <c r="N70" s="657"/>
      <c r="O70" s="4"/>
      <c r="P70" s="669"/>
      <c r="Q70" s="671"/>
      <c r="R70" s="227"/>
      <c r="S70" s="227"/>
      <c r="T70" s="227"/>
      <c r="U70" s="227"/>
      <c r="V70" s="227"/>
      <c r="W70" s="117"/>
      <c r="X70" s="117"/>
      <c r="Y70" s="507"/>
      <c r="Z70" s="507"/>
      <c r="AA70" s="507"/>
      <c r="AB70" s="508"/>
      <c r="AC70" s="508"/>
      <c r="AD70" s="508"/>
      <c r="AE70" s="508"/>
      <c r="AG70" s="507"/>
      <c r="AI70" s="507"/>
      <c r="AJ70" s="507"/>
      <c r="AN70" s="490"/>
      <c r="AO70" s="490"/>
      <c r="BV70" s="509"/>
      <c r="CS70" s="509"/>
      <c r="DD70" s="510"/>
      <c r="DE70" s="51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85" s="493" customFormat="1" hidden="1">
      <c r="A71" s="490" t="s">
        <v>120</v>
      </c>
      <c r="B71" s="490"/>
      <c r="C71" s="490"/>
      <c r="D71" s="490">
        <f>COUNTIF([0]!December,"Weekend")</f>
        <v>9</v>
      </c>
      <c r="E71" s="491"/>
      <c r="F71" s="490" t="s">
        <v>192</v>
      </c>
      <c r="G71" s="490">
        <f>COUNTIFS($B$9:$B$39,"ti",[0]!December,"Skema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AM71" s="509"/>
      <c r="BJ71" s="509"/>
      <c r="BU71" s="510"/>
      <c r="BV71" s="510"/>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493" customFormat="1" hidden="1">
      <c r="A72" s="490" t="s">
        <v>127</v>
      </c>
      <c r="B72" s="490"/>
      <c r="C72" s="490"/>
      <c r="D72" s="490">
        <f>COUNTIF([0]!December,"SH-dag")</f>
        <v>2</v>
      </c>
      <c r="E72" s="491"/>
      <c r="F72" s="490" t="s">
        <v>193</v>
      </c>
      <c r="G72" s="490">
        <f>COUNTIFS($B$9:$B$39,"on",[0]!December,"Skema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AM72" s="509"/>
      <c r="BJ72" s="509"/>
      <c r="BU72" s="510"/>
      <c r="BV72" s="510"/>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493" customFormat="1" hidden="1">
      <c r="A73" s="490" t="s">
        <v>109</v>
      </c>
      <c r="B73" s="490"/>
      <c r="C73" s="490"/>
      <c r="D73" s="490">
        <f>COUNTIF([0]!December,"Feriedag")</f>
        <v>0</v>
      </c>
      <c r="E73" s="491"/>
      <c r="F73" s="490" t="s">
        <v>194</v>
      </c>
      <c r="G73" s="490">
        <f>COUNTIFS($B$9:$B$39,"to",[0]!December,"Skema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U73"/>
      <c r="V73"/>
      <c r="W73"/>
      <c r="X73"/>
      <c r="AM73" s="509"/>
      <c r="BJ73" s="509"/>
      <c r="BU73" s="510"/>
      <c r="BV73" s="510"/>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493" customFormat="1" hidden="1">
      <c r="A74" s="490" t="s">
        <v>178</v>
      </c>
      <c r="B74" s="490"/>
      <c r="C74" s="490"/>
      <c r="D74" s="490">
        <f>COUNTIF([0]!December,"Nul-dag")</f>
        <v>5</v>
      </c>
      <c r="E74" s="491"/>
      <c r="F74" s="490" t="s">
        <v>195</v>
      </c>
      <c r="G74" s="490">
        <f>COUNTIFS($B$9:$B$39,"fr",[0]!December,"Skema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R74"/>
      <c r="S74"/>
      <c r="T74"/>
      <c r="U74"/>
      <c r="V74" t="s">
        <v>605</v>
      </c>
      <c r="W74"/>
      <c r="X74"/>
      <c r="AM74" s="509"/>
      <c r="BJ74" s="509"/>
      <c r="BU74" s="510"/>
      <c r="BV74" s="510"/>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493" customFormat="1" hidden="1">
      <c r="A75" s="495" t="s">
        <v>415</v>
      </c>
      <c r="B75" s="490"/>
      <c r="C75" s="490"/>
      <c r="D75" s="490">
        <f>COUNTIF([0]!December,"Orlov")</f>
        <v>0</v>
      </c>
      <c r="E75" s="491"/>
      <c r="F75" s="496"/>
      <c r="G75" s="496"/>
      <c r="H75" s="496"/>
      <c r="I75" s="653" t="s">
        <v>604</v>
      </c>
      <c r="J75" s="653"/>
      <c r="K75" s="653"/>
      <c r="L75" s="653"/>
      <c r="M75" s="659"/>
      <c r="N75" s="659"/>
      <c r="O75" s="4"/>
      <c r="P75" s="652"/>
      <c r="Q75"/>
      <c r="R75">
        <f>IF(C10="ikke relevant",V10*-1+X10*-1,0)</f>
        <v>0</v>
      </c>
      <c r="S75" t="s">
        <v>610</v>
      </c>
      <c r="T75"/>
      <c r="U75"/>
      <c r="V75">
        <f>IF(C10="ikke relevant",R10*-1,0)</f>
        <v>0</v>
      </c>
      <c r="W75"/>
      <c r="X75"/>
      <c r="AM75" s="509"/>
      <c r="BJ75" s="509"/>
      <c r="BU75" s="510"/>
      <c r="BV75" s="510"/>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493" customFormat="1" hidden="1">
      <c r="A76" s="490" t="s">
        <v>160</v>
      </c>
      <c r="B76" s="490"/>
      <c r="C76" s="490"/>
      <c r="D76" s="490">
        <f>COUNTIF([0]!December,"Ikke relevant")</f>
        <v>0</v>
      </c>
      <c r="E76" s="491"/>
      <c r="F76" s="490" t="s">
        <v>196</v>
      </c>
      <c r="G76" s="490">
        <f>COUNTIFS($B$9:$B$39,"ma",[0]!December,"Skema 3")</f>
        <v>0</v>
      </c>
      <c r="H76" s="490"/>
      <c r="I76" s="653"/>
      <c r="J76" s="653"/>
      <c r="K76" s="653"/>
      <c r="L76" s="503"/>
      <c r="M76" s="659"/>
      <c r="N76" s="659"/>
      <c r="O76" s="4"/>
      <c r="P76" s="652"/>
      <c r="Q76"/>
      <c r="R76">
        <f>IF(C11="ikke relevant",V11*-1+X11*-1,0)</f>
        <v>0</v>
      </c>
      <c r="S76"/>
      <c r="T76"/>
      <c r="U76"/>
      <c r="V76">
        <f>IF(C11="ikke relevant",R11*-1,0)</f>
        <v>0</v>
      </c>
      <c r="W76"/>
      <c r="X76"/>
      <c r="AM76" s="509"/>
      <c r="BJ76" s="509"/>
      <c r="BU76" s="510"/>
      <c r="BV76" s="510"/>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493" customFormat="1" hidden="1">
      <c r="A77" s="490" t="s">
        <v>108</v>
      </c>
      <c r="B77" s="490"/>
      <c r="C77" s="490"/>
      <c r="D77" s="490">
        <f>SUM(D64:D76)</f>
        <v>31</v>
      </c>
      <c r="E77" s="490"/>
      <c r="F77" s="490" t="s">
        <v>197</v>
      </c>
      <c r="G77" s="490">
        <f>COUNTIFS($B$9:$B$39,"ti",[0]!December,"Skema 3")</f>
        <v>0</v>
      </c>
      <c r="H77" s="490"/>
      <c r="I77" s="653"/>
      <c r="J77" s="653"/>
      <c r="K77" s="653"/>
      <c r="L77" s="503"/>
      <c r="M77" s="659"/>
      <c r="N77" s="659"/>
      <c r="O77" s="4"/>
      <c r="P77" s="652"/>
      <c r="Q77"/>
      <c r="R77">
        <f t="shared" ref="R77:R105" si="39">IF(C12="ikke relevant",V12*-1+X12*-1,0)</f>
        <v>0</v>
      </c>
      <c r="S77"/>
      <c r="T77"/>
      <c r="U77"/>
      <c r="V77">
        <f t="shared" ref="V77:V105" si="40">IF(C12="ikke relevant",R12*-1,0)</f>
        <v>0</v>
      </c>
      <c r="W77"/>
      <c r="X77"/>
      <c r="Z77" s="509"/>
      <c r="AX77" s="509"/>
      <c r="BI77" s="510"/>
      <c r="BJ77" s="510"/>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493" customFormat="1" hidden="1">
      <c r="A78" s="490" t="s">
        <v>239</v>
      </c>
      <c r="B78" s="490"/>
      <c r="C78" s="490"/>
      <c r="D78" s="490">
        <f>D77-D71-A87-D76</f>
        <v>22</v>
      </c>
      <c r="E78" s="497"/>
      <c r="F78" s="490" t="s">
        <v>198</v>
      </c>
      <c r="G78" s="490">
        <f>COUNTIFS($B$9:$B$39,"on",[0]!December,"Skema 3")</f>
        <v>0</v>
      </c>
      <c r="H78" s="490"/>
      <c r="I78" s="653"/>
      <c r="J78" s="653"/>
      <c r="K78" s="653"/>
      <c r="L78" s="503"/>
      <c r="M78" s="659"/>
      <c r="N78" s="659"/>
      <c r="O78" s="4"/>
      <c r="P78" s="652"/>
      <c r="Q78"/>
      <c r="R78">
        <f t="shared" si="39"/>
        <v>0</v>
      </c>
      <c r="S78"/>
      <c r="T78"/>
      <c r="U78"/>
      <c r="V78">
        <f t="shared" si="40"/>
        <v>0</v>
      </c>
      <c r="W78"/>
      <c r="X78"/>
      <c r="Z78" s="509"/>
      <c r="AX78" s="509"/>
      <c r="BI78" s="510"/>
      <c r="BJ78" s="510"/>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493" customFormat="1" hidden="1">
      <c r="A79" s="490"/>
      <c r="B79" s="490"/>
      <c r="C79" s="490"/>
      <c r="D79" s="490"/>
      <c r="E79" s="490"/>
      <c r="F79" s="490" t="s">
        <v>199</v>
      </c>
      <c r="G79" s="490">
        <f>COUNTIFS($B$9:$B$39,"to",[0]!December,"Skema 3")</f>
        <v>0</v>
      </c>
      <c r="H79" s="490"/>
      <c r="I79" s="655"/>
      <c r="J79" s="653"/>
      <c r="K79" s="653"/>
      <c r="L79" s="503"/>
      <c r="M79" s="651"/>
      <c r="N79" s="651"/>
      <c r="O79" s="4"/>
      <c r="P79" s="652"/>
      <c r="Q79"/>
      <c r="R79">
        <f t="shared" si="39"/>
        <v>0</v>
      </c>
      <c r="S79"/>
      <c r="T79"/>
      <c r="U79"/>
      <c r="V79">
        <f t="shared" si="40"/>
        <v>0</v>
      </c>
      <c r="W79"/>
      <c r="X79"/>
      <c r="Z79" s="509"/>
      <c r="AX79" s="509"/>
      <c r="BI79" s="510"/>
      <c r="BJ79" s="510"/>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493" customFormat="1" hidden="1">
      <c r="A80" s="490"/>
      <c r="B80" s="490"/>
      <c r="C80" s="490"/>
      <c r="D80" s="490"/>
      <c r="E80" s="490"/>
      <c r="F80" s="490" t="s">
        <v>200</v>
      </c>
      <c r="G80" s="490">
        <f>COUNTIFS($B$9:$B$39,"fr",[0]!December,"Skema 3")</f>
        <v>0</v>
      </c>
      <c r="H80" s="490"/>
      <c r="I80" s="498"/>
      <c r="J80" s="503"/>
      <c r="K80" s="503"/>
      <c r="L80" s="503"/>
      <c r="M80" s="4"/>
      <c r="N80" s="4"/>
      <c r="O80" s="4"/>
      <c r="P80" s="4"/>
      <c r="Q80"/>
      <c r="R80">
        <f t="shared" si="39"/>
        <v>0</v>
      </c>
      <c r="S80"/>
      <c r="T80"/>
      <c r="U80"/>
      <c r="V80">
        <f t="shared" si="40"/>
        <v>0</v>
      </c>
      <c r="W80"/>
      <c r="X80"/>
      <c r="Z80" s="509"/>
      <c r="AX80" s="509"/>
      <c r="BI80" s="510"/>
      <c r="BJ80" s="51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493" customFormat="1" hidden="1">
      <c r="A81" s="490" t="s">
        <v>292</v>
      </c>
      <c r="B81" s="490"/>
      <c r="C81" s="490"/>
      <c r="D81" s="490"/>
      <c r="E81" s="490"/>
      <c r="F81" s="490"/>
      <c r="G81" s="490"/>
      <c r="H81" s="490"/>
      <c r="I81" s="498"/>
      <c r="J81" s="503"/>
      <c r="K81" s="503"/>
      <c r="L81" s="503"/>
      <c r="M81" s="4"/>
      <c r="N81" s="4"/>
      <c r="O81" s="4"/>
      <c r="P81" s="4"/>
      <c r="Q81"/>
      <c r="R81">
        <f t="shared" si="39"/>
        <v>0</v>
      </c>
      <c r="S81"/>
      <c r="T81"/>
      <c r="U81"/>
      <c r="V81">
        <f t="shared" si="40"/>
        <v>0</v>
      </c>
      <c r="W81"/>
      <c r="X81"/>
      <c r="Z81" s="509"/>
      <c r="AX81" s="509"/>
      <c r="BI81" s="510"/>
      <c r="BJ81" s="510"/>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493" customFormat="1" hidden="1">
      <c r="A82" s="490">
        <f>COUNTIF($C$9,"Skema 1")+COUNTIF($C$9,"Skema 2")+COUNTIF($C$9,"Skema 3")+COUNTIF($C$9,"Skema 4")+COUNTIF($C$9,"Fagdag")+COUNTIF($C$9,"Emnedag")+COUNTIF($C$9,"Lejrskole")+COUNTIF($C$9,"Ekskursion")+COUNTIF($C$9,"Pæd.dag")</f>
        <v>0</v>
      </c>
      <c r="B82" s="490"/>
      <c r="C82" s="490"/>
      <c r="D82" s="490"/>
      <c r="E82" s="490"/>
      <c r="F82" s="490" t="s">
        <v>201</v>
      </c>
      <c r="G82" s="490">
        <f>COUNTIFS($B$9:$B$39,"ma",[0]!December,"Skema 4")</f>
        <v>0</v>
      </c>
      <c r="H82" s="490"/>
      <c r="I82" s="498"/>
      <c r="J82" s="503"/>
      <c r="K82" s="503"/>
      <c r="L82" s="503"/>
      <c r="M82" s="4"/>
      <c r="N82" s="4"/>
      <c r="O82" s="4"/>
      <c r="P82" s="4"/>
      <c r="Q82"/>
      <c r="R82">
        <f t="shared" si="39"/>
        <v>0</v>
      </c>
      <c r="S82"/>
      <c r="T82"/>
      <c r="U82"/>
      <c r="V82">
        <f t="shared" si="40"/>
        <v>0</v>
      </c>
      <c r="W82"/>
      <c r="X82"/>
      <c r="Z82" s="509"/>
      <c r="AX82" s="509"/>
      <c r="BI82" s="510"/>
      <c r="BJ82" s="510"/>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493" customFormat="1" hidden="1">
      <c r="A83" s="490">
        <f>COUNTIF($C$15:$C$16,"Skema 1")+COUNTIF($C$15:$C$16,"Skema 2")+COUNTIF($C$15:$C$16,"Skema 3")+COUNTIF($C$15:$C$16,"Skema 4")+COUNTIF($C$15:$C$16,"Fagdag")+COUNTIF($C$15:$C$16,"Emnedag")+COUNTIF($C$15:$C$16,"Lejrskole")+COUNTIF($C$15:$C$16,"Ekskursion")+COUNTIF($C$15:$C$16,"Pæd.dag")</f>
        <v>0</v>
      </c>
      <c r="B83" s="490"/>
      <c r="C83" s="490"/>
      <c r="D83" s="490"/>
      <c r="E83" s="490"/>
      <c r="F83" s="490" t="s">
        <v>202</v>
      </c>
      <c r="G83" s="490">
        <f>COUNTIFS($B$9:$B$39,"ti",[0]!December,"Skema 4")</f>
        <v>0</v>
      </c>
      <c r="H83" s="490"/>
      <c r="I83" s="498"/>
      <c r="J83" s="503"/>
      <c r="K83" s="503"/>
      <c r="L83" s="503"/>
      <c r="M83" s="4"/>
      <c r="N83" s="4"/>
      <c r="O83" s="4"/>
      <c r="P83" s="4"/>
      <c r="Q83"/>
      <c r="R83">
        <f t="shared" si="39"/>
        <v>0</v>
      </c>
      <c r="S83"/>
      <c r="T83"/>
      <c r="U83"/>
      <c r="V83">
        <f t="shared" si="40"/>
        <v>0</v>
      </c>
      <c r="W83"/>
      <c r="X83"/>
      <c r="Z83" s="509"/>
      <c r="AX83" s="509"/>
      <c r="BI83" s="510"/>
      <c r="BJ83" s="510"/>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s="493" customFormat="1" hidden="1">
      <c r="A84" s="490">
        <f>COUNTIF($C$22:$C$23,"Skema 1")+COUNTIF($C$22:$C$23,"Skema 2")+COUNTIF($C$22:$C$23,"Skema 3")+COUNTIF($C$22:$C$23,"Skema 4")+COUNTIF($C$22:$C$23,"Fagdag")+COUNTIF($C$22:$C$23,"Emnedag")+COUNTIF($C$22:$C$23,"Lejrskole")+COUNTIF($C$22:$C$23,"Ekskursion")+COUNTIF($C$22:$C$23,"Pæd.dag")</f>
        <v>0</v>
      </c>
      <c r="B84" s="490"/>
      <c r="C84" s="490"/>
      <c r="D84" s="490"/>
      <c r="E84" s="490"/>
      <c r="F84" s="490" t="s">
        <v>203</v>
      </c>
      <c r="G84" s="490">
        <f>COUNTIFS($B$9:$B$39,"on",[0]!December,"Skema 4")</f>
        <v>0</v>
      </c>
      <c r="H84" s="490"/>
      <c r="I84" s="498"/>
      <c r="J84" s="503"/>
      <c r="K84" s="503"/>
      <c r="L84" s="503"/>
      <c r="M84" s="4"/>
      <c r="N84" s="4"/>
      <c r="O84" s="4"/>
      <c r="P84" s="4"/>
      <c r="Q84"/>
      <c r="R84">
        <f t="shared" si="39"/>
        <v>0</v>
      </c>
      <c r="S84"/>
      <c r="T84"/>
      <c r="U84"/>
      <c r="V84">
        <f t="shared" si="40"/>
        <v>0</v>
      </c>
      <c r="W84"/>
      <c r="X84"/>
      <c r="Z84" s="509"/>
      <c r="AX84" s="509"/>
      <c r="BI84" s="510"/>
      <c r="BJ84" s="510"/>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hidden="1">
      <c r="A85" s="490">
        <f>COUNTIF($C$29:$C$30,"Skema 1")+COUNTIF($C$29:$C$30,"Skema 2")+COUNTIF($C$29:$C$30,"Skema 3")+COUNTIF($C$29:$C$30,"Skema 4")+COUNTIF($C$29:$C$30,"Fagdag")+COUNTIF($C$29:$C$30,"Emnedag")+COUNTIF($C$29:$C$30,"Lejrskole")+COUNTIF($C$29:$C$30,"Ekskursion")+COUNTIF($C$29:$C$30,"Pæd.dag")</f>
        <v>0</v>
      </c>
      <c r="B85" s="122"/>
      <c r="C85" s="122"/>
      <c r="D85" s="122"/>
      <c r="E85" s="122"/>
      <c r="F85" s="122" t="s">
        <v>204</v>
      </c>
      <c r="G85" s="122">
        <f>COUNTIFS($B$9:$B$39,"to",[0]!December,"Skema 4")</f>
        <v>0</v>
      </c>
      <c r="H85" s="490"/>
      <c r="I85" s="498"/>
      <c r="J85" s="503"/>
      <c r="K85" s="503"/>
      <c r="L85" s="503"/>
      <c r="M85" s="4"/>
      <c r="N85" s="4"/>
      <c r="O85" s="4"/>
      <c r="P85" s="4"/>
      <c r="R85">
        <f t="shared" si="39"/>
        <v>0</v>
      </c>
      <c r="V85">
        <f t="shared" si="40"/>
        <v>0</v>
      </c>
      <c r="Y85"/>
      <c r="Z85"/>
      <c r="AO85" s="1">
        <f>SUM(N85:AN85)</f>
        <v>0</v>
      </c>
      <c r="BL85" s="1">
        <f>SUM(AI85:BK85)</f>
        <v>0</v>
      </c>
      <c r="BW85" s="244"/>
      <c r="BX85" s="244"/>
      <c r="CY85"/>
      <c r="CZ85"/>
    </row>
    <row r="86" spans="1:185" hidden="1">
      <c r="A86" s="490">
        <f>COUNTIF($C$36:$C$37,"Skema 1")+COUNTIF($C$36:$C$37,"Skema 2")+COUNTIF($C$36:$C$37,"Skema 3")+COUNTIF($C$36:$C$37,"Skema 4")+COUNTIF($C$36:$C$37,"Fagdag")+COUNTIF($C$36:$C$37,"Emnedag")+COUNTIF($C$36:$C$37,"Lejrskole")+COUNTIF($C$36:$C$37,"Ekskursion")+COUNTIF($C$36:$C$37,"Pæd.dag")</f>
        <v>0</v>
      </c>
      <c r="B86" s="122"/>
      <c r="C86" s="122"/>
      <c r="D86" s="122"/>
      <c r="E86" s="122"/>
      <c r="F86" s="122" t="s">
        <v>205</v>
      </c>
      <c r="G86" s="122">
        <f>COUNTIFS($B$9:$B$39,"fr",[0]!December,"Skema 4")</f>
        <v>0</v>
      </c>
      <c r="H86" s="490"/>
      <c r="I86" s="490"/>
      <c r="J86" s="493"/>
      <c r="K86" s="493"/>
      <c r="L86" s="40"/>
      <c r="R86">
        <f t="shared" si="39"/>
        <v>0</v>
      </c>
      <c r="V86">
        <f t="shared" si="40"/>
        <v>0</v>
      </c>
      <c r="Y86"/>
      <c r="Z86"/>
      <c r="AO86" s="1">
        <f>SUM(N86:AN86)</f>
        <v>0</v>
      </c>
      <c r="BL86" s="1">
        <f>SUM(AI86:BK86)</f>
        <v>0</v>
      </c>
      <c r="BW86" s="244"/>
      <c r="BX86" s="244"/>
      <c r="CY86"/>
      <c r="CZ86"/>
    </row>
    <row r="87" spans="1:185" hidden="1">
      <c r="A87" s="490">
        <f>SUM(A82:A86)</f>
        <v>0</v>
      </c>
      <c r="B87" s="122"/>
      <c r="C87" s="122"/>
      <c r="D87" s="122"/>
      <c r="E87" s="122"/>
      <c r="F87" s="122"/>
      <c r="G87" s="390">
        <f>SUM(G64:G86)</f>
        <v>15</v>
      </c>
      <c r="H87" s="493"/>
      <c r="I87" s="490"/>
      <c r="J87" s="493"/>
      <c r="K87" s="493"/>
      <c r="L87" s="40"/>
      <c r="R87">
        <f t="shared" si="39"/>
        <v>0</v>
      </c>
      <c r="V87">
        <f t="shared" si="40"/>
        <v>0</v>
      </c>
      <c r="Y87"/>
      <c r="Z87"/>
      <c r="AO87" s="1">
        <f>SUM(N87:AN87)</f>
        <v>0</v>
      </c>
      <c r="BL87" s="1">
        <f>SUM(AI87:BK87)</f>
        <v>0</v>
      </c>
      <c r="BW87" s="244"/>
      <c r="BX87" s="244"/>
      <c r="CY87"/>
      <c r="CZ87"/>
    </row>
    <row r="88" spans="1:185" hidden="1">
      <c r="A88" s="40"/>
      <c r="B88" s="40"/>
      <c r="C88" s="40"/>
      <c r="D88" s="40"/>
      <c r="E88" s="122"/>
      <c r="F88" s="122"/>
      <c r="G88" s="122"/>
      <c r="H88" s="40"/>
      <c r="I88" s="493"/>
      <c r="J88" s="493"/>
      <c r="K88" s="493"/>
      <c r="L88" s="40"/>
      <c r="R88">
        <f t="shared" si="39"/>
        <v>0</v>
      </c>
      <c r="V88">
        <f t="shared" si="40"/>
        <v>0</v>
      </c>
      <c r="Y88"/>
      <c r="Z88"/>
      <c r="AO88" s="1">
        <f>SUM(N88:AN88)</f>
        <v>0</v>
      </c>
      <c r="BL88" s="1">
        <f>SUM(AI88:BK88)</f>
        <v>0</v>
      </c>
      <c r="BW88" s="244"/>
      <c r="BX88" s="244"/>
      <c r="CY88"/>
      <c r="CZ88"/>
    </row>
    <row r="89" spans="1:185" hidden="1">
      <c r="A89" s="40"/>
      <c r="B89" s="40"/>
      <c r="C89" s="40"/>
      <c r="D89" s="40"/>
      <c r="E89" s="122"/>
      <c r="F89" s="122"/>
      <c r="G89" s="122"/>
      <c r="H89" s="40"/>
      <c r="I89" s="40"/>
      <c r="J89" s="493"/>
      <c r="K89" s="493"/>
      <c r="L89" s="40"/>
      <c r="R89">
        <f t="shared" si="39"/>
        <v>0</v>
      </c>
      <c r="V89">
        <f t="shared" si="40"/>
        <v>0</v>
      </c>
      <c r="Y89"/>
      <c r="Z89"/>
      <c r="BW89" s="244"/>
      <c r="BX89" s="244"/>
      <c r="CY89"/>
      <c r="CZ89"/>
    </row>
    <row r="90" spans="1:185" hidden="1">
      <c r="A90" s="40"/>
      <c r="B90" s="40"/>
      <c r="C90" s="40"/>
      <c r="D90" s="40"/>
      <c r="E90" s="122"/>
      <c r="F90" s="122"/>
      <c r="G90" s="122"/>
      <c r="H90" s="40"/>
      <c r="I90" s="40"/>
      <c r="J90" s="40"/>
      <c r="K90" s="40"/>
      <c r="L90" s="40"/>
      <c r="R90">
        <f t="shared" si="39"/>
        <v>0</v>
      </c>
      <c r="V90">
        <f t="shared" si="40"/>
        <v>0</v>
      </c>
      <c r="Y90"/>
      <c r="Z90"/>
      <c r="BW90" s="244"/>
      <c r="BX90" s="244"/>
      <c r="CY90"/>
      <c r="CZ90"/>
    </row>
    <row r="91" spans="1:185" hidden="1">
      <c r="A91" s="40"/>
      <c r="B91" s="40"/>
      <c r="C91" s="40"/>
      <c r="D91" s="40"/>
      <c r="E91" s="122"/>
      <c r="F91" s="122"/>
      <c r="G91" s="122"/>
      <c r="H91" s="40"/>
      <c r="I91" s="40"/>
      <c r="J91" s="40"/>
      <c r="K91" s="40"/>
      <c r="L91" s="40"/>
      <c r="R91">
        <f t="shared" si="39"/>
        <v>0</v>
      </c>
      <c r="V91">
        <f t="shared" si="40"/>
        <v>0</v>
      </c>
      <c r="Y91"/>
      <c r="Z91"/>
      <c r="BW91" s="244"/>
      <c r="BX91" s="244"/>
      <c r="CY91"/>
      <c r="CZ91"/>
    </row>
    <row r="92" spans="1:185" hidden="1">
      <c r="A92" s="40"/>
      <c r="B92" s="40"/>
      <c r="C92" s="40"/>
      <c r="D92" s="40"/>
      <c r="E92" s="122"/>
      <c r="F92" s="122"/>
      <c r="G92" s="122"/>
      <c r="I92" s="40"/>
      <c r="J92" s="40"/>
      <c r="K92" s="40"/>
      <c r="L92" s="40"/>
      <c r="R92">
        <f t="shared" si="39"/>
        <v>0</v>
      </c>
      <c r="V92">
        <f t="shared" si="40"/>
        <v>0</v>
      </c>
      <c r="Y92"/>
      <c r="Z92"/>
      <c r="BW92" s="244"/>
      <c r="BX92" s="244"/>
      <c r="CY92"/>
      <c r="CZ92"/>
    </row>
    <row r="93" spans="1:185" hidden="1">
      <c r="A93" s="40"/>
      <c r="B93" s="40"/>
      <c r="C93" s="40"/>
      <c r="D93" s="40"/>
      <c r="E93" s="122"/>
      <c r="F93" s="122"/>
      <c r="G93" s="122"/>
      <c r="I93" s="40"/>
      <c r="J93" s="40"/>
      <c r="K93" s="40"/>
      <c r="L93" s="40"/>
      <c r="R93">
        <f t="shared" si="39"/>
        <v>0</v>
      </c>
      <c r="V93">
        <f t="shared" si="40"/>
        <v>0</v>
      </c>
      <c r="Y93"/>
      <c r="Z93"/>
      <c r="AF93" s="228"/>
      <c r="BW93" s="244"/>
      <c r="BX93" s="244"/>
      <c r="CY93"/>
      <c r="CZ93"/>
    </row>
    <row r="94" spans="1:185" hidden="1">
      <c r="A94" s="439"/>
      <c r="B94" s="439"/>
      <c r="C94" s="439"/>
      <c r="D94" s="439"/>
      <c r="E94" s="117"/>
      <c r="F94" s="117"/>
      <c r="G94" s="117"/>
      <c r="I94" s="40"/>
      <c r="J94" s="40"/>
      <c r="K94" s="40"/>
      <c r="L94" s="40"/>
      <c r="R94">
        <f t="shared" si="39"/>
        <v>0</v>
      </c>
      <c r="V94">
        <f t="shared" si="40"/>
        <v>0</v>
      </c>
      <c r="Y94"/>
      <c r="Z94"/>
      <c r="AD94" s="4"/>
      <c r="AE94" s="228"/>
      <c r="AF94" s="228"/>
      <c r="AG94" s="228"/>
      <c r="AH94" s="228"/>
      <c r="CY94"/>
      <c r="CZ94"/>
      <c r="DF94" s="244"/>
      <c r="DG94" s="244"/>
    </row>
    <row r="95" spans="1:185" hidden="1">
      <c r="A95" s="439"/>
      <c r="B95" s="439"/>
      <c r="C95" s="439"/>
      <c r="D95" s="439"/>
      <c r="E95" s="117"/>
      <c r="F95" s="117"/>
      <c r="G95" s="117"/>
      <c r="I95" s="40"/>
      <c r="J95" s="40"/>
      <c r="K95" s="40"/>
      <c r="L95" s="40"/>
      <c r="R95">
        <f t="shared" si="39"/>
        <v>0</v>
      </c>
      <c r="V95">
        <f t="shared" si="40"/>
        <v>0</v>
      </c>
      <c r="Y95"/>
      <c r="Z95"/>
      <c r="AD95" s="4"/>
      <c r="AE95" s="228"/>
      <c r="AG95" s="228"/>
      <c r="AH95" s="228"/>
      <c r="CY95"/>
      <c r="CZ95"/>
      <c r="DF95" s="244"/>
      <c r="DG95" s="244"/>
    </row>
    <row r="96" spans="1:185" hidden="1">
      <c r="A96" s="439"/>
      <c r="B96" s="439"/>
      <c r="C96" s="439"/>
      <c r="D96" s="439"/>
      <c r="E96" s="117"/>
      <c r="F96" s="117"/>
      <c r="G96" s="117"/>
      <c r="I96" s="40"/>
      <c r="J96" s="40"/>
      <c r="K96" s="40"/>
      <c r="L96" s="40"/>
      <c r="R96">
        <f t="shared" si="39"/>
        <v>0</v>
      </c>
      <c r="V96">
        <f t="shared" si="40"/>
        <v>0</v>
      </c>
    </row>
    <row r="97" spans="1:22" hidden="1">
      <c r="A97" s="439"/>
      <c r="B97" s="439"/>
      <c r="C97" s="439"/>
      <c r="D97" s="439"/>
      <c r="E97" s="117"/>
      <c r="F97" s="117"/>
      <c r="G97" s="117"/>
      <c r="I97" s="40"/>
      <c r="J97" s="40"/>
      <c r="K97" s="40"/>
      <c r="L97" s="40"/>
      <c r="R97">
        <f t="shared" si="39"/>
        <v>0</v>
      </c>
      <c r="V97">
        <f t="shared" si="40"/>
        <v>0</v>
      </c>
    </row>
    <row r="98" spans="1:22" hidden="1">
      <c r="A98" s="439"/>
      <c r="B98" s="439"/>
      <c r="C98" s="439"/>
      <c r="D98" s="439"/>
      <c r="E98" s="439"/>
      <c r="F98" s="439"/>
      <c r="G98" s="439"/>
      <c r="I98" s="40"/>
      <c r="J98" s="40"/>
      <c r="K98" s="40"/>
      <c r="L98" s="40"/>
      <c r="R98">
        <f t="shared" si="39"/>
        <v>0</v>
      </c>
      <c r="V98">
        <f t="shared" si="40"/>
        <v>0</v>
      </c>
    </row>
    <row r="99" spans="1:22" hidden="1">
      <c r="A99" s="439"/>
      <c r="B99" s="439"/>
      <c r="C99" s="439"/>
      <c r="D99" s="439"/>
      <c r="E99" s="439"/>
      <c r="F99" s="439"/>
      <c r="G99" s="439"/>
      <c r="I99" s="40"/>
      <c r="J99" s="40"/>
      <c r="K99" s="40"/>
      <c r="L99" s="40"/>
      <c r="R99">
        <f t="shared" si="39"/>
        <v>0</v>
      </c>
      <c r="V99">
        <f t="shared" si="40"/>
        <v>0</v>
      </c>
    </row>
    <row r="100" spans="1:22" hidden="1">
      <c r="A100" s="439"/>
      <c r="B100" s="439"/>
      <c r="C100" s="439"/>
      <c r="D100" s="439"/>
      <c r="E100" s="439"/>
      <c r="F100" s="439"/>
      <c r="G100" s="439"/>
      <c r="I100" s="40"/>
      <c r="J100" s="40"/>
      <c r="K100" s="40"/>
      <c r="L100" s="439"/>
      <c r="R100">
        <f t="shared" si="39"/>
        <v>0</v>
      </c>
      <c r="V100">
        <f t="shared" si="40"/>
        <v>0</v>
      </c>
    </row>
    <row r="101" spans="1:22" hidden="1">
      <c r="A101" s="439"/>
      <c r="B101" s="439"/>
      <c r="C101" s="439"/>
      <c r="D101" s="439"/>
      <c r="I101" s="40"/>
      <c r="J101" s="40"/>
      <c r="K101" s="40"/>
      <c r="L101" s="439"/>
      <c r="R101">
        <f t="shared" si="39"/>
        <v>0</v>
      </c>
      <c r="V101">
        <f t="shared" si="40"/>
        <v>0</v>
      </c>
    </row>
    <row r="102" spans="1:22" hidden="1">
      <c r="I102" s="40"/>
      <c r="J102" s="40"/>
      <c r="K102" s="40"/>
      <c r="L102" s="439"/>
      <c r="R102">
        <f t="shared" si="39"/>
        <v>0</v>
      </c>
      <c r="V102">
        <f t="shared" si="40"/>
        <v>0</v>
      </c>
    </row>
    <row r="103" spans="1:22" hidden="1">
      <c r="I103" s="439"/>
      <c r="J103" s="40"/>
      <c r="K103" s="40"/>
      <c r="L103" s="439"/>
      <c r="R103">
        <f t="shared" si="39"/>
        <v>0</v>
      </c>
      <c r="V103">
        <f t="shared" si="40"/>
        <v>0</v>
      </c>
    </row>
    <row r="104" spans="1:22" hidden="1">
      <c r="I104" s="439"/>
      <c r="J104" s="439"/>
      <c r="K104" s="439"/>
      <c r="L104" s="439"/>
      <c r="R104">
        <f t="shared" si="39"/>
        <v>0</v>
      </c>
      <c r="V104">
        <f t="shared" si="40"/>
        <v>0</v>
      </c>
    </row>
    <row r="105" spans="1:22" ht="17" hidden="1" thickBot="1">
      <c r="I105" s="439"/>
      <c r="J105" s="439"/>
      <c r="K105" s="439"/>
      <c r="L105" s="439"/>
      <c r="R105">
        <f t="shared" si="39"/>
        <v>0</v>
      </c>
      <c r="V105">
        <f t="shared" si="40"/>
        <v>0</v>
      </c>
    </row>
    <row r="106" spans="1:22" ht="17" hidden="1" thickBot="1">
      <c r="I106" s="439"/>
      <c r="J106" s="439"/>
      <c r="K106" s="439"/>
      <c r="L106" s="439"/>
      <c r="R106" s="684">
        <f>SUM(R75:R105)+FB40</f>
        <v>0</v>
      </c>
      <c r="V106">
        <f>SUM(V75:V105)</f>
        <v>0</v>
      </c>
    </row>
    <row r="107" spans="1:22" hidden="1">
      <c r="I107" s="439"/>
      <c r="J107" s="439"/>
      <c r="K107" s="439"/>
      <c r="L107" s="439"/>
    </row>
    <row r="108" spans="1:22" hidden="1"/>
    <row r="109" spans="1:22" hidden="1"/>
    <row r="110" spans="1:22" hidden="1"/>
    <row r="111" spans="1:22" hidden="1"/>
    <row r="112" spans="1:22" hidden="1"/>
    <row r="113" hidden="1"/>
    <row r="114" hidden="1"/>
  </sheetData>
  <sheetProtection sheet="1" objects="1" scenarios="1"/>
  <mergeCells count="174">
    <mergeCell ref="FQ8:FR8"/>
    <mergeCell ref="DS8:DV8"/>
    <mergeCell ref="DZ8:EB8"/>
    <mergeCell ref="EG8:EI8"/>
    <mergeCell ref="EM8:EN8"/>
    <mergeCell ref="EQ8:ER8"/>
    <mergeCell ref="EU8:EV8"/>
    <mergeCell ref="FC8:FD8"/>
    <mergeCell ref="FG8:FH8"/>
    <mergeCell ref="FK8:FL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E30:G30"/>
    <mergeCell ref="E31:G31"/>
    <mergeCell ref="E33:G33"/>
    <mergeCell ref="E34:G34"/>
    <mergeCell ref="E35:G35"/>
    <mergeCell ref="E29:G29"/>
    <mergeCell ref="E26:G26"/>
    <mergeCell ref="I6:I7"/>
    <mergeCell ref="J6:J7"/>
    <mergeCell ref="E17:G17"/>
    <mergeCell ref="E18:G18"/>
    <mergeCell ref="E19:G19"/>
    <mergeCell ref="E20:G20"/>
    <mergeCell ref="E21:G21"/>
    <mergeCell ref="E22:G22"/>
    <mergeCell ref="BG6:BK6"/>
    <mergeCell ref="BL6:BP6"/>
    <mergeCell ref="AG6:AK6"/>
    <mergeCell ref="E6:G8"/>
    <mergeCell ref="K6:L6"/>
    <mergeCell ref="N6:N7"/>
    <mergeCell ref="O6:O7"/>
    <mergeCell ref="E25:G25"/>
    <mergeCell ref="I8:J8"/>
    <mergeCell ref="AA6:AE6"/>
    <mergeCell ref="S6:X6"/>
    <mergeCell ref="S8:U8"/>
    <mergeCell ref="V8:X8"/>
    <mergeCell ref="E15:G15"/>
    <mergeCell ref="E16:G16"/>
    <mergeCell ref="E23:G23"/>
    <mergeCell ref="E24:G24"/>
    <mergeCell ref="E11:G11"/>
    <mergeCell ref="K8:R8"/>
    <mergeCell ref="B2:E2"/>
    <mergeCell ref="E4:G4"/>
    <mergeCell ref="K4:L4"/>
    <mergeCell ref="A5:R5"/>
    <mergeCell ref="P6:P7"/>
    <mergeCell ref="Q6:Q7"/>
    <mergeCell ref="R6:R7"/>
    <mergeCell ref="A4:D4"/>
    <mergeCell ref="S5:X5"/>
    <mergeCell ref="A3:X3"/>
    <mergeCell ref="A7:D8"/>
    <mergeCell ref="H7:H8"/>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I53:K53"/>
    <mergeCell ref="M53:U53"/>
    <mergeCell ref="V53:X53"/>
    <mergeCell ref="I54:K54"/>
    <mergeCell ref="E12:G12"/>
    <mergeCell ref="E13:G13"/>
    <mergeCell ref="E14:G14"/>
    <mergeCell ref="EY8:EZ8"/>
    <mergeCell ref="EW6:EZ6"/>
    <mergeCell ref="M52:U52"/>
    <mergeCell ref="V52:X52"/>
    <mergeCell ref="DA6:DE6"/>
    <mergeCell ref="E9:G9"/>
    <mergeCell ref="E10:G10"/>
    <mergeCell ref="BQ6:BU6"/>
    <mergeCell ref="BV6:BZ6"/>
    <mergeCell ref="CD6:CH6"/>
    <mergeCell ref="CI6:CM6"/>
    <mergeCell ref="CN6:CR6"/>
    <mergeCell ref="CS6:CW6"/>
    <mergeCell ref="AL6:AP6"/>
    <mergeCell ref="AQ6:AU6"/>
    <mergeCell ref="AV6:AZ6"/>
    <mergeCell ref="BC6:BF6"/>
  </mergeCells>
  <conditionalFormatting sqref="A9:H9 D10:H31 A10:C39 D32:E32 H32 D33:H39">
    <cfRule type="expression" dxfId="707" priority="101">
      <formula>OR($C9="ekskursion")</formula>
    </cfRule>
    <cfRule type="expression" dxfId="706" priority="107" stopIfTrue="1">
      <formula>OR($C9="Orlov")</formula>
    </cfRule>
    <cfRule type="expression" dxfId="705" priority="106">
      <formula>OR($C9="weekend")</formula>
    </cfRule>
    <cfRule type="expression" dxfId="704" priority="105">
      <formula>OR($C9="feriedag")</formula>
    </cfRule>
    <cfRule type="expression" dxfId="703" priority="104">
      <formula>OR($C9="fagdag")</formula>
    </cfRule>
    <cfRule type="expression" dxfId="702" priority="103">
      <formula>OR($C9="emnedag")</formula>
    </cfRule>
    <cfRule type="expression" dxfId="701" priority="102">
      <formula>OR($C9="lejrskole")</formula>
    </cfRule>
    <cfRule type="expression" dxfId="700" priority="100">
      <formula>OR($C9="SH-dag")</formula>
    </cfRule>
    <cfRule type="expression" dxfId="699" priority="99">
      <formula>OR($C9="nul-dag")</formula>
    </cfRule>
    <cfRule type="expression" dxfId="698" priority="98">
      <formula>OR($C9="pæd.dag")</formula>
    </cfRule>
    <cfRule type="expression" dxfId="697" priority="97">
      <formula>OR($C9="Ikke relevant")</formula>
    </cfRule>
    <cfRule type="expression" dxfId="696" priority="93">
      <formula>OR($C9="Skema 1")</formula>
    </cfRule>
    <cfRule type="expression" dxfId="695" priority="94">
      <formula>OR($C9="skema 2")</formula>
    </cfRule>
    <cfRule type="expression" dxfId="694" priority="95">
      <formula>OR($C9="Skema 3")</formula>
    </cfRule>
    <cfRule type="expression" dxfId="693" priority="96">
      <formula>OR($C9="Skema 4")</formula>
    </cfRule>
  </conditionalFormatting>
  <conditionalFormatting sqref="E20">
    <cfRule type="expression" dxfId="692" priority="109">
      <formula>OR($D19="nul-dag")</formula>
    </cfRule>
    <cfRule type="expression" dxfId="691" priority="110">
      <formula>OR($D19="SH-dag")</formula>
    </cfRule>
    <cfRule type="expression" dxfId="690" priority="111">
      <formula>OR($D19="ekskursion")</formula>
    </cfRule>
    <cfRule type="expression" dxfId="689" priority="112">
      <formula>OR($D19="lejrskole")</formula>
    </cfRule>
    <cfRule type="expression" dxfId="688" priority="108">
      <formula>OR($D19="pæd.dag")</formula>
    </cfRule>
    <cfRule type="expression" dxfId="687" priority="113">
      <formula>OR($D19="emnedag")</formula>
    </cfRule>
    <cfRule type="expression" dxfId="686" priority="114">
      <formula>OR($D19="fagdag")</formula>
    </cfRule>
    <cfRule type="expression" dxfId="685" priority="115">
      <formula>OR($D19="feriedag")</formula>
    </cfRule>
    <cfRule type="expression" dxfId="684" priority="116">
      <formula>OR($D19="weekend")</formula>
    </cfRule>
    <cfRule type="expression" dxfId="683" priority="117" stopIfTrue="1">
      <formula>OR($D19="skoledag")</formula>
    </cfRule>
    <cfRule type="expression" dxfId="682" priority="118">
      <formula>OR($D19="Ikke relevant")</formula>
    </cfRule>
  </conditionalFormatting>
  <conditionalFormatting sqref="H58:H61">
    <cfRule type="expression" dxfId="681" priority="46">
      <formula>OR($A58&gt;0,)</formula>
    </cfRule>
  </conditionalFormatting>
  <conditionalFormatting sqref="I58:I61">
    <cfRule type="expression" dxfId="680" priority="47">
      <formula>OR($C58&gt;0,)</formula>
    </cfRule>
  </conditionalFormatting>
  <conditionalFormatting sqref="K9:K39">
    <cfRule type="expression" dxfId="679" priority="90">
      <formula>OR($C9="Pæd.dag",)</formula>
    </cfRule>
  </conditionalFormatting>
  <conditionalFormatting sqref="K9:L39">
    <cfRule type="expression" dxfId="678" priority="92">
      <formula>OR($C9="Ekskursion",)</formula>
    </cfRule>
    <cfRule type="expression" dxfId="677" priority="91">
      <formula>OR($C9="Lejrskole",)</formula>
    </cfRule>
  </conditionalFormatting>
  <conditionalFormatting sqref="K9:M39">
    <cfRule type="expression" dxfId="676" priority="89">
      <formula>OR($C9="emnedag",)</formula>
    </cfRule>
    <cfRule type="expression" dxfId="675" priority="88">
      <formula>OR($C9="fagdag",)</formula>
    </cfRule>
  </conditionalFormatting>
  <conditionalFormatting sqref="R9:R39">
    <cfRule type="expression" dxfId="674" priority="119">
      <formula>OR($H9&gt;"0",)</formula>
    </cfRule>
  </conditionalFormatting>
  <conditionalFormatting sqref="V9:V39">
    <cfRule type="expression" dxfId="673" priority="55">
      <formula>OR($S9="X",)</formula>
    </cfRule>
  </conditionalFormatting>
  <conditionalFormatting sqref="V49:X52">
    <cfRule type="expression" dxfId="672" priority="48">
      <formula>OR($M49&gt;0,)</formula>
    </cfRule>
  </conditionalFormatting>
  <conditionalFormatting sqref="W9:W39">
    <cfRule type="expression" dxfId="671" priority="54">
      <formula>OR($T9="X",)</formula>
    </cfRule>
  </conditionalFormatting>
  <conditionalFormatting sqref="X9:X39">
    <cfRule type="expression" dxfId="670" priority="53">
      <formula>OR($U9="X",)</formula>
    </cfRule>
  </conditionalFormatting>
  <dataValidations count="3">
    <dataValidation type="list" allowBlank="1" showInputMessage="1" showErrorMessage="1" sqref="S9:T39 U9:U37 A58:D61" xr:uid="{097CEB81-1AE9-CD48-96FF-F462A837FEDB}">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5:I16 I22:I23 I36:I37 I29:I30 I33:I34" xr:uid="{61DC2805-BC0E-524D-BCC0-28561AD184E9}">
      <formula1>$W$1:$W$2</formula1>
    </dataValidation>
    <dataValidation type="list" allowBlank="1" showInputMessage="1" showErrorMessage="1" promptTitle="OBS:" prompt="Ved arrangementer med overnatning ydes istedet for ulempe- og weekendgodtgørelse på hhv. 25% og 50% faste tillæg pr. påbegyndt dag. " sqref="J9:J39" xr:uid="{4491093C-506D-164F-BA01-CBBB80A6F81D}">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August!$A$89:$A$103</xm:f>
          </x14:formula1>
          <xm:sqref>C9:C39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GC108"/>
  <sheetViews>
    <sheetView topLeftCell="A4" zoomScale="90" workbookViewId="0">
      <selection activeCell="GC10" sqref="Y1:GC104857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1</v>
      </c>
      <c r="B2" s="1101"/>
      <c r="C2" s="1101"/>
      <c r="D2" s="1101"/>
      <c r="E2" s="1101"/>
      <c r="F2" s="89"/>
      <c r="G2" s="89"/>
      <c r="H2" s="275"/>
      <c r="I2" s="274"/>
      <c r="J2" s="227"/>
      <c r="K2" s="227"/>
      <c r="L2" s="227"/>
      <c r="M2" s="227"/>
      <c r="N2" s="227"/>
      <c r="O2" s="227"/>
      <c r="P2" s="89"/>
      <c r="Q2" s="89"/>
      <c r="R2" s="89"/>
      <c r="S2" s="89"/>
      <c r="T2" s="89"/>
      <c r="U2" s="89"/>
      <c r="V2" s="89"/>
      <c r="W2" s="122" t="s">
        <v>31</v>
      </c>
      <c r="X2" s="122" t="s">
        <v>31</v>
      </c>
      <c r="Y2"/>
      <c r="Z2" s="89"/>
      <c r="AB2" s="89"/>
      <c r="AC2" s="89"/>
      <c r="AH2" s="89"/>
      <c r="AI2" s="89"/>
      <c r="CX2" s="244"/>
      <c r="CZ2"/>
    </row>
    <row r="3" spans="1:185" ht="17" thickBot="1">
      <c r="A3" s="1130" t="s">
        <v>309</v>
      </c>
      <c r="B3" s="1131"/>
      <c r="C3" s="1131"/>
      <c r="D3" s="1131"/>
      <c r="E3" s="1131"/>
      <c r="F3" s="1131"/>
      <c r="G3" s="1131"/>
      <c r="H3" s="1131"/>
      <c r="I3" s="1131"/>
      <c r="J3" s="1131"/>
      <c r="K3" s="1131"/>
      <c r="L3" s="1131"/>
      <c r="M3" s="1131"/>
      <c r="N3" s="1131"/>
      <c r="O3" s="1131"/>
      <c r="P3" s="1131"/>
      <c r="Q3" s="1131"/>
      <c r="R3" s="1131"/>
      <c r="S3" s="1131"/>
      <c r="T3" s="1131"/>
      <c r="U3" s="1131"/>
      <c r="V3" s="1131"/>
      <c r="W3" s="1131"/>
      <c r="X3" s="1132"/>
      <c r="Y3" s="89"/>
      <c r="Z3"/>
      <c r="AC3" s="89"/>
      <c r="AD3" s="89"/>
      <c r="AF3" s="89"/>
      <c r="CT3" s="244"/>
      <c r="CU3" s="244"/>
      <c r="CY3"/>
      <c r="CZ3"/>
      <c r="FI3" s="893" t="s">
        <v>623</v>
      </c>
      <c r="FJ3" s="894"/>
      <c r="FK3" s="894"/>
      <c r="FL3" s="894"/>
      <c r="FM3" s="894"/>
      <c r="FN3" s="894"/>
      <c r="FO3" s="894"/>
      <c r="FP3" s="894"/>
      <c r="FQ3" s="894"/>
      <c r="FR3" s="894"/>
      <c r="FS3" s="894"/>
      <c r="FT3" s="894"/>
      <c r="FU3" s="894"/>
      <c r="FV3" s="894"/>
      <c r="FW3" s="894"/>
      <c r="FX3" s="894"/>
      <c r="FY3" s="894"/>
      <c r="FZ3" s="894"/>
      <c r="GA3" s="894"/>
      <c r="GB3" s="894"/>
      <c r="GC3" s="895"/>
    </row>
    <row r="4" spans="1:185" ht="254" customHeight="1" thickBot="1">
      <c r="A4" s="930" t="s">
        <v>431</v>
      </c>
      <c r="B4" s="931"/>
      <c r="C4" s="931"/>
      <c r="D4" s="931"/>
      <c r="E4" s="935" t="s">
        <v>310</v>
      </c>
      <c r="F4" s="935"/>
      <c r="G4" s="935"/>
      <c r="H4" s="276" t="s">
        <v>413</v>
      </c>
      <c r="I4" s="432" t="s">
        <v>466</v>
      </c>
      <c r="J4" s="432" t="s">
        <v>467</v>
      </c>
      <c r="K4" s="946" t="s">
        <v>514</v>
      </c>
      <c r="L4" s="946"/>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5" t="s">
        <v>621</v>
      </c>
      <c r="FJ4" s="745"/>
      <c r="FK4" s="745"/>
      <c r="FL4" s="745"/>
      <c r="FM4" t="s">
        <v>614</v>
      </c>
      <c r="FO4" s="745" t="s">
        <v>620</v>
      </c>
      <c r="FP4" s="745"/>
      <c r="FQ4" s="745"/>
      <c r="FR4" s="745"/>
    </row>
    <row r="5" spans="1:185" ht="26" customHeight="1" thickBot="1">
      <c r="A5" s="947" t="str">
        <f>""&amp;A7&amp;" måneds kalender for: "&amp;Stamoplysninger!E8&amp;". Måneden vedr. normperioden: "&amp;Stamoplysninger!E11&amp;" - "&amp;Stamoplysninger!G11&amp;"."</f>
        <v>Januar måneds kalender for: . Måneden vedr. normperioden:  - .</v>
      </c>
      <c r="B5" s="948"/>
      <c r="C5" s="948"/>
      <c r="D5" s="948"/>
      <c r="E5" s="948"/>
      <c r="F5" s="948"/>
      <c r="G5" s="948"/>
      <c r="H5" s="948"/>
      <c r="I5" s="948"/>
      <c r="J5" s="948"/>
      <c r="K5" s="948"/>
      <c r="L5" s="948"/>
      <c r="M5" s="948"/>
      <c r="N5" s="948"/>
      <c r="O5" s="948"/>
      <c r="P5" s="948"/>
      <c r="Q5" s="948"/>
      <c r="R5" s="948"/>
      <c r="S5" s="940" t="s">
        <v>305</v>
      </c>
      <c r="T5" s="941"/>
      <c r="U5" s="941"/>
      <c r="V5" s="941"/>
      <c r="W5" s="941"/>
      <c r="X5" s="942"/>
      <c r="Y5" s="242"/>
      <c r="Z5" s="89"/>
      <c r="AB5" s="89"/>
      <c r="AC5" s="89"/>
      <c r="AH5" s="89"/>
      <c r="AI5" s="89"/>
      <c r="CX5" s="244"/>
      <c r="CZ5"/>
      <c r="FI5" s="896" t="s">
        <v>607</v>
      </c>
      <c r="FJ5" s="896"/>
      <c r="FK5" s="896"/>
      <c r="FL5" s="896"/>
      <c r="FM5" s="896"/>
      <c r="FN5" s="896"/>
      <c r="FO5" s="896"/>
      <c r="FP5" s="896"/>
      <c r="FQ5" s="896"/>
      <c r="FR5" s="896"/>
      <c r="FU5" t="s">
        <v>622</v>
      </c>
      <c r="FV5" t="s">
        <v>615</v>
      </c>
      <c r="FX5" t="s">
        <v>616</v>
      </c>
      <c r="FZ5" t="s">
        <v>617</v>
      </c>
      <c r="GB5" s="518" t="s">
        <v>618</v>
      </c>
    </row>
    <row r="6" spans="1:185" ht="47" customHeight="1">
      <c r="A6" s="324">
        <v>2025</v>
      </c>
      <c r="B6" s="238"/>
      <c r="C6" s="239"/>
      <c r="D6" s="240"/>
      <c r="E6" s="955" t="s">
        <v>470</v>
      </c>
      <c r="F6" s="956"/>
      <c r="G6" s="957"/>
      <c r="H6" s="321" t="s">
        <v>323</v>
      </c>
      <c r="I6" s="903" t="s">
        <v>465</v>
      </c>
      <c r="J6" s="953" t="s">
        <v>486</v>
      </c>
      <c r="K6" s="949" t="s">
        <v>302</v>
      </c>
      <c r="L6" s="950"/>
      <c r="M6" s="322" t="s">
        <v>303</v>
      </c>
      <c r="N6" s="903" t="s">
        <v>446</v>
      </c>
      <c r="O6" s="903" t="s">
        <v>307</v>
      </c>
      <c r="P6" s="903" t="s">
        <v>455</v>
      </c>
      <c r="Q6" s="903" t="s">
        <v>386</v>
      </c>
      <c r="R6" s="906" t="s">
        <v>515</v>
      </c>
      <c r="S6" s="968" t="s">
        <v>304</v>
      </c>
      <c r="T6" s="969"/>
      <c r="U6" s="969"/>
      <c r="V6" s="969"/>
      <c r="W6" s="969"/>
      <c r="X6" s="970"/>
      <c r="Y6" s="211"/>
      <c r="Z6" s="211"/>
      <c r="AA6" s="905" t="s">
        <v>261</v>
      </c>
      <c r="AB6" s="905"/>
      <c r="AC6" s="905"/>
      <c r="AD6" s="905"/>
      <c r="AE6" s="905"/>
      <c r="AF6" s="208"/>
      <c r="AG6" s="905" t="s">
        <v>222</v>
      </c>
      <c r="AH6" s="905"/>
      <c r="AI6" s="905"/>
      <c r="AJ6" s="905"/>
      <c r="AK6" s="905"/>
      <c r="AL6" s="905" t="s">
        <v>223</v>
      </c>
      <c r="AM6" s="905"/>
      <c r="AN6" s="905"/>
      <c r="AO6" s="905"/>
      <c r="AP6" s="905"/>
      <c r="AQ6" s="905" t="s">
        <v>224</v>
      </c>
      <c r="AR6" s="905"/>
      <c r="AS6" s="905"/>
      <c r="AT6" s="905"/>
      <c r="AU6" s="905"/>
      <c r="AV6" s="905" t="s">
        <v>225</v>
      </c>
      <c r="AW6" s="905"/>
      <c r="AX6" s="905"/>
      <c r="AY6" s="905"/>
      <c r="AZ6" s="905"/>
      <c r="BA6" s="295"/>
      <c r="BB6" s="208"/>
      <c r="BC6" s="905" t="s">
        <v>264</v>
      </c>
      <c r="BD6" s="905"/>
      <c r="BE6" s="905"/>
      <c r="BF6" s="905"/>
      <c r="BG6" s="905" t="s">
        <v>227</v>
      </c>
      <c r="BH6" s="905"/>
      <c r="BI6" s="905"/>
      <c r="BJ6" s="905"/>
      <c r="BK6" s="905"/>
      <c r="BL6" s="905" t="s">
        <v>228</v>
      </c>
      <c r="BM6" s="905"/>
      <c r="BN6" s="905"/>
      <c r="BO6" s="905"/>
      <c r="BP6" s="905"/>
      <c r="BQ6" s="905" t="s">
        <v>229</v>
      </c>
      <c r="BR6" s="905"/>
      <c r="BS6" s="905"/>
      <c r="BT6" s="905"/>
      <c r="BU6" s="905"/>
      <c r="BV6" s="905" t="s">
        <v>230</v>
      </c>
      <c r="BW6" s="905"/>
      <c r="BX6" s="905"/>
      <c r="BY6" s="905"/>
      <c r="BZ6" s="905"/>
      <c r="CD6" s="905" t="s">
        <v>265</v>
      </c>
      <c r="CE6" s="905"/>
      <c r="CF6" s="905"/>
      <c r="CG6" s="905"/>
      <c r="CH6" s="905"/>
      <c r="CI6" s="905" t="s">
        <v>267</v>
      </c>
      <c r="CJ6" s="905"/>
      <c r="CK6" s="905"/>
      <c r="CL6" s="905"/>
      <c r="CM6" s="905"/>
      <c r="CN6" s="905" t="s">
        <v>266</v>
      </c>
      <c r="CO6" s="905"/>
      <c r="CP6" s="905"/>
      <c r="CQ6" s="905"/>
      <c r="CR6" s="905"/>
      <c r="CS6" s="905" t="s">
        <v>268</v>
      </c>
      <c r="CT6" s="905"/>
      <c r="CU6" s="905"/>
      <c r="CV6" s="905"/>
      <c r="CW6" s="905"/>
      <c r="CX6" s="244"/>
      <c r="CZ6"/>
      <c r="DA6" s="745" t="s">
        <v>212</v>
      </c>
      <c r="DB6" s="745"/>
      <c r="DC6" s="745"/>
      <c r="DD6" s="745"/>
      <c r="DE6" s="745"/>
      <c r="DO6" s="1064" t="s">
        <v>319</v>
      </c>
      <c r="DP6" s="1065"/>
      <c r="DQ6" s="1065"/>
      <c r="DR6" s="1065"/>
      <c r="DS6" s="1065"/>
      <c r="DT6" s="1065"/>
      <c r="DU6" s="1065"/>
      <c r="DV6" s="1066"/>
      <c r="DW6" s="1067" t="s">
        <v>319</v>
      </c>
      <c r="DX6" s="1068"/>
      <c r="DY6" s="1068"/>
      <c r="DZ6" s="1068"/>
      <c r="EA6" s="1068"/>
      <c r="EB6" s="1069"/>
      <c r="EC6" s="1070" t="s">
        <v>375</v>
      </c>
      <c r="ED6" s="1071"/>
      <c r="EE6" s="1071"/>
      <c r="EF6" s="1071"/>
      <c r="EG6" s="1071"/>
      <c r="EH6" s="1071"/>
      <c r="EI6" s="1071"/>
      <c r="EJ6" s="1072"/>
      <c r="EK6" s="1073" t="s">
        <v>320</v>
      </c>
      <c r="EL6" s="1074"/>
      <c r="EM6" s="1074"/>
      <c r="EN6" s="1075"/>
      <c r="EO6" s="1073" t="s">
        <v>324</v>
      </c>
      <c r="EP6" s="1074"/>
      <c r="EQ6" s="1074"/>
      <c r="ER6" s="1075"/>
      <c r="ES6" s="888" t="s">
        <v>378</v>
      </c>
      <c r="ET6" s="889"/>
      <c r="EU6" s="889"/>
      <c r="EV6" s="890"/>
      <c r="EW6" s="888" t="s">
        <v>379</v>
      </c>
      <c r="EX6" s="889"/>
      <c r="EY6" s="889"/>
      <c r="EZ6" s="890"/>
      <c r="FA6" s="888" t="s">
        <v>380</v>
      </c>
      <c r="FB6" s="889"/>
      <c r="FC6" s="889"/>
      <c r="FD6" s="890"/>
      <c r="FE6" s="888" t="s">
        <v>381</v>
      </c>
      <c r="FF6" s="889"/>
      <c r="FG6" s="889"/>
      <c r="FH6" s="890"/>
      <c r="FI6" s="898" t="s">
        <v>592</v>
      </c>
      <c r="FJ6" s="899"/>
      <c r="FK6" s="899"/>
      <c r="FL6" s="1076"/>
      <c r="FM6" s="897" t="s">
        <v>380</v>
      </c>
      <c r="FN6" s="897"/>
      <c r="FO6" s="898" t="s">
        <v>619</v>
      </c>
      <c r="FP6" s="899"/>
      <c r="FQ6" s="899"/>
      <c r="FR6" s="900"/>
      <c r="FS6" s="901" t="s">
        <v>609</v>
      </c>
      <c r="FT6" s="902"/>
      <c r="FU6" t="s">
        <v>612</v>
      </c>
      <c r="FV6" s="897" t="s">
        <v>378</v>
      </c>
      <c r="FW6" s="897"/>
      <c r="FX6" s="897" t="s">
        <v>379</v>
      </c>
      <c r="FY6" s="897"/>
      <c r="FZ6" s="897" t="s">
        <v>381</v>
      </c>
      <c r="GA6" s="897"/>
      <c r="GB6" s="897" t="s">
        <v>377</v>
      </c>
      <c r="GC6" s="897"/>
    </row>
    <row r="7" spans="1:185" ht="182" customHeight="1">
      <c r="A7" s="1012" t="s">
        <v>283</v>
      </c>
      <c r="B7" s="1013"/>
      <c r="C7" s="1013"/>
      <c r="D7" s="1014"/>
      <c r="E7" s="958"/>
      <c r="F7" s="959"/>
      <c r="G7" s="960"/>
      <c r="H7" s="967" t="s">
        <v>485</v>
      </c>
      <c r="I7" s="952"/>
      <c r="J7" s="954"/>
      <c r="K7" s="323" t="s">
        <v>516</v>
      </c>
      <c r="L7" s="323" t="s">
        <v>517</v>
      </c>
      <c r="M7" s="323" t="s">
        <v>518</v>
      </c>
      <c r="N7" s="904"/>
      <c r="O7" s="904"/>
      <c r="P7" s="904"/>
      <c r="Q7" s="904"/>
      <c r="R7" s="907"/>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1015"/>
      <c r="B8" s="1016"/>
      <c r="C8" s="1016"/>
      <c r="D8" s="1017"/>
      <c r="E8" s="961"/>
      <c r="F8" s="962"/>
      <c r="G8" s="963"/>
      <c r="H8" s="904"/>
      <c r="I8" s="943" t="s">
        <v>382</v>
      </c>
      <c r="J8" s="951"/>
      <c r="K8" s="943" t="s">
        <v>325</v>
      </c>
      <c r="L8" s="944"/>
      <c r="M8" s="944"/>
      <c r="N8" s="944"/>
      <c r="O8" s="944"/>
      <c r="P8" s="944"/>
      <c r="Q8" s="944"/>
      <c r="R8" s="944"/>
      <c r="S8" s="971" t="s">
        <v>382</v>
      </c>
      <c r="T8" s="944"/>
      <c r="U8" s="951"/>
      <c r="V8" s="943" t="s">
        <v>383</v>
      </c>
      <c r="W8" s="944"/>
      <c r="X8" s="945"/>
      <c r="Y8" s="211"/>
      <c r="Z8" s="211"/>
      <c r="AA8" s="296"/>
      <c r="BB8" s="225"/>
      <c r="CA8" s="111"/>
      <c r="CB8" s="230"/>
      <c r="CC8" s="296"/>
      <c r="CX8" s="244"/>
      <c r="DA8" s="244"/>
      <c r="DB8" s="244"/>
      <c r="DC8" s="244"/>
      <c r="DD8" s="244"/>
      <c r="DE8" s="244"/>
      <c r="DF8" s="244"/>
      <c r="DG8" s="244"/>
      <c r="DH8" t="s">
        <v>492</v>
      </c>
      <c r="DI8" t="s">
        <v>493</v>
      </c>
      <c r="DJ8" t="s">
        <v>494</v>
      </c>
      <c r="DO8" s="643"/>
      <c r="DS8" s="1078" t="s">
        <v>162</v>
      </c>
      <c r="DT8" s="1078"/>
      <c r="DU8" s="1078"/>
      <c r="DV8" s="1079"/>
      <c r="DW8" s="643"/>
      <c r="DZ8" s="1080" t="s">
        <v>162</v>
      </c>
      <c r="EA8" s="1080"/>
      <c r="EB8" s="1081"/>
      <c r="EG8" s="1080" t="s">
        <v>162</v>
      </c>
      <c r="EH8" s="1080"/>
      <c r="EI8" s="1080"/>
      <c r="EJ8" s="644"/>
      <c r="EK8" s="279"/>
      <c r="EL8" s="247"/>
      <c r="EM8" s="891" t="s">
        <v>162</v>
      </c>
      <c r="EN8" s="892"/>
      <c r="EO8" s="279"/>
      <c r="EP8" s="247"/>
      <c r="EQ8" s="891" t="s">
        <v>162</v>
      </c>
      <c r="ER8" s="892"/>
      <c r="ES8" s="279"/>
      <c r="ET8" s="247"/>
      <c r="EU8" s="891" t="s">
        <v>162</v>
      </c>
      <c r="EV8" s="892"/>
      <c r="EW8" s="279"/>
      <c r="EX8" s="247"/>
      <c r="EY8" s="891" t="s">
        <v>162</v>
      </c>
      <c r="EZ8" s="892"/>
      <c r="FA8" s="279"/>
      <c r="FB8" s="247"/>
      <c r="FC8" s="891" t="s">
        <v>162</v>
      </c>
      <c r="FD8" s="892"/>
      <c r="FE8" s="279"/>
      <c r="FF8" s="247"/>
      <c r="FG8" s="891" t="s">
        <v>162</v>
      </c>
      <c r="FH8" s="892"/>
      <c r="FI8" s="279"/>
      <c r="FJ8" s="247"/>
      <c r="FK8" s="891" t="s">
        <v>162</v>
      </c>
      <c r="FL8" s="892"/>
      <c r="FN8" s="636" t="s">
        <v>160</v>
      </c>
      <c r="FO8" s="279"/>
      <c r="FP8" s="247"/>
      <c r="FQ8" s="891" t="s">
        <v>162</v>
      </c>
      <c r="FR8" s="1077"/>
      <c r="FS8" s="279"/>
      <c r="FT8" s="683" t="s">
        <v>160</v>
      </c>
      <c r="FW8" s="636" t="s">
        <v>160</v>
      </c>
      <c r="FY8" s="636" t="s">
        <v>160</v>
      </c>
      <c r="GA8" s="636" t="s">
        <v>160</v>
      </c>
      <c r="GC8" s="636" t="s">
        <v>160</v>
      </c>
    </row>
    <row r="9" spans="1:185">
      <c r="A9" s="241">
        <f>IF(ISNUMBER(A7),A7+1,1)</f>
        <v>1</v>
      </c>
      <c r="B9" s="127" t="str">
        <f t="shared" ref="B9:B39" si="0">CHOOSE(MOD(WEEKDAY(DATE(A$6,A$2,A9)),7)+1,"lø","sø","ma","ti","on","to","fr",)</f>
        <v>on</v>
      </c>
      <c r="C9" s="128" t="s">
        <v>119</v>
      </c>
      <c r="D9" s="129" t="str">
        <f t="shared" ref="D9:D39" si="1">IF(B9="ma",(DATE(A$6,A$2,A9)-DATE(A$6,1,1)+7)/7,"")</f>
        <v/>
      </c>
      <c r="E9" s="932" t="s">
        <v>141</v>
      </c>
      <c r="F9" s="933"/>
      <c r="G9" s="934"/>
      <c r="H9" s="294"/>
      <c r="I9" s="407"/>
      <c r="J9" s="407"/>
      <c r="K9" s="374"/>
      <c r="L9" s="374"/>
      <c r="M9" s="374"/>
      <c r="N9" s="313">
        <f>BA9</f>
        <v>0</v>
      </c>
      <c r="O9" s="313">
        <f>CA9</f>
        <v>0</v>
      </c>
      <c r="P9" s="313">
        <f>IF(Stamoplysninger!$H$29="JA",Januar!DG9,CX9)</f>
        <v>0</v>
      </c>
      <c r="Q9" s="313">
        <f>IF(OR(C9="Lejrskole",C9="Ekskursion"),0,N9-O9-P9)</f>
        <v>0</v>
      </c>
      <c r="R9" s="314"/>
      <c r="S9" s="319"/>
      <c r="T9" s="320"/>
      <c r="U9" s="320"/>
      <c r="V9" s="429"/>
      <c r="W9" s="406"/>
      <c r="X9" s="633"/>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9" si="8">SUM(AG9:AK9)*24</f>
        <v>0</v>
      </c>
      <c r="BC9" s="1">
        <f>IF($C$9="Lejrskole",$L$9,0)</f>
        <v>0</v>
      </c>
      <c r="BD9" s="1">
        <f t="shared" ref="BD9:BD39" si="9">IF(C9="Ekskursion",L9,0)</f>
        <v>0</v>
      </c>
      <c r="BE9" s="1">
        <f t="shared" ref="BE9:BE39" si="10">IF(C9="fagdag",L9,0)</f>
        <v>0</v>
      </c>
      <c r="BF9" s="1">
        <f t="shared" ref="BF9:BF39" si="11">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9" si="12">IF(C9="fagdag",M9,0)</f>
        <v>0</v>
      </c>
      <c r="CC9" s="1">
        <f t="shared" ref="CC9:CC39" si="13">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t="str">
        <f>IF(H9="",E9,"")</f>
        <v>Nytårsdag</v>
      </c>
      <c r="DJ9" t="str">
        <f>IF(E9="",H9,"")</f>
        <v/>
      </c>
      <c r="DK9" t="str">
        <f t="shared" ref="DK9:DM38" si="14">IF(DH9=0,"",DH9)</f>
        <v/>
      </c>
      <c r="DL9" t="str">
        <f>IF(DI9=0,"",DI9)</f>
        <v>Nytårsdag</v>
      </c>
      <c r="DM9" t="str">
        <f>IF(DJ9=0,"",DJ9)</f>
        <v/>
      </c>
      <c r="DN9" t="str">
        <f>DK9&amp;""&amp;DL9&amp;""&amp;DM9</f>
        <v>Nytårsdag</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5">IF(AND(I9="X",S9="X"),V9,0)</f>
        <v>0</v>
      </c>
      <c r="FT9" s="649">
        <f t="shared" ref="FT9:FT37"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to</v>
      </c>
      <c r="C10" s="128" t="s">
        <v>128</v>
      </c>
      <c r="D10" s="129" t="str">
        <f t="shared" si="1"/>
        <v/>
      </c>
      <c r="E10" s="932"/>
      <c r="F10" s="933"/>
      <c r="G10" s="934"/>
      <c r="H10" s="294"/>
      <c r="I10" s="519"/>
      <c r="J10" s="407"/>
      <c r="K10" s="374"/>
      <c r="L10" s="374"/>
      <c r="M10" s="374"/>
      <c r="N10" s="313">
        <f t="shared" ref="N10:N39" si="19">BA10</f>
        <v>0</v>
      </c>
      <c r="O10" s="313">
        <f t="shared" ref="O10:O39" si="20">CA10</f>
        <v>0</v>
      </c>
      <c r="P10" s="313">
        <f>IF(Stamoplysninger!$H$29="JA",Januar!DG10,CX10)</f>
        <v>0</v>
      </c>
      <c r="Q10" s="313">
        <f t="shared" ref="Q10:Q39" si="21">IF(OR(C10="Lejrskole",C10="Ekskursion"),0,N10-O10-P10)</f>
        <v>0</v>
      </c>
      <c r="R10" s="314"/>
      <c r="S10" s="319"/>
      <c r="T10" s="320"/>
      <c r="U10" s="320"/>
      <c r="V10" s="429"/>
      <c r="W10" s="406"/>
      <c r="X10" s="633"/>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6">
        <f t="shared" si="8"/>
        <v>0</v>
      </c>
      <c r="BC10" s="1">
        <f t="shared" ref="BC10:BC39" si="24">IF(C10="Lejrskole",L10,0)</f>
        <v>0</v>
      </c>
      <c r="BD10" s="1">
        <f t="shared" si="9"/>
        <v>0</v>
      </c>
      <c r="BE10" s="1">
        <f t="shared" si="10"/>
        <v>0</v>
      </c>
      <c r="BF10" s="1">
        <f t="shared" si="11"/>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9" si="25">SUM(BG10:BZ10)*24+SUM(BC10:BF10)</f>
        <v>0</v>
      </c>
      <c r="CB10" s="1">
        <f t="shared" si="12"/>
        <v>0</v>
      </c>
      <c r="CC10" s="1">
        <f t="shared" si="13"/>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fr</v>
      </c>
      <c r="C11" s="128" t="s">
        <v>128</v>
      </c>
      <c r="D11" s="129" t="str">
        <f t="shared" si="1"/>
        <v/>
      </c>
      <c r="E11" s="932"/>
      <c r="F11" s="933"/>
      <c r="G11" s="934"/>
      <c r="H11" s="294"/>
      <c r="I11" s="519"/>
      <c r="J11" s="407"/>
      <c r="K11" s="374"/>
      <c r="L11" s="374"/>
      <c r="M11" s="374"/>
      <c r="N11" s="313">
        <f t="shared" si="19"/>
        <v>0</v>
      </c>
      <c r="O11" s="313">
        <f t="shared" si="20"/>
        <v>0</v>
      </c>
      <c r="P11" s="313">
        <f>IF(Stamoplysninger!$H$29="JA",Januar!DG11,CX11)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t="str">
        <f>IF(AND(C11="Skema 1",B11="ma"),Skemaoplysninger!$E$30,"")</f>
        <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t="str">
        <f>IF(AND(C11="Skema 1",B11="ma"),Skemaoplysninger!$E$31,"")</f>
        <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lø</v>
      </c>
      <c r="C12" s="128" t="s">
        <v>120</v>
      </c>
      <c r="D12" s="129" t="str">
        <f t="shared" si="1"/>
        <v/>
      </c>
      <c r="E12" s="932"/>
      <c r="F12" s="933"/>
      <c r="G12" s="934"/>
      <c r="H12" s="294"/>
      <c r="I12" s="407"/>
      <c r="J12" s="407"/>
      <c r="K12" s="374"/>
      <c r="L12" s="374"/>
      <c r="M12" s="374"/>
      <c r="N12" s="313">
        <f t="shared" si="19"/>
        <v>0</v>
      </c>
      <c r="O12" s="313">
        <f t="shared" si="20"/>
        <v>0</v>
      </c>
      <c r="P12" s="313">
        <f>IF(Stamoplysninger!$H$29="JA",Januar!DG12,CX12)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t="str">
        <f>IF(AND(C12="Skema 1",B12="ti"),Skemaoplysninger!$G$30,"")</f>
        <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t="str">
        <f>IF(AND(C12="Skema 1",B12="ti"),Skemaoplysninger!$G$31,"")</f>
        <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sø</v>
      </c>
      <c r="C13" s="128" t="s">
        <v>120</v>
      </c>
      <c r="D13" s="129" t="str">
        <f t="shared" si="1"/>
        <v/>
      </c>
      <c r="E13" s="932"/>
      <c r="F13" s="933"/>
      <c r="G13" s="934"/>
      <c r="H13" s="294"/>
      <c r="I13" s="407"/>
      <c r="J13" s="407"/>
      <c r="K13" s="374"/>
      <c r="L13" s="374"/>
      <c r="M13" s="374"/>
      <c r="N13" s="313">
        <f t="shared" si="19"/>
        <v>0</v>
      </c>
      <c r="O13" s="313">
        <f t="shared" si="20"/>
        <v>0</v>
      </c>
      <c r="P13" s="313">
        <f>IF(Stamoplysninger!$H$29="JA",Januar!DG13,CX13)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ma</v>
      </c>
      <c r="C14" s="128" t="s">
        <v>206</v>
      </c>
      <c r="D14" s="129">
        <f t="shared" si="1"/>
        <v>1.7142857142857142</v>
      </c>
      <c r="E14" s="932"/>
      <c r="F14" s="933"/>
      <c r="G14" s="934"/>
      <c r="H14" s="294"/>
      <c r="I14" s="519"/>
      <c r="J14" s="407"/>
      <c r="K14" s="374"/>
      <c r="L14" s="374"/>
      <c r="M14" s="374"/>
      <c r="N14" s="313">
        <f t="shared" si="19"/>
        <v>0</v>
      </c>
      <c r="O14" s="313">
        <f t="shared" si="20"/>
        <v>0</v>
      </c>
      <c r="P14" s="313">
        <f>IF(Stamoplysninger!$H$29="JA",Januar!DG14,CX14)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f>IF(AND(C14="Skema 1",B14="ma"),Arbejdstidsoversigt!$E$72,"")</f>
        <v>0</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f>IF(AND(C14="Skema 1",B14="ma"),Skemaoplysninger!$E$30,"")</f>
        <v>0</v>
      </c>
      <c r="BH14" s="209" t="str">
        <f>IF(AND(C14="Skema 1",B14="ti"),Skemaoplysninger!$G$30,"")</f>
        <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f>IF(AND(C14="Skema 1",B14="ma"),Skemaoplysninger!$E$31,"")</f>
        <v>0</v>
      </c>
      <c r="CE14" s="209" t="str">
        <f>IF(AND(C14="Skema 1",B14="ti"),Skemaoplysninger!$G$31,"")</f>
        <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ti</v>
      </c>
      <c r="C15" s="128" t="s">
        <v>206</v>
      </c>
      <c r="D15" s="129" t="str">
        <f t="shared" si="1"/>
        <v/>
      </c>
      <c r="E15" s="932"/>
      <c r="F15" s="933"/>
      <c r="G15" s="934"/>
      <c r="H15" s="294"/>
      <c r="I15" s="519"/>
      <c r="J15" s="407"/>
      <c r="K15" s="374"/>
      <c r="L15" s="374"/>
      <c r="M15" s="374"/>
      <c r="N15" s="313">
        <f t="shared" si="19"/>
        <v>0</v>
      </c>
      <c r="O15" s="313">
        <f t="shared" si="20"/>
        <v>0</v>
      </c>
      <c r="P15" s="313">
        <f>IF(Stamoplysninger!$H$29="JA",Januar!DG15,CX15)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f>IF(AND(C15="Skema 1",B15="ti"),Arbejdstidsoversigt!$E$73,"")</f>
        <v>0</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t="str">
        <f>IF(AND(C15="Skema 1",B15="ma"),Skemaoplysninger!$E$30,"")</f>
        <v/>
      </c>
      <c r="BH15" s="209">
        <f>IF(AND(C15="Skema 1",B15="ti"),Skemaoplysninger!$G$30,"")</f>
        <v>0</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t="str">
        <f>IF(AND(C15="Skema 1",B15="ma"),Skemaoplysninger!$E$31,"")</f>
        <v/>
      </c>
      <c r="CE15" s="209">
        <f>IF(AND(C15="Skema 1",B15="ti"),Skemaoplysninger!$G$31,"")</f>
        <v>0</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on</v>
      </c>
      <c r="C16" s="128" t="s">
        <v>206</v>
      </c>
      <c r="D16" s="129" t="str">
        <f t="shared" si="1"/>
        <v/>
      </c>
      <c r="E16" s="932"/>
      <c r="F16" s="933"/>
      <c r="G16" s="934"/>
      <c r="H16" s="294"/>
      <c r="I16" s="519"/>
      <c r="J16" s="407"/>
      <c r="K16" s="374"/>
      <c r="L16" s="374"/>
      <c r="M16" s="374"/>
      <c r="N16" s="313">
        <f t="shared" si="19"/>
        <v>0</v>
      </c>
      <c r="O16" s="313">
        <f t="shared" si="20"/>
        <v>0</v>
      </c>
      <c r="P16" s="313">
        <f>IF(Stamoplysninger!$H$29="JA",Januar!DG16,CX16)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f>IF(AND(C16="Skema 1",B16="on"),Arbejdstidsoversigt!$E$74,"")</f>
        <v>0</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t="str">
        <f>IF(AND(C16="Skema 1",B16="ti"),Skemaoplysninger!$G$30,"")</f>
        <v/>
      </c>
      <c r="BI16" s="209">
        <f>IF(AND(C16="Skema 1",B16="on"),Skemaoplysninger!$I$30,"")</f>
        <v>0</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t="str">
        <f>IF(AND(C16="Skema 1",B16="ti"),Skemaoplysninger!$G$31,"")</f>
        <v/>
      </c>
      <c r="CF16" s="209">
        <f>IF(AND(C16="Skema 1",B16="on"),Skemaoplysninger!$I$31,"")</f>
        <v>0</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4"/>
        <v/>
      </c>
      <c r="DL16" t="str">
        <f t="shared" si="14"/>
        <v/>
      </c>
      <c r="DM16" t="str">
        <f t="shared" si="14"/>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to</v>
      </c>
      <c r="C17" s="128" t="s">
        <v>206</v>
      </c>
      <c r="D17" s="129" t="str">
        <f t="shared" si="1"/>
        <v/>
      </c>
      <c r="E17" s="932"/>
      <c r="F17" s="933"/>
      <c r="G17" s="934"/>
      <c r="H17" s="294"/>
      <c r="I17" s="519"/>
      <c r="J17" s="407"/>
      <c r="K17" s="374"/>
      <c r="L17" s="374"/>
      <c r="M17" s="374"/>
      <c r="N17" s="313">
        <f t="shared" si="19"/>
        <v>0</v>
      </c>
      <c r="O17" s="313">
        <f t="shared" si="20"/>
        <v>0</v>
      </c>
      <c r="P17" s="313">
        <f>IF(Stamoplysninger!$H$29="JA",Januar!DG17,CX17)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f>IF(AND(C17="Skema 1",B17="to"),Arbejdstidsoversigt!$E$75,"")</f>
        <v>0</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t="str">
        <f>IF(AND(C17="Skema 1",B17="ma"),Skemaoplysninger!$E$30,"")</f>
        <v/>
      </c>
      <c r="BH17" s="209" t="str">
        <f>IF(AND(C17="Skema 1",B17="ti"),Skemaoplysninger!$G$30,"")</f>
        <v/>
      </c>
      <c r="BI17" s="209" t="str">
        <f>IF(AND(C17="Skema 1",B17="on"),Skemaoplysninger!$I$30,"")</f>
        <v/>
      </c>
      <c r="BJ17" s="209">
        <f>IF(AND(C17="Skema 1",B17="to"),Skemaoplysninger!$K$30,"")</f>
        <v>0</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t="str">
        <f>IF(AND(C17="Skema 1",B17="ma"),Skemaoplysninger!$E$31,"")</f>
        <v/>
      </c>
      <c r="CE17" s="209" t="str">
        <f>IF(AND(C17="Skema 1",B17="ti"),Skemaoplysninger!$G$31,"")</f>
        <v/>
      </c>
      <c r="CF17" s="209" t="str">
        <f>IF(AND(C17="Skema 1",B17="on"),Skemaoplysninger!$I$31,"")</f>
        <v/>
      </c>
      <c r="CG17" s="209">
        <f>IF(AND(C17="Skema 1",B17="to"),Skemaoplysninger!$K$31,"")</f>
        <v>0</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4"/>
        <v/>
      </c>
      <c r="DL17" t="str">
        <f t="shared" si="14"/>
        <v/>
      </c>
      <c r="DM17" t="str">
        <f t="shared" si="14"/>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fr</v>
      </c>
      <c r="C18" s="128" t="s">
        <v>206</v>
      </c>
      <c r="D18" s="129" t="str">
        <f t="shared" si="1"/>
        <v/>
      </c>
      <c r="E18" s="932"/>
      <c r="F18" s="933"/>
      <c r="G18" s="934"/>
      <c r="H18" s="294"/>
      <c r="I18" s="519"/>
      <c r="J18" s="407"/>
      <c r="K18" s="374"/>
      <c r="L18" s="374"/>
      <c r="M18" s="374"/>
      <c r="N18" s="313">
        <f t="shared" si="19"/>
        <v>0</v>
      </c>
      <c r="O18" s="313">
        <f t="shared" si="20"/>
        <v>0</v>
      </c>
      <c r="P18" s="313">
        <f>IF(Stamoplysninger!$H$29="JA",Januar!DG18,CX18)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f>IF(AND(C18="Skema 1",B18="fr"),Arbejdstidsoversigt!$E$76,"")</f>
        <v>0</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t="str">
        <f>IF(AND(C18="Skema 1",B18="ma"),Skemaoplysninger!$E$30,"")</f>
        <v/>
      </c>
      <c r="BH18" s="209" t="str">
        <f>IF(AND(C18="Skema 1",B18="ti"),Skemaoplysninger!$G$30,"")</f>
        <v/>
      </c>
      <c r="BI18" s="209" t="str">
        <f>IF(AND(C18="Skema 1",B18="on"),Skemaoplysninger!$I$30,"")</f>
        <v/>
      </c>
      <c r="BJ18" s="209" t="str">
        <f>IF(AND(C18="Skema 1",B18="to"),Skemaoplysninger!$K$30,"")</f>
        <v/>
      </c>
      <c r="BK18" s="209">
        <f>IF(AND(C18="Skema 1",B18="fr"),Skemaoplysninger!$M$30,"")</f>
        <v>0</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t="str">
        <f>IF(AND(C18="Skema 1",B18="ma"),Skemaoplysninger!$E$31,"")</f>
        <v/>
      </c>
      <c r="CE18" s="209" t="str">
        <f>IF(AND(C18="Skema 1",B18="ti"),Skemaoplysninger!$G$31,"")</f>
        <v/>
      </c>
      <c r="CF18" s="209" t="str">
        <f>IF(AND(C18="Skema 1",B18="on"),Skemaoplysninger!$I$31,"")</f>
        <v/>
      </c>
      <c r="CG18" s="209" t="str">
        <f>IF(AND(C18="Skema 1",B18="to"),Skemaoplysninger!$K$31,"")</f>
        <v/>
      </c>
      <c r="CH18" s="209">
        <f>IF(AND(C18="Skema 1",B18="fr"),Skemaoplysninger!$M$31,"")</f>
        <v>0</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4"/>
        <v/>
      </c>
      <c r="DL18" t="str">
        <f t="shared" si="14"/>
        <v/>
      </c>
      <c r="DM18" t="str">
        <f t="shared" si="14"/>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lø</v>
      </c>
      <c r="C19" s="128" t="s">
        <v>120</v>
      </c>
      <c r="D19" s="129" t="str">
        <f t="shared" si="1"/>
        <v/>
      </c>
      <c r="E19" s="932"/>
      <c r="F19" s="933"/>
      <c r="G19" s="934"/>
      <c r="H19" s="294"/>
      <c r="I19" s="407"/>
      <c r="J19" s="407"/>
      <c r="K19" s="374"/>
      <c r="L19" s="374"/>
      <c r="M19" s="374"/>
      <c r="N19" s="313">
        <f t="shared" si="19"/>
        <v>0</v>
      </c>
      <c r="O19" s="313">
        <f t="shared" si="20"/>
        <v>0</v>
      </c>
      <c r="P19" s="313">
        <f>IF(Stamoplysninger!$H$29="JA",Januar!DG19,CX19)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4"/>
        <v/>
      </c>
      <c r="DL19" t="str">
        <f t="shared" si="14"/>
        <v/>
      </c>
      <c r="DM19" t="str">
        <f t="shared" si="14"/>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sø</v>
      </c>
      <c r="C20" s="128" t="s">
        <v>120</v>
      </c>
      <c r="D20" s="129" t="str">
        <f t="shared" si="1"/>
        <v/>
      </c>
      <c r="E20" s="932"/>
      <c r="F20" s="933"/>
      <c r="G20" s="934"/>
      <c r="H20" s="294"/>
      <c r="I20" s="407"/>
      <c r="J20" s="407"/>
      <c r="K20" s="374"/>
      <c r="L20" s="374"/>
      <c r="M20" s="374"/>
      <c r="N20" s="313">
        <f t="shared" si="19"/>
        <v>0</v>
      </c>
      <c r="O20" s="313">
        <f t="shared" si="20"/>
        <v>0</v>
      </c>
      <c r="P20" s="313">
        <f>IF(Stamoplysninger!$H$29="JA",Januar!DG20,CX20)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ma</v>
      </c>
      <c r="C21" s="128" t="s">
        <v>206</v>
      </c>
      <c r="D21" s="129">
        <f t="shared" si="1"/>
        <v>2.7142857142857144</v>
      </c>
      <c r="E21" s="964"/>
      <c r="F21" s="965"/>
      <c r="G21" s="966"/>
      <c r="H21" s="293"/>
      <c r="I21" s="519"/>
      <c r="J21" s="407"/>
      <c r="K21" s="374"/>
      <c r="L21" s="374"/>
      <c r="M21" s="374"/>
      <c r="N21" s="313">
        <f t="shared" si="19"/>
        <v>0</v>
      </c>
      <c r="O21" s="313">
        <f t="shared" si="20"/>
        <v>0</v>
      </c>
      <c r="P21" s="313">
        <f>IF(Stamoplysninger!$H$29="JA",Januar!DG21,CX21)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f>IF(AND(C21="Skema 1",B21="ma"),Arbejdstidsoversigt!$E$72,"")</f>
        <v>0</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f>IF(AND(C21="Skema 1",B21="ma"),Skemaoplysninger!$E$30,"")</f>
        <v>0</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f>IF(AND(C21="Skema 1",B21="ma"),Skemaoplysninger!$E$31,"")</f>
        <v>0</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ti</v>
      </c>
      <c r="C22" s="128" t="s">
        <v>206</v>
      </c>
      <c r="D22" s="129" t="str">
        <f t="shared" si="1"/>
        <v/>
      </c>
      <c r="E22" s="964"/>
      <c r="F22" s="965"/>
      <c r="G22" s="966"/>
      <c r="H22" s="293"/>
      <c r="I22" s="519"/>
      <c r="J22" s="407"/>
      <c r="K22" s="374"/>
      <c r="L22" s="374"/>
      <c r="M22" s="374"/>
      <c r="N22" s="313">
        <f t="shared" si="19"/>
        <v>0</v>
      </c>
      <c r="O22" s="313">
        <f t="shared" si="20"/>
        <v>0</v>
      </c>
      <c r="P22" s="313">
        <f>IF(Stamoplysninger!$H$29="JA",Januar!DG22,CX22)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f>IF(AND(C22="Skema 1",B22="ti"),Arbejdstidsoversigt!$E$73,"")</f>
        <v>0</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f>IF(AND(C22="Skema 1",B22="ti"),Skemaoplysninger!$G$30,"")</f>
        <v>0</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f>IF(AND(C22="Skema 1",B22="ti"),Skemaoplysninger!$G$31,"")</f>
        <v>0</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4"/>
        <v/>
      </c>
      <c r="DL22" t="str">
        <f t="shared" si="14"/>
        <v/>
      </c>
      <c r="DM22" t="str">
        <f t="shared" si="14"/>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on</v>
      </c>
      <c r="C23" s="128" t="s">
        <v>206</v>
      </c>
      <c r="D23" s="129" t="str">
        <f t="shared" si="1"/>
        <v/>
      </c>
      <c r="E23" s="964"/>
      <c r="F23" s="965"/>
      <c r="G23" s="966"/>
      <c r="H23" s="293"/>
      <c r="I23" s="519"/>
      <c r="J23" s="407"/>
      <c r="K23" s="374"/>
      <c r="L23" s="374"/>
      <c r="M23" s="374"/>
      <c r="N23" s="313">
        <f t="shared" si="19"/>
        <v>0</v>
      </c>
      <c r="O23" s="313">
        <f t="shared" si="20"/>
        <v>0</v>
      </c>
      <c r="P23" s="313">
        <f>IF(Stamoplysninger!$H$29="JA",Januar!DG23,CX23)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f>IF(AND(C23="Skema 1",B23="on"),Arbejdstidsoversigt!$E$74,"")</f>
        <v>0</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f>IF(AND(C23="Skema 1",B23="on"),Skemaoplysninger!$I$30,"")</f>
        <v>0</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f>IF(AND(C23="Skema 1",B23="on"),Skemaoplysninger!$I$31,"")</f>
        <v>0</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4"/>
        <v/>
      </c>
      <c r="DL23" t="str">
        <f t="shared" si="14"/>
        <v/>
      </c>
      <c r="DM23" t="str">
        <f t="shared" si="14"/>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to</v>
      </c>
      <c r="C24" s="128" t="s">
        <v>206</v>
      </c>
      <c r="D24" s="129" t="str">
        <f t="shared" si="1"/>
        <v/>
      </c>
      <c r="E24" s="932"/>
      <c r="F24" s="933"/>
      <c r="G24" s="934"/>
      <c r="H24" s="294"/>
      <c r="I24" s="519"/>
      <c r="J24" s="407"/>
      <c r="K24" s="374"/>
      <c r="L24" s="374"/>
      <c r="M24" s="374"/>
      <c r="N24" s="313">
        <f t="shared" si="19"/>
        <v>0</v>
      </c>
      <c r="O24" s="313">
        <f t="shared" si="20"/>
        <v>0</v>
      </c>
      <c r="P24" s="313">
        <f>IF(Stamoplysninger!$H$29="JA",Januar!DG24,CX24)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f>IF(AND(C24="Skema 1",B24="to"),Arbejdstidsoversigt!$E$75,"")</f>
        <v>0</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t="str">
        <f>IF(AND(C24="Skema 1",B24="ma"),Skemaoplysninger!$E$30,"")</f>
        <v/>
      </c>
      <c r="BH24" s="209" t="str">
        <f>IF(AND(C24="Skema 1",B24="ti"),Skemaoplysninger!$G$30,"")</f>
        <v/>
      </c>
      <c r="BI24" s="209" t="str">
        <f>IF(AND(C24="Skema 1",B24="on"),Skemaoplysninger!$I$30,"")</f>
        <v/>
      </c>
      <c r="BJ24" s="209">
        <f>IF(AND(C24="Skema 1",B24="to"),Skemaoplysninger!$K$30,"")</f>
        <v>0</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t="str">
        <f>IF(AND(C24="Skema 1",B24="ma"),Skemaoplysninger!$E$31,"")</f>
        <v/>
      </c>
      <c r="CE24" s="209" t="str">
        <f>IF(AND(C24="Skema 1",B24="ti"),Skemaoplysninger!$G$31,"")</f>
        <v/>
      </c>
      <c r="CF24" s="209" t="str">
        <f>IF(AND(C24="Skema 1",B24="on"),Skemaoplysninger!$I$31,"")</f>
        <v/>
      </c>
      <c r="CG24" s="209">
        <f>IF(AND(C24="Skema 1",B24="to"),Skemaoplysninger!$K$31,"")</f>
        <v>0</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4"/>
        <v/>
      </c>
      <c r="DL24" t="str">
        <f t="shared" si="14"/>
        <v/>
      </c>
      <c r="DM24" t="str">
        <f t="shared" si="14"/>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fr</v>
      </c>
      <c r="C25" s="128" t="s">
        <v>206</v>
      </c>
      <c r="D25" s="129" t="str">
        <f t="shared" si="1"/>
        <v/>
      </c>
      <c r="E25" s="932"/>
      <c r="F25" s="933"/>
      <c r="G25" s="934"/>
      <c r="H25" s="294"/>
      <c r="I25" s="519"/>
      <c r="J25" s="407"/>
      <c r="K25" s="374"/>
      <c r="L25" s="374"/>
      <c r="M25" s="374"/>
      <c r="N25" s="313">
        <f t="shared" si="19"/>
        <v>0</v>
      </c>
      <c r="O25" s="313">
        <f t="shared" si="20"/>
        <v>0</v>
      </c>
      <c r="P25" s="313">
        <f>IF(Stamoplysninger!$H$29="JA",Januar!DG25,CX25)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f>IF(AND(C25="Skema 1",B25="fr"),Arbejdstidsoversigt!$E$76,"")</f>
        <v>0</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t="str">
        <f>IF(AND(C25="Skema 1",B25="ma"),Skemaoplysninger!$E$30,"")</f>
        <v/>
      </c>
      <c r="BH25" s="209" t="str">
        <f>IF(AND(C25="Skema 1",B25="ti"),Skemaoplysninger!$G$30,"")</f>
        <v/>
      </c>
      <c r="BI25" s="209" t="str">
        <f>IF(AND(C25="Skema 1",B25="on"),Skemaoplysninger!$I$30,"")</f>
        <v/>
      </c>
      <c r="BJ25" s="209" t="str">
        <f>IF(AND(C25="Skema 1",B25="to"),Skemaoplysninger!$K$30,"")</f>
        <v/>
      </c>
      <c r="BK25" s="209">
        <f>IF(AND(C25="Skema 1",B25="fr"),Skemaoplysninger!$M$30,"")</f>
        <v>0</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t="str">
        <f>IF(AND(C25="Skema 1",B25="ma"),Skemaoplysninger!$E$31,"")</f>
        <v/>
      </c>
      <c r="CE25" s="209" t="str">
        <f>IF(AND(C25="Skema 1",B25="ti"),Skemaoplysninger!$G$31,"")</f>
        <v/>
      </c>
      <c r="CF25" s="209" t="str">
        <f>IF(AND(C25="Skema 1",B25="on"),Skemaoplysninger!$I$31,"")</f>
        <v/>
      </c>
      <c r="CG25" s="209" t="str">
        <f>IF(AND(C25="Skema 1",B25="to"),Skemaoplysninger!$K$31,"")</f>
        <v/>
      </c>
      <c r="CH25" s="209">
        <f>IF(AND(C25="Skema 1",B25="fr"),Skemaoplysninger!$M$31,"")</f>
        <v>0</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4"/>
        <v/>
      </c>
      <c r="DL25" t="str">
        <f t="shared" si="14"/>
        <v/>
      </c>
      <c r="DM25" t="str">
        <f t="shared" si="14"/>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lø</v>
      </c>
      <c r="C26" s="128" t="s">
        <v>120</v>
      </c>
      <c r="D26" s="129" t="str">
        <f t="shared" si="1"/>
        <v/>
      </c>
      <c r="E26" s="932"/>
      <c r="F26" s="933"/>
      <c r="G26" s="934"/>
      <c r="H26" s="294"/>
      <c r="I26" s="407"/>
      <c r="J26" s="407"/>
      <c r="K26" s="374"/>
      <c r="L26" s="374"/>
      <c r="M26" s="374"/>
      <c r="N26" s="313">
        <f t="shared" si="19"/>
        <v>0</v>
      </c>
      <c r="O26" s="313">
        <f t="shared" si="20"/>
        <v>0</v>
      </c>
      <c r="P26" s="313">
        <f>IF(Stamoplysninger!$H$29="JA",Januar!DG26,CX26)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4"/>
        <v/>
      </c>
      <c r="DL26" t="str">
        <f t="shared" si="14"/>
        <v/>
      </c>
      <c r="DM26" t="str">
        <f t="shared" si="14"/>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sø</v>
      </c>
      <c r="C27" s="128" t="s">
        <v>120</v>
      </c>
      <c r="D27" s="129" t="str">
        <f t="shared" si="1"/>
        <v/>
      </c>
      <c r="E27" s="932"/>
      <c r="F27" s="933"/>
      <c r="G27" s="934"/>
      <c r="H27" s="294"/>
      <c r="I27" s="407"/>
      <c r="J27" s="407"/>
      <c r="K27" s="374"/>
      <c r="L27" s="374"/>
      <c r="M27" s="374"/>
      <c r="N27" s="313">
        <f t="shared" si="19"/>
        <v>0</v>
      </c>
      <c r="O27" s="313">
        <f t="shared" si="20"/>
        <v>0</v>
      </c>
      <c r="P27" s="313">
        <f>IF(Stamoplysninger!$H$29="JA",Januar!DG27,CX27)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t="str">
        <f>IF(AND(C27="Skema 1",B27="ma"),Skemaoplysninger!$E$30,"")</f>
        <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t="str">
        <f>IF(AND(C27="Skema 1",B27="ma"),Skemaoplysninger!$E$31,"")</f>
        <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ma</v>
      </c>
      <c r="C28" s="128" t="s">
        <v>206</v>
      </c>
      <c r="D28" s="129">
        <f t="shared" si="1"/>
        <v>3.7142857142857144</v>
      </c>
      <c r="E28" s="932"/>
      <c r="F28" s="933"/>
      <c r="G28" s="934"/>
      <c r="H28" s="294"/>
      <c r="I28" s="519"/>
      <c r="J28" s="407"/>
      <c r="K28" s="374"/>
      <c r="L28" s="374"/>
      <c r="M28" s="374"/>
      <c r="N28" s="313">
        <f t="shared" si="19"/>
        <v>0</v>
      </c>
      <c r="O28" s="313">
        <f t="shared" si="20"/>
        <v>0</v>
      </c>
      <c r="P28" s="313">
        <f>IF(Stamoplysninger!$H$29="JA",Januar!DG28,CX28)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f>IF(AND(C28="Skema 1",B28="ma"),Arbejdstidsoversigt!$E$72,"")</f>
        <v>0</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f>IF(AND(C28="Skema 1",B28="ma"),Skemaoplysninger!$E$30,"")</f>
        <v>0</v>
      </c>
      <c r="BH28" s="209" t="str">
        <f>IF(AND(C28="Skema 1",B28="ti"),Skemaoplysninger!$G$30,"")</f>
        <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f>IF(AND(C28="Skema 1",B28="ma"),Skemaoplysninger!$E$31,"")</f>
        <v>0</v>
      </c>
      <c r="CE28" s="209" t="str">
        <f>IF(AND(C28="Skema 1",B28="ti"),Skemaoplysninger!$G$31,"")</f>
        <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ti</v>
      </c>
      <c r="C29" s="128" t="s">
        <v>206</v>
      </c>
      <c r="D29" s="129" t="str">
        <f t="shared" si="1"/>
        <v/>
      </c>
      <c r="E29" s="932"/>
      <c r="F29" s="933"/>
      <c r="G29" s="934"/>
      <c r="H29" s="294"/>
      <c r="I29" s="519"/>
      <c r="J29" s="407"/>
      <c r="K29" s="374"/>
      <c r="L29" s="374"/>
      <c r="M29" s="374"/>
      <c r="N29" s="313">
        <f t="shared" si="19"/>
        <v>0</v>
      </c>
      <c r="O29" s="313">
        <f t="shared" si="20"/>
        <v>0</v>
      </c>
      <c r="P29" s="313">
        <f>IF(Stamoplysninger!$H$29="JA",Januar!DG29,CX29)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f>IF(AND(C29="Skema 1",B29="ti"),Arbejdstidsoversigt!$E$73,"")</f>
        <v>0</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t="str">
        <f>IF(AND(C29="Skema 1",B29="ma"),Skemaoplysninger!$E$30,"")</f>
        <v/>
      </c>
      <c r="BH29" s="209">
        <f>IF(AND(C29="Skema 1",B29="ti"),Skemaoplysninger!$G$30,"")</f>
        <v>0</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t="str">
        <f>IF(AND(C29="Skema 1",B29="ma"),Skemaoplysninger!$E$31,"")</f>
        <v/>
      </c>
      <c r="CE29" s="209">
        <f>IF(AND(C29="Skema 1",B29="ti"),Skemaoplysninger!$G$31,"")</f>
        <v>0</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4"/>
        <v/>
      </c>
      <c r="DL29" t="str">
        <f t="shared" si="14"/>
        <v/>
      </c>
      <c r="DM29" t="str">
        <f t="shared" si="14"/>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on</v>
      </c>
      <c r="C30" s="128" t="s">
        <v>206</v>
      </c>
      <c r="D30" s="129" t="str">
        <f t="shared" si="1"/>
        <v/>
      </c>
      <c r="E30" s="932"/>
      <c r="F30" s="933"/>
      <c r="G30" s="934"/>
      <c r="H30" s="294"/>
      <c r="I30" s="519"/>
      <c r="J30" s="407"/>
      <c r="K30" s="374"/>
      <c r="L30" s="374"/>
      <c r="M30" s="374"/>
      <c r="N30" s="313">
        <f t="shared" si="19"/>
        <v>0</v>
      </c>
      <c r="O30" s="313">
        <f t="shared" si="20"/>
        <v>0</v>
      </c>
      <c r="P30" s="313">
        <f>IF(Stamoplysninger!$H$29="JA",Januar!DG30,CX30)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f>IF(AND(C30="Skema 1",B30="on"),Arbejdstidsoversigt!$E$74,"")</f>
        <v>0</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t="str">
        <f>IF(AND(C30="Skema 1",B30="ti"),Skemaoplysninger!$G$30,"")</f>
        <v/>
      </c>
      <c r="BI30" s="209">
        <f>IF(AND(C30="Skema 1",B30="on"),Skemaoplysninger!$I$30,"")</f>
        <v>0</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t="str">
        <f>IF(AND(C30="Skema 1",B30="ti"),Skemaoplysninger!$G$31,"")</f>
        <v/>
      </c>
      <c r="CF30" s="209">
        <f>IF(AND(C30="Skema 1",B30="on"),Skemaoplysninger!$I$31,"")</f>
        <v>0</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4"/>
        <v/>
      </c>
      <c r="DL30" t="str">
        <f t="shared" si="14"/>
        <v/>
      </c>
      <c r="DM30" t="str">
        <f t="shared" si="14"/>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9"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to</v>
      </c>
      <c r="C31" s="128" t="s">
        <v>206</v>
      </c>
      <c r="D31" s="129" t="str">
        <f t="shared" si="1"/>
        <v/>
      </c>
      <c r="E31" s="932"/>
      <c r="F31" s="933"/>
      <c r="G31" s="934"/>
      <c r="H31" s="294"/>
      <c r="I31" s="519"/>
      <c r="J31" s="407"/>
      <c r="K31" s="374"/>
      <c r="L31" s="374"/>
      <c r="M31" s="374"/>
      <c r="N31" s="313">
        <f t="shared" si="19"/>
        <v>0</v>
      </c>
      <c r="O31" s="313">
        <f t="shared" si="20"/>
        <v>0</v>
      </c>
      <c r="P31" s="313">
        <f>IF(Stamoplysninger!$H$29="JA",Januar!DG31,CX31)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f>IF(AND(C31="Skema 1",B31="to"),Arbejdstidsoversigt!$E$75,"")</f>
        <v>0</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t="str">
        <f>IF(AND(C31="Skema 1",B31="on"),Skemaoplysninger!$I$30,"")</f>
        <v/>
      </c>
      <c r="BJ31" s="209">
        <f>IF(AND(C31="Skema 1",B31="to"),Skemaoplysninger!$K$30,"")</f>
        <v>0</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t="str">
        <f>IF(AND(C31="Skema 1",B31="on"),Skemaoplysninger!$I$31,"")</f>
        <v/>
      </c>
      <c r="CG31" s="209">
        <f>IF(AND(C31="Skema 1",B31="to"),Skemaoplysninger!$K$31,"")</f>
        <v>0</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4"/>
        <v/>
      </c>
      <c r="DL31" t="str">
        <f t="shared" si="14"/>
        <v/>
      </c>
      <c r="DM31" t="str">
        <f t="shared" si="14"/>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fr</v>
      </c>
      <c r="C32" s="128" t="s">
        <v>206</v>
      </c>
      <c r="D32" s="129" t="str">
        <f t="shared" si="1"/>
        <v/>
      </c>
      <c r="E32" s="964"/>
      <c r="F32" s="965"/>
      <c r="G32" s="966"/>
      <c r="H32" s="294"/>
      <c r="I32" s="519"/>
      <c r="J32" s="407"/>
      <c r="K32" s="374"/>
      <c r="L32" s="374"/>
      <c r="M32" s="374"/>
      <c r="N32" s="313">
        <f t="shared" si="19"/>
        <v>0</v>
      </c>
      <c r="O32" s="313">
        <f t="shared" si="20"/>
        <v>0</v>
      </c>
      <c r="P32" s="313">
        <f>IF(Stamoplysninger!$H$29="JA",Januar!DG32,CX32)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f>IF(AND(C32="Skema 1",B32="fr"),Arbejdstidsoversigt!$E$76,"")</f>
        <v>0</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t="str">
        <f>IF(AND(C32="Skema 1",B32="ma"),Skemaoplysninger!$E$30,"")</f>
        <v/>
      </c>
      <c r="BH32" s="209" t="str">
        <f>IF(AND(C32="Skema 1",B32="ti"),Skemaoplysninger!$G$30,"")</f>
        <v/>
      </c>
      <c r="BI32" s="209" t="str">
        <f>IF(AND(C32="Skema 1",B32="on"),Skemaoplysninger!$I$30,"")</f>
        <v/>
      </c>
      <c r="BJ32" s="209" t="str">
        <f>IF(AND(C32="Skema 1",B32="to"),Skemaoplysninger!$K$30,"")</f>
        <v/>
      </c>
      <c r="BK32" s="209">
        <f>IF(AND(C32="Skema 1",B32="fr"),Skemaoplysninger!$M$30,"")</f>
        <v>0</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t="str">
        <f>IF(AND(C32="Skema 1",B32="ma"),Skemaoplysninger!$E$31,"")</f>
        <v/>
      </c>
      <c r="CE32" s="209" t="str">
        <f>IF(AND(C32="Skema 1",B32="ti"),Skemaoplysninger!$G$31,"")</f>
        <v/>
      </c>
      <c r="CF32" s="209" t="str">
        <f>IF(AND(C32="Skema 1",B32="on"),Skemaoplysninger!$I$31,"")</f>
        <v/>
      </c>
      <c r="CG32" s="209" t="str">
        <f>IF(AND(C32="Skema 1",B32="to"),Skemaoplysninger!$K$31,"")</f>
        <v/>
      </c>
      <c r="CH32" s="209">
        <f>IF(AND(C32="Skema 1",B32="fr"),Skemaoplysninger!$M$31,"")</f>
        <v>0</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4"/>
        <v/>
      </c>
      <c r="DL32" t="str">
        <f t="shared" si="14"/>
        <v/>
      </c>
      <c r="DM32" t="str">
        <f t="shared" si="14"/>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lø</v>
      </c>
      <c r="C33" s="128" t="s">
        <v>120</v>
      </c>
      <c r="D33" s="129" t="str">
        <f t="shared" si="1"/>
        <v/>
      </c>
      <c r="E33" s="932"/>
      <c r="F33" s="933"/>
      <c r="G33" s="934"/>
      <c r="H33" s="294"/>
      <c r="I33" s="407"/>
      <c r="J33" s="407"/>
      <c r="K33" s="374"/>
      <c r="L33" s="374"/>
      <c r="M33" s="374"/>
      <c r="N33" s="313">
        <f t="shared" si="19"/>
        <v>0</v>
      </c>
      <c r="O33" s="313">
        <f t="shared" si="20"/>
        <v>0</v>
      </c>
      <c r="P33" s="313">
        <f>IF(Stamoplysninger!$H$29="JA",Januar!DG33,CX33)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4"/>
        <v/>
      </c>
      <c r="DL33" t="str">
        <f t="shared" si="14"/>
        <v/>
      </c>
      <c r="DM33" t="str">
        <f t="shared" si="14"/>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sø</v>
      </c>
      <c r="C34" s="128" t="s">
        <v>120</v>
      </c>
      <c r="D34" s="129" t="str">
        <f t="shared" si="1"/>
        <v/>
      </c>
      <c r="E34" s="932"/>
      <c r="F34" s="933"/>
      <c r="G34" s="934"/>
      <c r="H34" s="294"/>
      <c r="I34" s="407"/>
      <c r="J34" s="407"/>
      <c r="K34" s="374"/>
      <c r="L34" s="374"/>
      <c r="M34" s="374"/>
      <c r="N34" s="313">
        <f t="shared" si="19"/>
        <v>0</v>
      </c>
      <c r="O34" s="313">
        <f t="shared" si="20"/>
        <v>0</v>
      </c>
      <c r="P34" s="313">
        <f>IF(Stamoplysninger!$H$29="JA",Januar!DG34,CX34)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4"/>
        <v/>
      </c>
      <c r="DL34" t="str">
        <f t="shared" si="14"/>
        <v/>
      </c>
      <c r="DM34" t="str">
        <f t="shared" si="14"/>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ma</v>
      </c>
      <c r="C35" s="128" t="s">
        <v>206</v>
      </c>
      <c r="D35" s="129">
        <f t="shared" si="1"/>
        <v>4.7142857142857144</v>
      </c>
      <c r="E35" s="932"/>
      <c r="F35" s="933"/>
      <c r="G35" s="934"/>
      <c r="H35" s="294"/>
      <c r="I35" s="519"/>
      <c r="J35" s="407"/>
      <c r="K35" s="374"/>
      <c r="L35" s="374"/>
      <c r="M35" s="374"/>
      <c r="N35" s="313">
        <f t="shared" si="19"/>
        <v>0</v>
      </c>
      <c r="O35" s="313">
        <f t="shared" si="20"/>
        <v>0</v>
      </c>
      <c r="P35" s="313">
        <f>IF(Stamoplysninger!$H$29="JA",Januar!DG35,CX35)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f>IF(AND(C35="Skema 1",B35="ma"),Arbejdstidsoversigt!$E$72,"")</f>
        <v>0</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f>IF(AND(C35="Skema 1",B35="ma"),Skemaoplysninger!$E$30,"")</f>
        <v>0</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f>IF(AND(C35="Skema 1",B35="ma"),Skemaoplysninger!$E$31,"")</f>
        <v>0</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ti</v>
      </c>
      <c r="C36" s="128" t="s">
        <v>206</v>
      </c>
      <c r="D36" s="129" t="str">
        <f t="shared" si="1"/>
        <v/>
      </c>
      <c r="E36" s="932"/>
      <c r="F36" s="933"/>
      <c r="G36" s="934"/>
      <c r="H36" s="294"/>
      <c r="I36" s="519"/>
      <c r="J36" s="407"/>
      <c r="K36" s="374"/>
      <c r="L36" s="374"/>
      <c r="M36" s="374"/>
      <c r="N36" s="313">
        <f t="shared" si="19"/>
        <v>0</v>
      </c>
      <c r="O36" s="313">
        <f t="shared" si="20"/>
        <v>0</v>
      </c>
      <c r="P36" s="313">
        <f>IF(Stamoplysninger!$H$29="JA",Januar!DG36,CX36)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f>IF(AND(C36="Skema 1",B36="ti"),Arbejdstidsoversigt!$E$73,"")</f>
        <v>0</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t="str">
        <f>IF(AND(C36="Skema 1",B36="ma"),Skemaoplysninger!$E$30,"")</f>
        <v/>
      </c>
      <c r="BH36" s="209">
        <f>IF(AND(C36="Skema 1",B36="ti"),Skemaoplysninger!$G$30,"")</f>
        <v>0</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t="str">
        <f>IF(AND(C36="Skema 1",B36="ma"),Skemaoplysninger!$E$31,"")</f>
        <v/>
      </c>
      <c r="CE36" s="209">
        <f>IF(AND(C36="Skema 1",B36="ti"),Skemaoplysninger!$G$31,"")</f>
        <v>0</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4"/>
        <v/>
      </c>
      <c r="DL36" t="str">
        <f t="shared" si="14"/>
        <v/>
      </c>
      <c r="DM36" t="str">
        <f t="shared" si="14"/>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on</v>
      </c>
      <c r="C37" s="128" t="s">
        <v>206</v>
      </c>
      <c r="D37" s="129" t="str">
        <f t="shared" si="1"/>
        <v/>
      </c>
      <c r="E37" s="932"/>
      <c r="F37" s="933"/>
      <c r="G37" s="934"/>
      <c r="H37" s="294"/>
      <c r="I37" s="519"/>
      <c r="J37" s="407"/>
      <c r="K37" s="374"/>
      <c r="L37" s="374"/>
      <c r="M37" s="374"/>
      <c r="N37" s="313">
        <f t="shared" si="19"/>
        <v>0</v>
      </c>
      <c r="O37" s="313">
        <f t="shared" si="20"/>
        <v>0</v>
      </c>
      <c r="P37" s="313">
        <f>IF(Stamoplysninger!$H$29="JA",Januar!DG37,CX37)</f>
        <v>0</v>
      </c>
      <c r="Q37" s="313">
        <f t="shared" si="21"/>
        <v>0</v>
      </c>
      <c r="R37" s="314"/>
      <c r="S37" s="319"/>
      <c r="T37" s="320"/>
      <c r="U37" s="320"/>
      <c r="V37" s="429"/>
      <c r="W37" s="406"/>
      <c r="X37" s="633"/>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f>IF(AND(C37="Skema 1",B37="on"),Arbejdstidsoversigt!$E$74,"")</f>
        <v>0</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8"/>
        <v>0</v>
      </c>
      <c r="BC37" s="1">
        <f t="shared" si="24"/>
        <v>0</v>
      </c>
      <c r="BD37" s="1">
        <f t="shared" si="9"/>
        <v>0</v>
      </c>
      <c r="BE37" s="1">
        <f t="shared" si="10"/>
        <v>0</v>
      </c>
      <c r="BF37" s="1">
        <f t="shared" si="11"/>
        <v>0</v>
      </c>
      <c r="BG37" s="209" t="str">
        <f>IF(AND(C37="Skema 1",B37="ma"),Skemaoplysninger!$E$30,"")</f>
        <v/>
      </c>
      <c r="BH37" s="209" t="str">
        <f>IF(AND(C37="Skema 1",B37="ti"),Skemaoplysninger!$G$30,"")</f>
        <v/>
      </c>
      <c r="BI37" s="209">
        <f>IF(AND(C37="Skema 1",B37="on"),Skemaoplysninger!$I$30,"")</f>
        <v>0</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2"/>
        <v>0</v>
      </c>
      <c r="CC37" s="1">
        <f t="shared" si="13"/>
        <v>0</v>
      </c>
      <c r="CD37" s="209" t="str">
        <f>IF(AND(C37="Skema 1",B37="ma"),Skemaoplysninger!$E$31,"")</f>
        <v/>
      </c>
      <c r="CE37" s="209" t="str">
        <f>IF(AND(C37="Skema 1",B37="ti"),Skemaoplysninger!$G$31,"")</f>
        <v/>
      </c>
      <c r="CF37" s="209">
        <f>IF(AND(C37="Skema 1",B37="on"),Skemaoplysninger!$I$31,"")</f>
        <v>0</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4"/>
        <v/>
      </c>
      <c r="DL37" t="str">
        <f t="shared" si="14"/>
        <v/>
      </c>
      <c r="DM37" t="str">
        <f t="shared" si="14"/>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32">IF(AND(I37="X",S37="X"),V37,0)</f>
        <v>0</v>
      </c>
      <c r="FT37" s="649">
        <f t="shared" ref="FT37:FT39" si="33">IF(AND(AND(C37="ikke relevant",I37="X",S37="X")),V37,0)</f>
        <v>0</v>
      </c>
      <c r="FU37">
        <f t="shared" ref="FU37:FU39"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to</v>
      </c>
      <c r="C38" s="128" t="s">
        <v>206</v>
      </c>
      <c r="D38" s="129" t="str">
        <f t="shared" si="1"/>
        <v/>
      </c>
      <c r="E38" s="932"/>
      <c r="F38" s="933"/>
      <c r="G38" s="934"/>
      <c r="H38" s="294"/>
      <c r="I38" s="519"/>
      <c r="J38" s="407"/>
      <c r="K38" s="374"/>
      <c r="L38" s="374"/>
      <c r="M38" s="374"/>
      <c r="N38" s="313">
        <f t="shared" si="19"/>
        <v>0</v>
      </c>
      <c r="O38" s="313">
        <f t="shared" si="20"/>
        <v>0</v>
      </c>
      <c r="P38" s="313">
        <f>IF(Stamoplysninger!$H$29="JA",Januar!DG38,CX38)</f>
        <v>0</v>
      </c>
      <c r="Q38" s="313">
        <f t="shared" si="21"/>
        <v>0</v>
      </c>
      <c r="R38" s="314"/>
      <c r="S38" s="319"/>
      <c r="T38" s="320"/>
      <c r="U38" s="435"/>
      <c r="V38" s="429"/>
      <c r="W38" s="406"/>
      <c r="X38" s="633"/>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f>IF(AND(C38="Skema 1",B38="to"),Arbejdstidsoversigt!$E$75,"")</f>
        <v>0</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8"/>
        <v>0</v>
      </c>
      <c r="BC38" s="1">
        <f t="shared" si="24"/>
        <v>0</v>
      </c>
      <c r="BD38" s="1">
        <f t="shared" si="9"/>
        <v>0</v>
      </c>
      <c r="BE38" s="1">
        <f t="shared" si="10"/>
        <v>0</v>
      </c>
      <c r="BF38" s="1">
        <f t="shared" si="11"/>
        <v>0</v>
      </c>
      <c r="BG38" s="209" t="str">
        <f>IF(AND(C38="Skema 1",B38="ma"),Skemaoplysninger!$E$30,"")</f>
        <v/>
      </c>
      <c r="BH38" s="209" t="str">
        <f>IF(AND(C38="Skema 1",B38="ti"),Skemaoplysninger!$G$30,"")</f>
        <v/>
      </c>
      <c r="BI38" s="209" t="str">
        <f>IF(AND(C38="Skema 1",B38="on"),Skemaoplysninger!$I$30,"")</f>
        <v/>
      </c>
      <c r="BJ38" s="209">
        <f>IF(AND(C38="Skema 1",B38="to"),Skemaoplysninger!$K$30,"")</f>
        <v>0</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2"/>
        <v>0</v>
      </c>
      <c r="CC38" s="1">
        <f t="shared" si="13"/>
        <v>0</v>
      </c>
      <c r="CD38" s="209" t="str">
        <f>IF(AND(C38="Skema 1",B38="ma"),Skemaoplysninger!$E$31,"")</f>
        <v/>
      </c>
      <c r="CE38" s="209" t="str">
        <f>IF(AND(C38="Skema 1",B38="ti"),Skemaoplysninger!$G$31,"")</f>
        <v/>
      </c>
      <c r="CF38" s="209" t="str">
        <f>IF(AND(C38="Skema 1",B38="on"),Skemaoplysninger!$I$31,"")</f>
        <v/>
      </c>
      <c r="CG38" s="209">
        <f>IF(AND(C38="Skema 1",B38="to"),Skemaoplysninger!$K$31,"")</f>
        <v>0</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4"/>
        <v/>
      </c>
      <c r="DL38" t="str">
        <f t="shared" si="14"/>
        <v/>
      </c>
      <c r="DM38" t="str">
        <f t="shared" si="14"/>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fr</v>
      </c>
      <c r="C39" s="128" t="s">
        <v>206</v>
      </c>
      <c r="D39" s="129" t="str">
        <f t="shared" si="1"/>
        <v/>
      </c>
      <c r="E39" s="964"/>
      <c r="F39" s="965"/>
      <c r="G39" s="966"/>
      <c r="H39" s="293"/>
      <c r="I39" s="519"/>
      <c r="J39" s="407"/>
      <c r="K39" s="374"/>
      <c r="L39" s="374"/>
      <c r="M39" s="374"/>
      <c r="N39" s="313">
        <f t="shared" si="19"/>
        <v>0</v>
      </c>
      <c r="O39" s="313">
        <f t="shared" si="20"/>
        <v>0</v>
      </c>
      <c r="P39" s="313">
        <f>IF(Stamoplysninger!$H$29="JA",Januar!DG39,CX39)</f>
        <v>0</v>
      </c>
      <c r="Q39" s="313">
        <f t="shared" si="21"/>
        <v>0</v>
      </c>
      <c r="R39" s="314"/>
      <c r="S39" s="319"/>
      <c r="T39" s="320"/>
      <c r="U39" s="213"/>
      <c r="V39" s="429"/>
      <c r="W39" s="406"/>
      <c r="X39" s="634"/>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f>IF(AND(C39="Skema 1",B39="fr"),Arbejdstidsoversigt!$E$76,"")</f>
        <v>0</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6">
        <f t="shared" si="8"/>
        <v>0</v>
      </c>
      <c r="BC39" s="1">
        <f t="shared" si="24"/>
        <v>0</v>
      </c>
      <c r="BD39" s="1">
        <f t="shared" si="9"/>
        <v>0</v>
      </c>
      <c r="BE39" s="1">
        <f t="shared" si="10"/>
        <v>0</v>
      </c>
      <c r="BF39" s="1">
        <f t="shared" si="11"/>
        <v>0</v>
      </c>
      <c r="BG39" s="209" t="str">
        <f>IF(AND(C39="Skema 1",B39="ma"),Skemaoplysninger!$E$30,"")</f>
        <v/>
      </c>
      <c r="BH39" s="209" t="str">
        <f>IF(AND(C39="Skema 1",B39="ti"),Skemaoplysninger!$G$30,"")</f>
        <v/>
      </c>
      <c r="BI39" s="209" t="str">
        <f>IF(AND(C39="Skema 1",B39="on"),Skemaoplysninger!$I$30,"")</f>
        <v/>
      </c>
      <c r="BJ39" s="209" t="str">
        <f>IF(AND(C39="Skema 1",B39="to"),Skemaoplysninger!$K$30,"")</f>
        <v/>
      </c>
      <c r="BK39" s="209">
        <f>IF(AND(C39="Skema 1",B39="fr"),Skemaoplysninger!$M$30,"")</f>
        <v>0</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2"/>
        <v>0</v>
      </c>
      <c r="CC39" s="1">
        <f t="shared" si="13"/>
        <v>0</v>
      </c>
      <c r="CD39" s="209" t="str">
        <f>IF(AND(C39="Skema 1",B39="ma"),Skemaoplysninger!$E$31,"")</f>
        <v/>
      </c>
      <c r="CE39" s="209" t="str">
        <f>IF(AND(C39="Skema 1",B39="ti"),Skemaoplysninger!$G$31,"")</f>
        <v/>
      </c>
      <c r="CF39" s="209" t="str">
        <f>IF(AND(C39="Skema 1",B39="on"),Skemaoplysninger!$I$31,"")</f>
        <v/>
      </c>
      <c r="CG39" s="209" t="str">
        <f>IF(AND(C39="Skema 1",B39="to"),Skemaoplysninger!$K$31,"")</f>
        <v/>
      </c>
      <c r="CH39" s="209">
        <f>IF(AND(C39="Skema 1",B39="fr"),Skemaoplysninger!$M$31,"")</f>
        <v>0</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 t="shared" si="27"/>
        <v/>
      </c>
      <c r="DI39">
        <f t="shared" si="28"/>
        <v>0</v>
      </c>
      <c r="DJ39">
        <f t="shared" si="29"/>
        <v>0</v>
      </c>
      <c r="DK39" t="str">
        <f>IF(DH39=0,"",DH39)</f>
        <v/>
      </c>
      <c r="DL39" t="str">
        <f>IF(DI39=0,"",DI39)</f>
        <v/>
      </c>
      <c r="DM39" t="str">
        <f>IF(DJ39=0,"",DJ39)</f>
        <v/>
      </c>
      <c r="DN39" t="str">
        <f t="shared" si="30"/>
        <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2"/>
        <v>0</v>
      </c>
      <c r="FT39" s="649">
        <f t="shared" si="33"/>
        <v>0</v>
      </c>
      <c r="FU39">
        <f t="shared" si="34"/>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7" t="s">
        <v>260</v>
      </c>
      <c r="B40" s="988"/>
      <c r="C40" s="988"/>
      <c r="D40" s="988"/>
      <c r="E40" s="988"/>
      <c r="F40" s="988"/>
      <c r="G40" s="988"/>
      <c r="H40" s="988"/>
      <c r="I40" s="989"/>
      <c r="J40" s="308"/>
      <c r="K40" s="316"/>
      <c r="L40" s="316"/>
      <c r="M40" s="316"/>
      <c r="N40" s="317">
        <f>SUM(N9:N39)</f>
        <v>0</v>
      </c>
      <c r="O40" s="317">
        <f>SUM(O9:O39)</f>
        <v>0</v>
      </c>
      <c r="P40" s="317">
        <f>SUM(P9:P39)</f>
        <v>0</v>
      </c>
      <c r="Q40" s="317">
        <f>SUM(Q9:Q39)</f>
        <v>0</v>
      </c>
      <c r="R40"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35">SUM(AA9:AA39)</f>
        <v>0</v>
      </c>
      <c r="AB40" s="231">
        <f t="shared" si="35"/>
        <v>0</v>
      </c>
      <c r="AC40" s="231">
        <f t="shared" si="35"/>
        <v>0</v>
      </c>
      <c r="AD40" s="231">
        <f t="shared" si="35"/>
        <v>0</v>
      </c>
      <c r="AE40" s="231">
        <f t="shared" si="35"/>
        <v>0</v>
      </c>
      <c r="AF40" s="231">
        <f t="shared" si="35"/>
        <v>0</v>
      </c>
      <c r="BA40" s="1">
        <f>SUM(BA9:BA39)</f>
        <v>0</v>
      </c>
      <c r="BB40" s="111"/>
      <c r="BC40" s="231">
        <f>SUM(BC9:BC39)</f>
        <v>0</v>
      </c>
      <c r="BD40" s="231">
        <f>SUM(BD9:BD39)</f>
        <v>0</v>
      </c>
      <c r="BE40" s="231">
        <f>SUM(BE9:BE39)</f>
        <v>0</v>
      </c>
      <c r="BF40" s="231">
        <f>SUM(BF9:BF39)</f>
        <v>0</v>
      </c>
      <c r="CA40" s="231">
        <f>SUM(CA9:CA39)</f>
        <v>0</v>
      </c>
      <c r="CB40" s="231">
        <f>SUM(CB9:CB39)</f>
        <v>0</v>
      </c>
      <c r="CC40" s="231">
        <f>SUM(CC9:CC39)</f>
        <v>0</v>
      </c>
      <c r="CX40" s="245"/>
      <c r="CY40" s="245">
        <f t="shared" ref="CY40:DG40" si="36">SUM(CY9:CY39)</f>
        <v>0</v>
      </c>
      <c r="CZ40" s="245">
        <f t="shared" si="36"/>
        <v>0</v>
      </c>
      <c r="DA40" s="245">
        <f t="shared" si="36"/>
        <v>0</v>
      </c>
      <c r="DB40" s="245">
        <f t="shared" si="36"/>
        <v>0</v>
      </c>
      <c r="DC40" s="245">
        <f t="shared" si="36"/>
        <v>0</v>
      </c>
      <c r="DD40" s="245">
        <f t="shared" si="36"/>
        <v>0</v>
      </c>
      <c r="DE40" s="245">
        <f t="shared" si="36"/>
        <v>0</v>
      </c>
      <c r="DF40" s="245">
        <f t="shared" si="36"/>
        <v>0</v>
      </c>
      <c r="DG40" s="245">
        <f t="shared" si="36"/>
        <v>0</v>
      </c>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31"/>
      <c r="AB41" s="210"/>
      <c r="AC41" s="210"/>
      <c r="AD41" s="231"/>
      <c r="AE41" s="231"/>
      <c r="AG41" s="231"/>
      <c r="BC41" s="231"/>
      <c r="BD41" s="231"/>
      <c r="BE41" s="231"/>
      <c r="BF41" s="231"/>
      <c r="BG41" s="111"/>
      <c r="CB41" s="231"/>
      <c r="CC41" s="231"/>
      <c r="CD41" s="111"/>
      <c r="CX41" s="244"/>
      <c r="CZ41"/>
    </row>
    <row r="42" spans="1:185" ht="70" customHeight="1">
      <c r="A42" s="973" t="str">
        <f>"Arbejdstid for "&amp;A7&amp;" måned:"</f>
        <v>Arbejdstid for Januar måned:</v>
      </c>
      <c r="B42" s="974"/>
      <c r="C42" s="974"/>
      <c r="D42" s="974"/>
      <c r="E42" s="974"/>
      <c r="F42" s="974"/>
      <c r="G42" s="974"/>
      <c r="H42" s="325" t="s">
        <v>255</v>
      </c>
      <c r="I42" s="974" t="s">
        <v>221</v>
      </c>
      <c r="J42" s="975"/>
      <c r="K42" s="976"/>
      <c r="L42" s="258"/>
      <c r="M42" s="1026" t="str">
        <f>"Ulempetimer og weekendtimer i "&amp;A5&amp;""</f>
        <v>Ulempetimer og weekendtimer i Januar måneds kalender for: . Måneden vedr. normperioden:  - .</v>
      </c>
      <c r="N42" s="1004"/>
      <c r="O42" s="1004"/>
      <c r="P42" s="1004"/>
      <c r="Q42" s="1004"/>
      <c r="R42" s="1004"/>
      <c r="S42" s="1004"/>
      <c r="T42" s="1004"/>
      <c r="U42" s="1004"/>
      <c r="V42" s="1004"/>
      <c r="W42" s="1004"/>
      <c r="X42" s="1005"/>
      <c r="Y42" s="235"/>
      <c r="Z42" s="235"/>
      <c r="AD42" s="89"/>
      <c r="AE42" s="89"/>
      <c r="BM42" s="1"/>
      <c r="CJ42" s="1"/>
      <c r="CU42" s="244"/>
      <c r="CV42" s="244"/>
      <c r="CY42"/>
      <c r="CZ42"/>
    </row>
    <row r="43" spans="1:185">
      <c r="A43" s="977" t="s">
        <v>528</v>
      </c>
      <c r="B43" s="978"/>
      <c r="C43" s="978"/>
      <c r="D43" s="978"/>
      <c r="E43" s="978"/>
      <c r="F43" s="978"/>
      <c r="G43" s="978"/>
      <c r="H43" s="252">
        <f>D78</f>
        <v>23</v>
      </c>
      <c r="I43" s="990">
        <f>IF(Stamoplysninger!$E$12="Ja",1924/Arbejdstidsoversigt!$K$9*Stamoplysninger!$E$15*H43,H43*7.4*Stamoplysninger!$E$15)</f>
        <v>169.54789272030652</v>
      </c>
      <c r="J43" s="991"/>
      <c r="K43" s="992"/>
      <c r="L43" s="254"/>
      <c r="M43" s="1027" t="s">
        <v>496</v>
      </c>
      <c r="N43" s="1028"/>
      <c r="O43" s="1028"/>
      <c r="P43" s="1028"/>
      <c r="Q43" s="1028"/>
      <c r="R43" s="1028"/>
      <c r="S43" s="1028"/>
      <c r="T43" s="1028"/>
      <c r="U43" s="1029"/>
      <c r="V43" s="1108">
        <f>P65+P69+P72+P74</f>
        <v>0</v>
      </c>
      <c r="W43" s="1108"/>
      <c r="X43" s="1109"/>
      <c r="Y43" s="235"/>
      <c r="Z43" s="235"/>
      <c r="AD43" s="89"/>
      <c r="AE43" s="89"/>
      <c r="BM43" s="1"/>
      <c r="CJ43" s="1"/>
      <c r="CU43" s="244"/>
      <c r="CV43" s="244"/>
      <c r="CY43"/>
      <c r="CZ43"/>
    </row>
    <row r="44" spans="1:185">
      <c r="A44" s="977" t="str">
        <f>"Ferie "&amp;A7&amp;" måned"</f>
        <v>Ferie Januar måned</v>
      </c>
      <c r="B44" s="978"/>
      <c r="C44" s="978"/>
      <c r="D44" s="978"/>
      <c r="E44" s="978"/>
      <c r="F44" s="978"/>
      <c r="G44" s="978"/>
      <c r="H44" s="253" t="str">
        <f>IF(D73&gt;0,$D$73,"0")</f>
        <v>0</v>
      </c>
      <c r="I44" s="979">
        <f>H44*7.4*Stamoplysninger!$E$15</f>
        <v>0</v>
      </c>
      <c r="J44" s="980"/>
      <c r="K44" s="981"/>
      <c r="L44" s="254"/>
      <c r="M44" s="1033" t="s">
        <v>259</v>
      </c>
      <c r="N44" s="1034"/>
      <c r="O44" s="1034"/>
      <c r="P44" s="1034"/>
      <c r="Q44" s="1034"/>
      <c r="R44" s="1034"/>
      <c r="S44" s="1034"/>
      <c r="T44" s="1034"/>
      <c r="U44" s="1035"/>
      <c r="V44" s="1110">
        <f>Q66+Q68+Q71+Q73</f>
        <v>0</v>
      </c>
      <c r="W44" s="1110"/>
      <c r="X44" s="1111"/>
      <c r="Y44" s="235"/>
      <c r="Z44" s="235"/>
      <c r="AD44" s="89"/>
      <c r="AE44" s="89"/>
      <c r="BM44" s="1"/>
      <c r="CJ44" s="1"/>
      <c r="CU44" s="244"/>
      <c r="CV44" s="244"/>
      <c r="CY44"/>
      <c r="CZ44"/>
    </row>
    <row r="45" spans="1:185">
      <c r="A45" s="977" t="str">
        <f>"Søgnehelligdage i "&amp;A7&amp;" måned"</f>
        <v>Søgnehelligdage i Januar måned</v>
      </c>
      <c r="B45" s="978"/>
      <c r="C45" s="978"/>
      <c r="D45" s="978"/>
      <c r="E45" s="978"/>
      <c r="F45" s="978"/>
      <c r="G45" s="978"/>
      <c r="H45" s="253">
        <f>IF(D72&gt;0,D72,0)</f>
        <v>1</v>
      </c>
      <c r="I45" s="979">
        <f>H45*7.4*Stamoplysninger!$E$15</f>
        <v>7.4</v>
      </c>
      <c r="J45" s="980"/>
      <c r="K45" s="981"/>
      <c r="L45" s="255"/>
      <c r="M45" s="1143" t="s">
        <v>295</v>
      </c>
      <c r="N45" s="1144"/>
      <c r="O45" s="1144"/>
      <c r="P45" s="1144"/>
      <c r="Q45" s="1144"/>
      <c r="R45" s="1144"/>
      <c r="S45" s="1144"/>
      <c r="T45" s="1144"/>
      <c r="U45" s="1145"/>
      <c r="V45" s="1148">
        <f>December!V53</f>
        <v>0</v>
      </c>
      <c r="W45" s="1149"/>
      <c r="X45" s="1150"/>
      <c r="Y45" s="235"/>
      <c r="Z45" s="235"/>
      <c r="AD45" s="89"/>
      <c r="AE45" s="89"/>
      <c r="BM45" s="1"/>
      <c r="CJ45" s="1"/>
      <c r="CU45" s="244"/>
      <c r="CV45" s="244"/>
      <c r="CY45"/>
      <c r="CZ45"/>
    </row>
    <row r="46" spans="1:185">
      <c r="A46" s="977" t="str">
        <f>"Nettoarbejdstid ialt i "&amp;A7&amp;" måned"</f>
        <v>Nettoarbejdstid ialt i Januar måned</v>
      </c>
      <c r="B46" s="978"/>
      <c r="C46" s="978"/>
      <c r="D46" s="978"/>
      <c r="E46" s="978"/>
      <c r="F46" s="978"/>
      <c r="G46" s="978"/>
      <c r="H46" s="256">
        <f>H43-H44-H45</f>
        <v>22</v>
      </c>
      <c r="I46" s="979">
        <f>I43-I44-I45</f>
        <v>162.14789272030652</v>
      </c>
      <c r="J46" s="980"/>
      <c r="K46" s="981"/>
      <c r="L46" s="255"/>
      <c r="M46" s="1041" t="s">
        <v>301</v>
      </c>
      <c r="N46" s="1042"/>
      <c r="O46" s="1042"/>
      <c r="P46" s="1042"/>
      <c r="Q46" s="1042"/>
      <c r="R46" s="1042"/>
      <c r="S46" s="1042"/>
      <c r="T46" s="1042"/>
      <c r="U46" s="1043"/>
      <c r="V46" s="1044">
        <f>V44+V45</f>
        <v>0</v>
      </c>
      <c r="W46" s="1045"/>
      <c r="X46" s="1151"/>
      <c r="Y46" s="235"/>
      <c r="Z46" s="235"/>
      <c r="AD46" s="89"/>
      <c r="AE46" s="89"/>
      <c r="BM46" s="1"/>
      <c r="CJ46" s="1"/>
      <c r="CU46" s="244"/>
      <c r="CV46" s="244"/>
      <c r="CY46"/>
      <c r="CZ46"/>
    </row>
    <row r="47" spans="1:185">
      <c r="A47" s="993" t="str">
        <f>"Planlagt arbejdstid efter ovennstående "&amp;A7&amp;" måned kalender"</f>
        <v>Planlagt arbejdstid efter ovennstående Januar måned kalender</v>
      </c>
      <c r="B47" s="994"/>
      <c r="C47" s="994"/>
      <c r="D47" s="994"/>
      <c r="E47" s="994"/>
      <c r="F47" s="994"/>
      <c r="G47" s="994"/>
      <c r="H47" s="468">
        <f>D64+D65+D66+D67+D68+D69+D70</f>
        <v>20</v>
      </c>
      <c r="I47" s="995">
        <f>N40+R40+V106</f>
        <v>0</v>
      </c>
      <c r="J47" s="996"/>
      <c r="K47" s="997"/>
      <c r="L47" s="381"/>
      <c r="M47" s="1053" t="s">
        <v>293</v>
      </c>
      <c r="N47" s="1054"/>
      <c r="O47" s="1054"/>
      <c r="P47" s="1054"/>
      <c r="Q47" s="1054"/>
      <c r="R47" s="1054"/>
      <c r="S47" s="1054"/>
      <c r="T47" s="1054"/>
      <c r="U47" s="1054"/>
      <c r="V47" s="1054"/>
      <c r="W47" s="1054"/>
      <c r="X47" s="1146"/>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1056" t="s">
        <v>462</v>
      </c>
      <c r="N48" s="1057"/>
      <c r="O48" s="1057"/>
      <c r="P48" s="1057"/>
      <c r="Q48" s="1057"/>
      <c r="R48" s="1057"/>
      <c r="S48" s="1057"/>
      <c r="T48" s="1057"/>
      <c r="U48" s="1058"/>
      <c r="V48" s="1059" t="s">
        <v>221</v>
      </c>
      <c r="W48" s="1060"/>
      <c r="X48" s="1147"/>
      <c r="Y48" s="235"/>
      <c r="Z48" s="235"/>
      <c r="AD48" s="89"/>
      <c r="AE48" s="89"/>
      <c r="BM48" s="1"/>
      <c r="CJ48" s="1"/>
      <c r="CU48" s="244"/>
      <c r="CV48" s="244"/>
      <c r="CY48"/>
      <c r="CZ48"/>
    </row>
    <row r="49" spans="1:110">
      <c r="A49" s="1020" t="str">
        <f>"Arbejde særligt planlagt for "&amp;A7&amp;" måned efter fanen skemaoplysninger"</f>
        <v>Arbejde særligt planlagt for Januar måned efter fanen skemaoplysninger</v>
      </c>
      <c r="B49" s="1021"/>
      <c r="C49" s="1021"/>
      <c r="D49" s="1021"/>
      <c r="E49" s="1021"/>
      <c r="F49" s="1021"/>
      <c r="G49" s="1021"/>
      <c r="H49" s="1022"/>
      <c r="I49" s="996">
        <f>Skemaoplysninger!P91</f>
        <v>0</v>
      </c>
      <c r="J49" s="1018"/>
      <c r="K49" s="1019"/>
      <c r="L49" s="383"/>
      <c r="M49" s="882"/>
      <c r="N49" s="883"/>
      <c r="O49" s="883"/>
      <c r="P49" s="883"/>
      <c r="Q49" s="883"/>
      <c r="R49" s="883"/>
      <c r="S49" s="883"/>
      <c r="T49" s="883"/>
      <c r="U49" s="884"/>
      <c r="V49" s="1062"/>
      <c r="W49" s="1062"/>
      <c r="X49" s="1063"/>
      <c r="Y49"/>
      <c r="Z49" s="235"/>
      <c r="AA49" s="235"/>
      <c r="AG49" s="89"/>
      <c r="AH49" s="89"/>
      <c r="BA49" s="235"/>
      <c r="BO49" s="1"/>
      <c r="CL49" s="1"/>
      <c r="CV49" s="244"/>
      <c r="CW49" s="244"/>
      <c r="CY49"/>
      <c r="CZ49"/>
    </row>
    <row r="50" spans="1:110">
      <c r="A50" s="982" t="s">
        <v>291</v>
      </c>
      <c r="B50" s="983"/>
      <c r="C50" s="983"/>
      <c r="D50" s="983"/>
      <c r="E50" s="983"/>
      <c r="F50" s="983"/>
      <c r="G50" s="983"/>
      <c r="H50" s="983"/>
      <c r="I50" s="984">
        <f>V40+X40-FA40+R106</f>
        <v>0</v>
      </c>
      <c r="J50" s="985"/>
      <c r="K50" s="986"/>
      <c r="L50" s="237"/>
      <c r="M50" s="882"/>
      <c r="N50" s="883"/>
      <c r="O50" s="883"/>
      <c r="P50" s="883"/>
      <c r="Q50" s="883"/>
      <c r="R50" s="883"/>
      <c r="S50" s="883"/>
      <c r="T50" s="883"/>
      <c r="U50" s="884"/>
      <c r="V50" s="885"/>
      <c r="W50" s="886"/>
      <c r="X50" s="887"/>
      <c r="Y50"/>
      <c r="Z50" s="235"/>
      <c r="AA50" s="235"/>
      <c r="AE50" s="89"/>
      <c r="AF50" s="243"/>
      <c r="AG50" s="89"/>
      <c r="BN50" s="1"/>
      <c r="CK50" s="1"/>
      <c r="CV50" s="244"/>
      <c r="CW50" s="244"/>
      <c r="CY50"/>
      <c r="CZ50"/>
    </row>
    <row r="51" spans="1:110" ht="17" thickBot="1">
      <c r="A51" s="257" t="str">
        <f>"Faktisk arbejdstid ialt i "&amp;A7&amp;" måned"</f>
        <v>Faktisk arbejdstid ialt i Januar måned</v>
      </c>
      <c r="B51" s="309"/>
      <c r="C51" s="310"/>
      <c r="D51" s="310"/>
      <c r="E51" s="310"/>
      <c r="F51" s="310"/>
      <c r="G51" s="310"/>
      <c r="H51" s="311"/>
      <c r="I51" s="1023">
        <f>I47+I50+I49+I48</f>
        <v>0</v>
      </c>
      <c r="J51" s="1024"/>
      <c r="K51" s="1025"/>
      <c r="L51" s="237"/>
      <c r="M51" s="882"/>
      <c r="N51" s="883"/>
      <c r="O51" s="883"/>
      <c r="P51" s="883"/>
      <c r="Q51" s="883"/>
      <c r="R51" s="883"/>
      <c r="S51" s="883"/>
      <c r="T51" s="883"/>
      <c r="U51" s="884"/>
      <c r="V51" s="885"/>
      <c r="W51" s="886"/>
      <c r="X51" s="887"/>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882"/>
      <c r="N52" s="883"/>
      <c r="O52" s="883"/>
      <c r="P52" s="883"/>
      <c r="Q52" s="883"/>
      <c r="R52" s="883"/>
      <c r="S52" s="883"/>
      <c r="T52" s="883"/>
      <c r="U52" s="884"/>
      <c r="V52" s="885"/>
      <c r="W52" s="886"/>
      <c r="X52" s="887"/>
      <c r="Y52" s="235"/>
      <c r="Z52" s="235"/>
      <c r="AA52" s="235"/>
      <c r="AB52" s="235"/>
      <c r="AC52" s="213"/>
      <c r="AD52" s="243"/>
      <c r="AE52" s="243"/>
      <c r="AF52" s="243"/>
      <c r="AG52" s="243"/>
      <c r="AH52" s="235"/>
      <c r="AJ52" s="235"/>
      <c r="AK52" s="235"/>
      <c r="AO52" s="89"/>
      <c r="AP52" s="89"/>
      <c r="BW52" s="1"/>
      <c r="CT52" s="1"/>
      <c r="CY52"/>
      <c r="CZ52"/>
      <c r="DE52" s="244"/>
      <c r="DF52" s="244"/>
    </row>
    <row r="53" spans="1:110" ht="25" thickBot="1">
      <c r="A53" s="973" t="s">
        <v>478</v>
      </c>
      <c r="B53" s="974"/>
      <c r="C53" s="974"/>
      <c r="D53" s="974"/>
      <c r="E53" s="974"/>
      <c r="F53" s="974"/>
      <c r="G53" s="974"/>
      <c r="H53" s="698" t="s">
        <v>669</v>
      </c>
      <c r="I53" s="1133" t="s">
        <v>477</v>
      </c>
      <c r="J53" s="1133"/>
      <c r="K53" s="1134"/>
      <c r="L53" s="492"/>
      <c r="M53" s="1047" t="s">
        <v>294</v>
      </c>
      <c r="N53" s="1048"/>
      <c r="O53" s="1048"/>
      <c r="P53" s="1048"/>
      <c r="Q53" s="1048"/>
      <c r="R53" s="1048"/>
      <c r="S53" s="1048"/>
      <c r="T53" s="1048"/>
      <c r="U53" s="1049"/>
      <c r="V53" s="1096">
        <f>V46-SUM(V49:X52)</f>
        <v>0</v>
      </c>
      <c r="W53" s="1097"/>
      <c r="X53" s="1098"/>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08"/>
      <c r="B54" s="1009"/>
      <c r="C54" s="1009"/>
      <c r="D54" s="1009"/>
      <c r="E54" s="1009"/>
      <c r="F54" s="1009"/>
      <c r="G54" s="1009"/>
      <c r="H54" s="595"/>
      <c r="I54" s="1099">
        <f>December!I62</f>
        <v>0</v>
      </c>
      <c r="J54" s="1099"/>
      <c r="K54" s="1100"/>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16" customHeight="1">
      <c r="A55" s="1084" t="s">
        <v>481</v>
      </c>
      <c r="B55" s="1085"/>
      <c r="C55" s="1085"/>
      <c r="D55" s="1085"/>
      <c r="E55" s="1085"/>
      <c r="F55" s="1085"/>
      <c r="G55" s="1086"/>
      <c r="H55" s="595"/>
      <c r="I55" s="1087"/>
      <c r="J55" s="1088"/>
      <c r="K55" s="1089"/>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7" customHeight="1">
      <c r="A56" s="879" t="s">
        <v>670</v>
      </c>
      <c r="B56" s="880"/>
      <c r="C56" s="880"/>
      <c r="D56" s="880"/>
      <c r="E56" s="880"/>
      <c r="F56" s="880"/>
      <c r="G56" s="880"/>
      <c r="H56" s="880"/>
      <c r="I56" s="880"/>
      <c r="J56" s="880"/>
      <c r="K56" s="881"/>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10" t="s">
        <v>671</v>
      </c>
      <c r="B57" s="1011"/>
      <c r="C57" s="913" t="s">
        <v>509</v>
      </c>
      <c r="D57" s="914"/>
      <c r="E57" s="915" t="s">
        <v>510</v>
      </c>
      <c r="F57" s="880"/>
      <c r="G57" s="916"/>
      <c r="H57" s="925" t="s">
        <v>479</v>
      </c>
      <c r="I57" s="925"/>
      <c r="J57" s="925"/>
      <c r="K57" s="92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917"/>
      <c r="B58" s="918"/>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919"/>
      <c r="B60" s="920"/>
      <c r="C60" s="921"/>
      <c r="D60" s="920"/>
      <c r="E60" s="922"/>
      <c r="F60" s="923"/>
      <c r="G60" s="924"/>
      <c r="H60" s="596"/>
      <c r="I60" s="911"/>
      <c r="J60" s="911"/>
      <c r="K60" s="912"/>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919"/>
      <c r="B61" s="920"/>
      <c r="C61" s="921"/>
      <c r="D61" s="920"/>
      <c r="E61" s="922"/>
      <c r="F61" s="923"/>
      <c r="G61" s="924"/>
      <c r="H61" s="596"/>
      <c r="I61" s="911"/>
      <c r="J61" s="911"/>
      <c r="K61" s="912"/>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7" thickBot="1">
      <c r="A62" s="908" t="s">
        <v>480</v>
      </c>
      <c r="B62" s="909"/>
      <c r="C62" s="910"/>
      <c r="D62" s="910"/>
      <c r="E62" s="910"/>
      <c r="F62" s="910"/>
      <c r="G62" s="910"/>
      <c r="H62" s="598">
        <f>H55+H54-SUM(H58:H61)</f>
        <v>0</v>
      </c>
      <c r="I62" s="927">
        <f>I54+I55-SUM(I58:K61)</f>
        <v>0</v>
      </c>
      <c r="J62" s="928"/>
      <c r="K62" s="9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idden="1">
      <c r="A63" s="251"/>
      <c r="B63" s="251"/>
      <c r="C63" s="251"/>
      <c r="D63" s="251"/>
      <c r="E63" s="251"/>
      <c r="F63" s="251"/>
      <c r="G63" s="251"/>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490" t="s">
        <v>206</v>
      </c>
      <c r="B64" s="490"/>
      <c r="C64" s="490"/>
      <c r="D64" s="490">
        <f>COUNTIF([0]!Januar,"Skema 1")</f>
        <v>20</v>
      </c>
      <c r="E64" s="491"/>
      <c r="F64" s="490" t="s">
        <v>186</v>
      </c>
      <c r="G64" s="490">
        <f>COUNTIFS($B$9:$B$39,"ma",[0]!Januar,"Skema 1")</f>
        <v>4</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09" hidden="1">
      <c r="A65" s="1128" t="s">
        <v>207</v>
      </c>
      <c r="B65" s="1128"/>
      <c r="C65" s="1128"/>
      <c r="D65" s="490">
        <f>COUNTIF([0]!Januar,"Skema 2")</f>
        <v>0</v>
      </c>
      <c r="E65" s="491"/>
      <c r="F65" s="490" t="s">
        <v>187</v>
      </c>
      <c r="G65" s="490">
        <f>COUNTIFS($B$9:$B$39,"ti",[0]!Januar,"Skema 1")</f>
        <v>4</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09" hidden="1">
      <c r="A66" s="1128" t="s">
        <v>208</v>
      </c>
      <c r="B66" s="1128"/>
      <c r="C66" s="1128"/>
      <c r="D66" s="490">
        <f>COUNTIF([0]!Januar,"Skema 3")</f>
        <v>0</v>
      </c>
      <c r="E66" s="491"/>
      <c r="F66" s="490" t="s">
        <v>188</v>
      </c>
      <c r="G66" s="490">
        <f>COUNTIFS($B$9:$B$39,"on",[0]!Januar,"Skema 1")</f>
        <v>4</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Y66"/>
      <c r="Z66"/>
      <c r="AA66" s="89"/>
      <c r="AB66" s="89"/>
      <c r="BI66" s="1"/>
      <c r="CF66" s="1"/>
      <c r="CQ66" s="244"/>
      <c r="CR66" s="244"/>
      <c r="CY66"/>
      <c r="CZ66"/>
    </row>
    <row r="67" spans="1:109" hidden="1">
      <c r="A67" s="1128" t="s">
        <v>209</v>
      </c>
      <c r="B67" s="1128"/>
      <c r="C67" s="1128"/>
      <c r="D67" s="490">
        <f>COUNTIF([0]!Januar,"Skema 4")</f>
        <v>0</v>
      </c>
      <c r="E67" s="491"/>
      <c r="F67" s="490" t="s">
        <v>190</v>
      </c>
      <c r="G67" s="490">
        <f>COUNTIFS($B$9:$B$39,"to",[0]!Januar,"Skema 1")</f>
        <v>4</v>
      </c>
      <c r="H67" s="490"/>
      <c r="I67" s="668" t="s">
        <v>591</v>
      </c>
      <c r="J67" s="650"/>
      <c r="K67" s="503"/>
      <c r="L67" s="653"/>
      <c r="M67" s="656"/>
      <c r="N67" s="656"/>
      <c r="O67" s="4"/>
      <c r="P67" s="669"/>
      <c r="Q67" s="671"/>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0" t="s">
        <v>112</v>
      </c>
      <c r="B68" s="490"/>
      <c r="C68" s="490"/>
      <c r="D68" s="490">
        <f>COUNTIF([0]!Januar,"Fagdag")+COUNTIF([0]!Januar,"emnedag")</f>
        <v>0</v>
      </c>
      <c r="E68" s="491"/>
      <c r="F68" s="490" t="s">
        <v>189</v>
      </c>
      <c r="G68" s="490">
        <f>COUNTIFS($B$9:$B$39,"fr",[0]!Januar,"Skema 1")</f>
        <v>4</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4" t="s">
        <v>111</v>
      </c>
      <c r="B69" s="490"/>
      <c r="C69" s="490"/>
      <c r="D69" s="490">
        <f>COUNTIF([0]!Januar,"Lejrskole")+COUNTIF([0]!Januar,"Ekskursion")</f>
        <v>0</v>
      </c>
      <c r="E69" s="491"/>
      <c r="F69" s="490"/>
      <c r="G69" s="490"/>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110</v>
      </c>
      <c r="B70" s="490"/>
      <c r="C70" s="490"/>
      <c r="D70" s="490">
        <f>COUNTIF([0]!Januar,"Pæd.dag")</f>
        <v>0</v>
      </c>
      <c r="E70" s="491"/>
      <c r="F70" s="490" t="s">
        <v>191</v>
      </c>
      <c r="G70" s="490">
        <f>COUNTIFS($B$9:$B$39,"ma",[0]!Januar,"Skema 2")</f>
        <v>0</v>
      </c>
      <c r="H70" s="490"/>
      <c r="I70" s="653" t="s">
        <v>594</v>
      </c>
      <c r="J70" s="653"/>
      <c r="K70" s="653"/>
      <c r="L70" s="653"/>
      <c r="M70" s="657"/>
      <c r="N70" s="657"/>
      <c r="O70" s="4"/>
      <c r="P70" s="669"/>
      <c r="Q70" s="671"/>
      <c r="R70" s="227"/>
      <c r="S70" s="227"/>
      <c r="T70" s="227"/>
      <c r="U70" s="227"/>
      <c r="V70" s="227"/>
      <c r="W70" s="117"/>
      <c r="X70" s="117"/>
      <c r="Y70" s="235"/>
      <c r="Z70" s="235"/>
      <c r="AA70" s="235"/>
      <c r="AB70" s="213"/>
      <c r="AC70" s="243"/>
      <c r="AD70" s="243"/>
      <c r="AE70" s="243"/>
      <c r="AG70" s="235"/>
      <c r="AI70" s="235"/>
      <c r="AJ70" s="235"/>
      <c r="AN70" s="89"/>
      <c r="AO70" s="89"/>
      <c r="BV70" s="1"/>
      <c r="CS70" s="1"/>
      <c r="CY70"/>
      <c r="CZ70"/>
      <c r="DD70" s="244"/>
      <c r="DE70" s="244"/>
    </row>
    <row r="71" spans="1:109" hidden="1">
      <c r="A71" s="490" t="s">
        <v>120</v>
      </c>
      <c r="B71" s="490"/>
      <c r="C71" s="490"/>
      <c r="D71" s="490">
        <f>COUNTIF([0]!Januar,"Weekend")</f>
        <v>8</v>
      </c>
      <c r="E71" s="491"/>
      <c r="F71" s="490" t="s">
        <v>192</v>
      </c>
      <c r="G71" s="490">
        <f>COUNTIFS($B$9:$B$39,"ti",[0]!Januar,"Skema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Y71"/>
      <c r="Z71"/>
      <c r="AM71" s="1"/>
      <c r="BJ71" s="1"/>
      <c r="BU71" s="244"/>
      <c r="BV71" s="244"/>
      <c r="CY71"/>
      <c r="CZ71"/>
    </row>
    <row r="72" spans="1:109" hidden="1">
      <c r="A72" s="490" t="s">
        <v>127</v>
      </c>
      <c r="B72" s="490"/>
      <c r="C72" s="490"/>
      <c r="D72" s="490">
        <f>COUNTIF([0]!Januar,"SH-dag")</f>
        <v>1</v>
      </c>
      <c r="E72" s="491"/>
      <c r="F72" s="490" t="s">
        <v>193</v>
      </c>
      <c r="G72" s="490">
        <f>COUNTIFS($B$9:$B$39,"on",[0]!Januar,"Skema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Y72"/>
      <c r="Z72"/>
      <c r="AM72" s="1"/>
      <c r="BJ72" s="1"/>
      <c r="BU72" s="244"/>
      <c r="BV72" s="244"/>
      <c r="CY72"/>
      <c r="CZ72"/>
    </row>
    <row r="73" spans="1:109" hidden="1">
      <c r="A73" s="490" t="s">
        <v>109</v>
      </c>
      <c r="B73" s="490"/>
      <c r="C73" s="490"/>
      <c r="D73" s="490">
        <f>COUNTIF([0]!Januar,"Feriedag")</f>
        <v>0</v>
      </c>
      <c r="E73" s="491"/>
      <c r="F73" s="490" t="s">
        <v>194</v>
      </c>
      <c r="G73" s="490">
        <f>COUNTIFS($B$9:$B$39,"to",[0]!Januar,"Skema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Y73"/>
      <c r="Z73"/>
      <c r="AM73" s="1"/>
      <c r="BJ73" s="1"/>
      <c r="BU73" s="244"/>
      <c r="BV73" s="244"/>
      <c r="CY73"/>
      <c r="CZ73"/>
    </row>
    <row r="74" spans="1:109" hidden="1">
      <c r="A74" s="490" t="s">
        <v>178</v>
      </c>
      <c r="B74" s="490"/>
      <c r="C74" s="490"/>
      <c r="D74" s="490">
        <f>COUNTIF([0]!Januar,"Nul-dag")</f>
        <v>2</v>
      </c>
      <c r="E74" s="491"/>
      <c r="F74" s="490" t="s">
        <v>195</v>
      </c>
      <c r="G74" s="490">
        <f>COUNTIFS($B$9:$B$39,"fr",[0]!Januar,"Skema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V74" t="s">
        <v>605</v>
      </c>
      <c r="Y74"/>
      <c r="Z74"/>
      <c r="AM74" s="1"/>
      <c r="BJ74" s="1"/>
      <c r="BU74" s="244"/>
      <c r="BV74" s="244"/>
      <c r="CY74"/>
      <c r="CZ74"/>
    </row>
    <row r="75" spans="1:109" hidden="1">
      <c r="A75" s="495" t="s">
        <v>415</v>
      </c>
      <c r="B75" s="490"/>
      <c r="C75" s="490"/>
      <c r="D75" s="490">
        <f>COUNTIF([0]!Januar,"Orlov")</f>
        <v>0</v>
      </c>
      <c r="E75" s="491"/>
      <c r="F75" s="496"/>
      <c r="G75" s="496"/>
      <c r="H75" s="496"/>
      <c r="I75" s="653" t="s">
        <v>604</v>
      </c>
      <c r="J75" s="653"/>
      <c r="K75" s="653"/>
      <c r="L75" s="653"/>
      <c r="M75" s="659"/>
      <c r="N75" s="659"/>
      <c r="O75" s="4"/>
      <c r="P75" s="652"/>
      <c r="R75">
        <f>IF(C10="ikke relevant",V10*-1+X10*-1,0)</f>
        <v>0</v>
      </c>
      <c r="S75" t="s">
        <v>610</v>
      </c>
      <c r="V75">
        <f>IF(C10="ikke relevant",R10*-1,0)</f>
        <v>0</v>
      </c>
      <c r="Y75"/>
      <c r="Z75"/>
      <c r="AM75" s="1"/>
      <c r="BJ75" s="1"/>
      <c r="BU75" s="244"/>
      <c r="BV75" s="244"/>
      <c r="CY75"/>
      <c r="CZ75"/>
    </row>
    <row r="76" spans="1:109" hidden="1">
      <c r="A76" s="490" t="s">
        <v>160</v>
      </c>
      <c r="B76" s="490"/>
      <c r="C76" s="490"/>
      <c r="D76" s="490">
        <f>COUNTIF([0]!Januar,"Ikke relevant")</f>
        <v>0</v>
      </c>
      <c r="E76" s="491"/>
      <c r="F76" s="490" t="s">
        <v>196</v>
      </c>
      <c r="G76" s="490">
        <f>COUNTIFS($B$9:$B$39,"ma",[0]!Januar,"Skema 3")</f>
        <v>0</v>
      </c>
      <c r="H76" s="490"/>
      <c r="I76" s="653"/>
      <c r="J76" s="653"/>
      <c r="K76" s="653"/>
      <c r="L76" s="503"/>
      <c r="M76" s="659"/>
      <c r="N76" s="659"/>
      <c r="O76" s="4"/>
      <c r="P76" s="652"/>
      <c r="R76">
        <f>IF(C11="ikke relevant",V11*-1+X11*-1,0)</f>
        <v>0</v>
      </c>
      <c r="V76">
        <f>IF(C11="ikke relevant",R11*-1,0)</f>
        <v>0</v>
      </c>
      <c r="Y76"/>
      <c r="Z76"/>
      <c r="AM76" s="1"/>
      <c r="BJ76" s="1"/>
      <c r="BU76" s="244"/>
      <c r="BV76" s="244"/>
      <c r="CY76"/>
      <c r="CZ76"/>
    </row>
    <row r="77" spans="1:109" hidden="1">
      <c r="A77" s="490" t="s">
        <v>108</v>
      </c>
      <c r="B77" s="490"/>
      <c r="C77" s="490"/>
      <c r="D77" s="490">
        <f>SUM(D64:D76)</f>
        <v>31</v>
      </c>
      <c r="E77" s="490"/>
      <c r="F77" s="490" t="s">
        <v>197</v>
      </c>
      <c r="G77" s="490">
        <f>COUNTIFS($B$9:$B$39,"ti",[0]!Januar,"Skema 3")</f>
        <v>0</v>
      </c>
      <c r="H77" s="490"/>
      <c r="I77" s="653"/>
      <c r="J77" s="653"/>
      <c r="K77" s="653"/>
      <c r="L77" s="503"/>
      <c r="M77" s="659"/>
      <c r="N77" s="659"/>
      <c r="O77" s="4"/>
      <c r="P77" s="652"/>
      <c r="R77">
        <f t="shared" ref="R77:R105" si="39">IF(C12="ikke relevant",V12*-1+X12*-1,0)</f>
        <v>0</v>
      </c>
      <c r="V77">
        <f t="shared" ref="V77:V105" si="40">IF(C12="ikke relevant",R12*-1,0)</f>
        <v>0</v>
      </c>
      <c r="Y77"/>
      <c r="Z77" s="1"/>
      <c r="AX77" s="1"/>
      <c r="BI77" s="244"/>
      <c r="BJ77" s="244"/>
      <c r="CY77"/>
      <c r="CZ77"/>
    </row>
    <row r="78" spans="1:109" hidden="1">
      <c r="A78" s="490" t="s">
        <v>239</v>
      </c>
      <c r="B78" s="490"/>
      <c r="C78" s="490"/>
      <c r="D78" s="490">
        <f>D77-D71-A87-D76</f>
        <v>23</v>
      </c>
      <c r="E78" s="497"/>
      <c r="F78" s="490" t="s">
        <v>198</v>
      </c>
      <c r="G78" s="490">
        <f>COUNTIFS($B$9:$B$39,"on",[0]!Januar,"Skema 3")</f>
        <v>0</v>
      </c>
      <c r="H78" s="490"/>
      <c r="I78" s="653"/>
      <c r="J78" s="653"/>
      <c r="K78" s="653"/>
      <c r="L78" s="503"/>
      <c r="M78" s="659"/>
      <c r="N78" s="659"/>
      <c r="O78" s="4"/>
      <c r="P78" s="652"/>
      <c r="R78">
        <f t="shared" si="39"/>
        <v>0</v>
      </c>
      <c r="V78">
        <f t="shared" si="40"/>
        <v>0</v>
      </c>
      <c r="Y78"/>
      <c r="Z78" s="1"/>
      <c r="AO78" s="1"/>
      <c r="BL78" s="1"/>
      <c r="BW78" s="244"/>
      <c r="BX78" s="244"/>
      <c r="CY78"/>
      <c r="CZ78"/>
    </row>
    <row r="79" spans="1:109" hidden="1">
      <c r="A79" s="490"/>
      <c r="B79" s="490"/>
      <c r="C79" s="490"/>
      <c r="D79" s="490"/>
      <c r="E79" s="490"/>
      <c r="F79" s="490" t="s">
        <v>199</v>
      </c>
      <c r="G79" s="490">
        <f>COUNTIFS($B$9:$B$39,"to",[0]!Januar,"Skema 3")</f>
        <v>0</v>
      </c>
      <c r="H79" s="490"/>
      <c r="I79" s="655"/>
      <c r="J79" s="653"/>
      <c r="K79" s="653"/>
      <c r="L79" s="503"/>
      <c r="M79" s="651"/>
      <c r="N79" s="651"/>
      <c r="O79" s="4"/>
      <c r="P79" s="652"/>
      <c r="R79">
        <f t="shared" si="39"/>
        <v>0</v>
      </c>
      <c r="V79">
        <f t="shared" si="40"/>
        <v>0</v>
      </c>
      <c r="Y79"/>
      <c r="Z79" s="1"/>
      <c r="AO79" s="1"/>
      <c r="BL79" s="1"/>
      <c r="BW79" s="244"/>
      <c r="BX79" s="244"/>
      <c r="CY79"/>
      <c r="CZ79"/>
    </row>
    <row r="80" spans="1:109" hidden="1">
      <c r="A80" s="490"/>
      <c r="B80" s="490"/>
      <c r="C80" s="490"/>
      <c r="D80" s="490"/>
      <c r="E80" s="490"/>
      <c r="F80" s="490" t="s">
        <v>200</v>
      </c>
      <c r="G80" s="490">
        <f>COUNTIFS($B$9:$B$39,"fr",[0]!Januar,"Skema 3")</f>
        <v>0</v>
      </c>
      <c r="H80" s="490"/>
      <c r="I80" s="498"/>
      <c r="J80" s="503"/>
      <c r="K80" s="503"/>
      <c r="L80" s="503"/>
      <c r="M80" s="4"/>
      <c r="N80" s="4"/>
      <c r="O80" s="4"/>
      <c r="P80" s="4"/>
      <c r="R80">
        <f t="shared" si="39"/>
        <v>0</v>
      </c>
      <c r="V80">
        <f t="shared" si="40"/>
        <v>0</v>
      </c>
      <c r="Y80"/>
      <c r="Z80" s="1"/>
      <c r="AO80" s="1"/>
      <c r="BL80" s="1"/>
      <c r="BW80" s="244"/>
      <c r="BX80" s="244"/>
      <c r="CY80"/>
      <c r="CZ80"/>
    </row>
    <row r="81" spans="1:111" hidden="1">
      <c r="A81" s="490" t="s">
        <v>292</v>
      </c>
      <c r="B81" s="490"/>
      <c r="C81" s="490"/>
      <c r="D81" s="490"/>
      <c r="E81" s="490"/>
      <c r="F81" s="490"/>
      <c r="G81" s="490"/>
      <c r="H81" s="490"/>
      <c r="I81" s="498"/>
      <c r="J81" s="503"/>
      <c r="K81" s="503"/>
      <c r="L81" s="503"/>
      <c r="M81" s="4"/>
      <c r="N81" s="4"/>
      <c r="O81" s="4"/>
      <c r="P81" s="4"/>
      <c r="R81">
        <f t="shared" si="39"/>
        <v>0</v>
      </c>
      <c r="V81">
        <f t="shared" si="40"/>
        <v>0</v>
      </c>
      <c r="Y81"/>
      <c r="Z81" s="1"/>
      <c r="AO81" s="1"/>
      <c r="BL81" s="1"/>
      <c r="BW81" s="244"/>
      <c r="BX81" s="244"/>
      <c r="CY81"/>
      <c r="CZ81"/>
    </row>
    <row r="82" spans="1:111" hidden="1">
      <c r="A82" s="490">
        <f>COUNTIF($C$12:$C$13,"Skema 1")+COUNTIF($C$12:$C$13,"Skema 2")+COUNTIF($C$12:$C$13,"Skema 3")+COUNTIF($C$12:$C$13,"Skema 4")+COUNTIF($C$12:$C$13,"Fagdag")+COUNTIF($C$12:$C$13,"Emnedag")+COUNTIF($C$12:$C$13,"Lejrskole")+COUNTIF($C$12:$C$13,"Ekskursion")+COUNTIF($C$12:$C$13,"Pæd.dag")</f>
        <v>0</v>
      </c>
      <c r="B82" s="490"/>
      <c r="C82" s="490"/>
      <c r="D82" s="490"/>
      <c r="E82" s="490"/>
      <c r="F82" s="490" t="s">
        <v>201</v>
      </c>
      <c r="G82" s="490">
        <f>COUNTIFS($B$9:$B$39,"ma",[0]!Januar,"Skema 4")</f>
        <v>0</v>
      </c>
      <c r="H82" s="490"/>
      <c r="I82" s="498"/>
      <c r="J82" s="503"/>
      <c r="K82" s="503"/>
      <c r="L82" s="503"/>
      <c r="M82" s="4"/>
      <c r="N82" s="4"/>
      <c r="O82" s="4"/>
      <c r="P82" s="4"/>
      <c r="R82">
        <f t="shared" si="39"/>
        <v>0</v>
      </c>
      <c r="V82">
        <f t="shared" si="40"/>
        <v>0</v>
      </c>
      <c r="Y82"/>
      <c r="Z82" s="1"/>
      <c r="AO82" s="1"/>
      <c r="BL82" s="1"/>
      <c r="BW82" s="244"/>
      <c r="BX82" s="244"/>
      <c r="CY82"/>
      <c r="CZ82"/>
    </row>
    <row r="83" spans="1:111" hidden="1">
      <c r="A83" s="490">
        <f>COUNTIF($C$19:$C$20,"Skema 1")+COUNTIF($C$19:$C$20,"Skema 2")+COUNTIF($C$19:$C$20,"Skema 3")+COUNTIF($C$19:$C$20,"Skema 4")+COUNTIF($C$19:$C$20,"Fagdag")+COUNTIF($C$19:$C$20,"Emnedag")+COUNTIF($C$19:$C$20,"Lejrskole")+COUNTIF($C$19:$C$20,"Ekskursion")+COUNTIF($C$19:$C$20,"Pæd.dag")</f>
        <v>0</v>
      </c>
      <c r="B83" s="490"/>
      <c r="C83" s="490"/>
      <c r="D83" s="490"/>
      <c r="E83" s="490"/>
      <c r="F83" s="490" t="s">
        <v>202</v>
      </c>
      <c r="G83" s="490">
        <f>COUNTIFS($B$9:$B$39,"ti",[0]!Januar,"Skema 4")</f>
        <v>0</v>
      </c>
      <c r="H83" s="490"/>
      <c r="I83" s="498"/>
      <c r="J83" s="503"/>
      <c r="K83" s="503"/>
      <c r="L83" s="503"/>
      <c r="M83" s="4"/>
      <c r="N83" s="4"/>
      <c r="O83" s="4"/>
      <c r="P83" s="4"/>
      <c r="R83">
        <f t="shared" si="39"/>
        <v>0</v>
      </c>
      <c r="V83">
        <f t="shared" si="40"/>
        <v>0</v>
      </c>
      <c r="Y83"/>
      <c r="Z83" s="1"/>
      <c r="AO83" s="1"/>
      <c r="BL83" s="1"/>
      <c r="BW83" s="244"/>
      <c r="BX83" s="244"/>
      <c r="CY83"/>
      <c r="CZ83"/>
    </row>
    <row r="84" spans="1:111" hidden="1">
      <c r="A84" s="490">
        <f>COUNTIF($C$26:$C$27,"Skema 1")+COUNTIF($C$26:$C$27,"Skema 2")+COUNTIF($C$26:$C$27,"Skema 3")+COUNTIF($C$26:$C$27,"Skema 4")+COUNTIF($C$26:$C$27,"Fagdag")+COUNTIF($C$26:$C$27,"Emnedag")+COUNTIF($C$26:$C$27,"Lejrskole")+COUNTIF($C$26:$C$27,"Ekskursion")+COUNTIF($C$26:$C$27,"Pæd.dag")</f>
        <v>0</v>
      </c>
      <c r="B84" s="490"/>
      <c r="C84" s="490"/>
      <c r="D84" s="490"/>
      <c r="E84" s="490"/>
      <c r="F84" s="490" t="s">
        <v>203</v>
      </c>
      <c r="G84" s="490">
        <f>COUNTIFS($B$9:$B$39,"on",[0]!Januar,"Skema 4")</f>
        <v>0</v>
      </c>
      <c r="H84" s="490"/>
      <c r="I84" s="498"/>
      <c r="J84" s="503"/>
      <c r="K84" s="503"/>
      <c r="L84" s="503"/>
      <c r="M84" s="4"/>
      <c r="N84" s="4"/>
      <c r="O84" s="4"/>
      <c r="P84" s="4"/>
      <c r="R84">
        <f t="shared" si="39"/>
        <v>0</v>
      </c>
      <c r="V84">
        <f t="shared" si="40"/>
        <v>0</v>
      </c>
      <c r="Y84"/>
      <c r="Z84" s="1"/>
      <c r="AO84" s="1"/>
      <c r="BL84" s="1"/>
      <c r="BW84" s="244"/>
      <c r="BX84" s="244"/>
      <c r="CY84"/>
      <c r="CZ84"/>
    </row>
    <row r="85" spans="1:111" hidden="1">
      <c r="A85" s="490">
        <f>COUNTIF($C$33:$C$34,"Skema 1")+COUNTIF($C$33:$C$34,"Skema 2")+COUNTIF($C$33:$C$34,"Skema 3")+COUNTIF($C$33:$C$34,"Skema 4")+COUNTIF($C$33:$C$34,"Fagdag")+COUNTIF($C$33:$C$34,"Emnedag")+COUNTIF($C$33:$C$34,"Lejrskole")+COUNTIF($C$33:$C$34,"Ekskursion")+COUNTIF($C$33:$C$34,"Pæd.dag")</f>
        <v>0</v>
      </c>
      <c r="B85" s="490"/>
      <c r="C85" s="490"/>
      <c r="D85" s="490"/>
      <c r="E85" s="490"/>
      <c r="F85" s="490" t="s">
        <v>204</v>
      </c>
      <c r="G85" s="490">
        <f>COUNTIFS($B$9:$B$39,"to",[0]!Januar,"Skema 4")</f>
        <v>0</v>
      </c>
      <c r="H85" s="490"/>
      <c r="I85" s="498"/>
      <c r="J85" s="503"/>
      <c r="K85" s="503"/>
      <c r="L85" s="503"/>
      <c r="M85" s="4"/>
      <c r="N85" s="4"/>
      <c r="O85" s="4"/>
      <c r="P85" s="4"/>
      <c r="R85">
        <f t="shared" si="39"/>
        <v>0</v>
      </c>
      <c r="V85">
        <f t="shared" si="40"/>
        <v>0</v>
      </c>
      <c r="Y85"/>
      <c r="Z85"/>
      <c r="AO85" s="1">
        <f>SUM(N85:AN85)</f>
        <v>0</v>
      </c>
      <c r="BL85" s="1">
        <f>SUM(AI85:BK85)</f>
        <v>0</v>
      </c>
      <c r="BW85" s="244"/>
      <c r="BX85" s="244"/>
      <c r="CY85"/>
      <c r="CZ85"/>
    </row>
    <row r="86" spans="1:111" hidden="1">
      <c r="A86" s="490"/>
      <c r="B86" s="490"/>
      <c r="C86" s="490"/>
      <c r="D86" s="490"/>
      <c r="E86" s="490"/>
      <c r="F86" s="490" t="s">
        <v>205</v>
      </c>
      <c r="G86" s="490">
        <f>COUNTIFS($B$9:$B$39,"fr",[0]!Januar,"Skema 4")</f>
        <v>0</v>
      </c>
      <c r="H86" s="490"/>
      <c r="I86" s="490"/>
      <c r="J86" s="493"/>
      <c r="K86" s="493"/>
      <c r="L86" s="40"/>
      <c r="R86">
        <f t="shared" si="39"/>
        <v>0</v>
      </c>
      <c r="V86">
        <f t="shared" si="40"/>
        <v>0</v>
      </c>
      <c r="Y86"/>
      <c r="Z86"/>
      <c r="AO86" s="1">
        <f>SUM(N86:AN86)</f>
        <v>0</v>
      </c>
      <c r="BL86" s="1">
        <f>SUM(AI86:BK86)</f>
        <v>0</v>
      </c>
      <c r="BW86" s="244"/>
      <c r="BX86" s="244"/>
      <c r="CY86"/>
      <c r="CZ86"/>
    </row>
    <row r="87" spans="1:111" hidden="1">
      <c r="A87" s="490">
        <f>SUM(A82:A86)</f>
        <v>0</v>
      </c>
      <c r="B87" s="490"/>
      <c r="C87" s="490"/>
      <c r="D87" s="490"/>
      <c r="E87" s="490"/>
      <c r="F87" s="490"/>
      <c r="G87" s="495">
        <f>SUM(G64:G86)</f>
        <v>20</v>
      </c>
      <c r="H87" s="493"/>
      <c r="I87" s="490"/>
      <c r="J87" s="493"/>
      <c r="K87" s="493"/>
      <c r="L87" s="40"/>
      <c r="R87">
        <f t="shared" si="39"/>
        <v>0</v>
      </c>
      <c r="V87">
        <f t="shared" si="40"/>
        <v>0</v>
      </c>
      <c r="Y87"/>
      <c r="Z87"/>
      <c r="AO87" s="1">
        <f>SUM(N87:AN87)</f>
        <v>0</v>
      </c>
      <c r="BL87" s="1">
        <f>SUM(AI87:BK87)</f>
        <v>0</v>
      </c>
      <c r="BW87" s="244"/>
      <c r="BX87" s="244"/>
      <c r="CY87"/>
      <c r="CZ87"/>
    </row>
    <row r="88" spans="1:111" hidden="1">
      <c r="A88" s="493"/>
      <c r="B88" s="493"/>
      <c r="C88" s="493"/>
      <c r="D88" s="493"/>
      <c r="E88" s="490"/>
      <c r="F88" s="490"/>
      <c r="G88" s="490"/>
      <c r="H88" s="40"/>
      <c r="I88" s="493"/>
      <c r="J88" s="493"/>
      <c r="K88" s="493"/>
      <c r="L88" s="40"/>
      <c r="R88">
        <f t="shared" si="39"/>
        <v>0</v>
      </c>
      <c r="V88">
        <f t="shared" si="40"/>
        <v>0</v>
      </c>
      <c r="Y88"/>
      <c r="Z88"/>
      <c r="AO88" s="1">
        <f>SUM(N88:AN88)</f>
        <v>0</v>
      </c>
      <c r="BL88" s="1">
        <f>SUM(AI88:BK88)</f>
        <v>0</v>
      </c>
      <c r="BW88" s="244"/>
      <c r="BX88" s="244"/>
      <c r="CY88"/>
      <c r="CZ88"/>
    </row>
    <row r="89" spans="1:111" hidden="1">
      <c r="A89" s="493"/>
      <c r="B89" s="493"/>
      <c r="C89" s="493"/>
      <c r="D89" s="493"/>
      <c r="E89" s="490"/>
      <c r="F89" s="490"/>
      <c r="G89" s="490"/>
      <c r="H89" s="40"/>
      <c r="I89" s="40"/>
      <c r="J89" s="493"/>
      <c r="K89" s="493"/>
      <c r="L89" s="40"/>
      <c r="R89">
        <f t="shared" si="39"/>
        <v>0</v>
      </c>
      <c r="V89">
        <f t="shared" si="40"/>
        <v>0</v>
      </c>
      <c r="Y89"/>
      <c r="Z89"/>
      <c r="BW89" s="244"/>
      <c r="BX89" s="244"/>
      <c r="CY89"/>
      <c r="CZ89"/>
    </row>
    <row r="90" spans="1:111" hidden="1">
      <c r="A90" s="493"/>
      <c r="B90" s="493"/>
      <c r="C90" s="493"/>
      <c r="D90" s="493"/>
      <c r="E90" s="490"/>
      <c r="F90" s="490"/>
      <c r="G90" s="490"/>
      <c r="H90" s="40"/>
      <c r="I90" s="40"/>
      <c r="J90" s="40"/>
      <c r="K90" s="40"/>
      <c r="L90" s="40"/>
      <c r="R90">
        <f t="shared" si="39"/>
        <v>0</v>
      </c>
      <c r="V90">
        <f t="shared" si="40"/>
        <v>0</v>
      </c>
      <c r="Y90"/>
      <c r="Z90"/>
      <c r="BW90" s="244"/>
      <c r="BX90" s="244"/>
      <c r="CY90"/>
      <c r="CZ90"/>
    </row>
    <row r="91" spans="1:111" hidden="1">
      <c r="A91" s="493"/>
      <c r="B91" s="493"/>
      <c r="C91" s="493"/>
      <c r="D91" s="493"/>
      <c r="E91" s="490"/>
      <c r="F91" s="490"/>
      <c r="G91" s="490"/>
      <c r="H91" s="40"/>
      <c r="I91" s="40"/>
      <c r="J91" s="40"/>
      <c r="K91" s="40"/>
      <c r="L91" s="40"/>
      <c r="R91">
        <f t="shared" si="39"/>
        <v>0</v>
      </c>
      <c r="V91">
        <f t="shared" si="40"/>
        <v>0</v>
      </c>
      <c r="Y91"/>
      <c r="Z91"/>
      <c r="BW91" s="244"/>
      <c r="BX91" s="244"/>
      <c r="CY91"/>
      <c r="CZ91"/>
    </row>
    <row r="92" spans="1:111" hidden="1">
      <c r="A92" s="493"/>
      <c r="B92" s="493"/>
      <c r="C92" s="493"/>
      <c r="D92" s="493"/>
      <c r="E92" s="490"/>
      <c r="F92" s="490"/>
      <c r="G92" s="490"/>
      <c r="I92" s="40"/>
      <c r="J92" s="40"/>
      <c r="K92" s="40"/>
      <c r="L92" s="40"/>
      <c r="R92">
        <f t="shared" si="39"/>
        <v>0</v>
      </c>
      <c r="V92">
        <f t="shared" si="40"/>
        <v>0</v>
      </c>
      <c r="Y92"/>
      <c r="Z92"/>
      <c r="BW92" s="244"/>
      <c r="BX92" s="244"/>
      <c r="CY92"/>
      <c r="CZ92"/>
    </row>
    <row r="93" spans="1:111" hidden="1">
      <c r="A93" s="493"/>
      <c r="B93" s="493"/>
      <c r="C93" s="493"/>
      <c r="D93" s="493"/>
      <c r="E93" s="490"/>
      <c r="F93" s="490"/>
      <c r="G93" s="490"/>
      <c r="I93" s="40"/>
      <c r="J93" s="40"/>
      <c r="K93" s="40"/>
      <c r="L93" s="40"/>
      <c r="R93">
        <f t="shared" si="39"/>
        <v>0</v>
      </c>
      <c r="V93">
        <f t="shared" si="40"/>
        <v>0</v>
      </c>
      <c r="Y93"/>
      <c r="Z93"/>
      <c r="AF93" s="228"/>
      <c r="BW93" s="244"/>
      <c r="BX93" s="244"/>
      <c r="CY93"/>
      <c r="CZ93"/>
    </row>
    <row r="94" spans="1:111" hidden="1">
      <c r="A94" s="493"/>
      <c r="B94" s="493"/>
      <c r="C94" s="493"/>
      <c r="D94" s="493"/>
      <c r="E94" s="490"/>
      <c r="F94" s="490"/>
      <c r="G94" s="490"/>
      <c r="I94" s="40"/>
      <c r="J94" s="40"/>
      <c r="K94" s="40"/>
      <c r="L94" s="40"/>
      <c r="R94">
        <f t="shared" si="39"/>
        <v>0</v>
      </c>
      <c r="V94">
        <f t="shared" si="40"/>
        <v>0</v>
      </c>
      <c r="Y94"/>
      <c r="Z94"/>
      <c r="AD94" s="4"/>
      <c r="AE94" s="228"/>
      <c r="AF94" s="228"/>
      <c r="AG94" s="228"/>
      <c r="AH94" s="228"/>
      <c r="CY94"/>
      <c r="CZ94"/>
      <c r="DF94" s="244"/>
      <c r="DG94" s="244"/>
    </row>
    <row r="95" spans="1:111" hidden="1">
      <c r="A95" s="493"/>
      <c r="B95" s="493"/>
      <c r="C95" s="493"/>
      <c r="D95" s="493"/>
      <c r="E95" s="490"/>
      <c r="F95" s="490"/>
      <c r="G95" s="490"/>
      <c r="I95" s="40"/>
      <c r="J95" s="40"/>
      <c r="K95" s="40"/>
      <c r="L95" s="40"/>
      <c r="R95">
        <f t="shared" si="39"/>
        <v>0</v>
      </c>
      <c r="V95">
        <f t="shared" si="40"/>
        <v>0</v>
      </c>
      <c r="Y95"/>
      <c r="Z95"/>
      <c r="AD95" s="4"/>
      <c r="AE95" s="228"/>
      <c r="AG95" s="228"/>
      <c r="AH95" s="228"/>
      <c r="CY95"/>
      <c r="CZ95"/>
      <c r="DF95" s="244"/>
      <c r="DG95" s="244"/>
    </row>
    <row r="96" spans="1:111" hidden="1">
      <c r="A96" s="493"/>
      <c r="B96" s="493"/>
      <c r="C96" s="493"/>
      <c r="D96" s="493"/>
      <c r="E96" s="490"/>
      <c r="F96" s="490"/>
      <c r="G96" s="490"/>
      <c r="I96" s="40"/>
      <c r="J96" s="40"/>
      <c r="K96" s="40"/>
      <c r="L96" s="40"/>
      <c r="R96">
        <f t="shared" si="39"/>
        <v>0</v>
      </c>
      <c r="V96">
        <f t="shared" si="40"/>
        <v>0</v>
      </c>
    </row>
    <row r="97" spans="5:22" hidden="1">
      <c r="E97" s="89"/>
      <c r="F97" s="89"/>
      <c r="G97" s="89"/>
      <c r="I97" s="40"/>
      <c r="J97" s="40"/>
      <c r="K97" s="40"/>
      <c r="L97" s="40"/>
      <c r="R97">
        <f t="shared" si="39"/>
        <v>0</v>
      </c>
      <c r="V97">
        <f t="shared" si="40"/>
        <v>0</v>
      </c>
    </row>
    <row r="98" spans="5:22" hidden="1">
      <c r="I98" s="40"/>
      <c r="J98" s="40"/>
      <c r="K98" s="40"/>
      <c r="L98" s="40"/>
      <c r="R98">
        <f t="shared" si="39"/>
        <v>0</v>
      </c>
      <c r="V98">
        <f t="shared" si="40"/>
        <v>0</v>
      </c>
    </row>
    <row r="99" spans="5:22" hidden="1">
      <c r="I99" s="40"/>
      <c r="J99" s="40"/>
      <c r="K99" s="40"/>
      <c r="L99" s="40"/>
      <c r="R99">
        <f t="shared" si="39"/>
        <v>0</v>
      </c>
      <c r="V99">
        <f t="shared" si="40"/>
        <v>0</v>
      </c>
    </row>
    <row r="100" spans="5:22" hidden="1">
      <c r="I100" s="40"/>
      <c r="J100" s="40"/>
      <c r="K100" s="40"/>
      <c r="L100" s="439"/>
      <c r="R100">
        <f t="shared" si="39"/>
        <v>0</v>
      </c>
      <c r="V100">
        <f t="shared" si="40"/>
        <v>0</v>
      </c>
    </row>
    <row r="101" spans="5:22" hidden="1">
      <c r="I101" s="40"/>
      <c r="J101" s="40"/>
      <c r="K101" s="40"/>
      <c r="L101" s="439"/>
      <c r="R101">
        <f t="shared" si="39"/>
        <v>0</v>
      </c>
      <c r="V101">
        <f t="shared" si="40"/>
        <v>0</v>
      </c>
    </row>
    <row r="102" spans="5:22" hidden="1">
      <c r="I102" s="40"/>
      <c r="J102" s="40"/>
      <c r="K102" s="40"/>
      <c r="L102" s="439"/>
      <c r="R102">
        <f t="shared" si="39"/>
        <v>0</v>
      </c>
      <c r="V102">
        <f t="shared" si="40"/>
        <v>0</v>
      </c>
    </row>
    <row r="103" spans="5:22" hidden="1">
      <c r="I103" s="439"/>
      <c r="J103" s="40"/>
      <c r="K103" s="40"/>
      <c r="L103" s="439"/>
      <c r="R103">
        <f t="shared" si="39"/>
        <v>0</v>
      </c>
      <c r="V103">
        <f t="shared" si="40"/>
        <v>0</v>
      </c>
    </row>
    <row r="104" spans="5:22" hidden="1">
      <c r="I104" s="439"/>
      <c r="J104" s="439"/>
      <c r="K104" s="439"/>
      <c r="L104" s="439"/>
      <c r="R104">
        <f t="shared" si="39"/>
        <v>0</v>
      </c>
      <c r="V104">
        <f t="shared" si="40"/>
        <v>0</v>
      </c>
    </row>
    <row r="105" spans="5:22" ht="17" hidden="1" thickBot="1">
      <c r="I105" s="439"/>
      <c r="J105" s="439"/>
      <c r="K105" s="439"/>
      <c r="L105" s="439"/>
      <c r="R105">
        <f t="shared" si="39"/>
        <v>0</v>
      </c>
      <c r="V105">
        <f t="shared" si="40"/>
        <v>0</v>
      </c>
    </row>
    <row r="106" spans="5:22" ht="17" hidden="1" thickBot="1">
      <c r="I106" s="439"/>
      <c r="J106" s="439"/>
      <c r="K106" s="439"/>
      <c r="L106" s="439"/>
      <c r="R106" s="684">
        <f>SUM(R75:R105)+FB40</f>
        <v>0</v>
      </c>
      <c r="V106">
        <f>SUM(V75:V105)</f>
        <v>0</v>
      </c>
    </row>
    <row r="107" spans="5:22" hidden="1">
      <c r="I107" s="439"/>
      <c r="J107" s="439"/>
      <c r="K107" s="439"/>
      <c r="L107" s="439"/>
    </row>
    <row r="108" spans="5:22" hidden="1"/>
  </sheetData>
  <sheetProtection sheet="1" objects="1" scenarios="1"/>
  <mergeCells count="174">
    <mergeCell ref="FQ8:FR8"/>
    <mergeCell ref="DS8:DV8"/>
    <mergeCell ref="DZ8:EB8"/>
    <mergeCell ref="EG8:EI8"/>
    <mergeCell ref="EM8:EN8"/>
    <mergeCell ref="EQ8:ER8"/>
    <mergeCell ref="EU8:EV8"/>
    <mergeCell ref="FC8:FD8"/>
    <mergeCell ref="FG8:FH8"/>
    <mergeCell ref="FK8:FL8"/>
    <mergeCell ref="EY8:EZ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A62:G62"/>
    <mergeCell ref="I62:K62"/>
    <mergeCell ref="E36:G36"/>
    <mergeCell ref="E37:G37"/>
    <mergeCell ref="E38:G38"/>
    <mergeCell ref="E39:G39"/>
    <mergeCell ref="A40:I40"/>
    <mergeCell ref="M47:X47"/>
    <mergeCell ref="M48:U48"/>
    <mergeCell ref="V48:X48"/>
    <mergeCell ref="M49:U49"/>
    <mergeCell ref="V49:X49"/>
    <mergeCell ref="I44:K44"/>
    <mergeCell ref="A45:G45"/>
    <mergeCell ref="I45:K45"/>
    <mergeCell ref="A48:H48"/>
    <mergeCell ref="I48:K48"/>
    <mergeCell ref="M50:U50"/>
    <mergeCell ref="V50:X50"/>
    <mergeCell ref="A42:G42"/>
    <mergeCell ref="I42:K42"/>
    <mergeCell ref="A43:G43"/>
    <mergeCell ref="I43:K43"/>
    <mergeCell ref="M42:X42"/>
    <mergeCell ref="M43:U43"/>
    <mergeCell ref="V43:X43"/>
    <mergeCell ref="M44:U44"/>
    <mergeCell ref="V44:X44"/>
    <mergeCell ref="M45:U45"/>
    <mergeCell ref="V45:X45"/>
    <mergeCell ref="M46:U46"/>
    <mergeCell ref="V46:X46"/>
    <mergeCell ref="A49:H49"/>
    <mergeCell ref="I49:K49"/>
    <mergeCell ref="A50:H50"/>
    <mergeCell ref="I50:K50"/>
    <mergeCell ref="A46:G46"/>
    <mergeCell ref="I46:K46"/>
    <mergeCell ref="A47:G47"/>
    <mergeCell ref="I47:K47"/>
    <mergeCell ref="A44:G44"/>
    <mergeCell ref="I51:K51"/>
    <mergeCell ref="M51:U51"/>
    <mergeCell ref="V51:X51"/>
    <mergeCell ref="A67:C67"/>
    <mergeCell ref="A65:C65"/>
    <mergeCell ref="A66:C66"/>
    <mergeCell ref="M52:U52"/>
    <mergeCell ref="V52:X52"/>
    <mergeCell ref="A53:G54"/>
    <mergeCell ref="I53:K53"/>
    <mergeCell ref="M53:U53"/>
    <mergeCell ref="V53:X53"/>
    <mergeCell ref="I54:K54"/>
    <mergeCell ref="A55:G55"/>
    <mergeCell ref="A56:K56"/>
    <mergeCell ref="A57:B57"/>
    <mergeCell ref="C57:D57"/>
    <mergeCell ref="E57:G57"/>
    <mergeCell ref="H57:K57"/>
    <mergeCell ref="A58:B58"/>
    <mergeCell ref="C58:D58"/>
    <mergeCell ref="E58:G58"/>
    <mergeCell ref="I58:K58"/>
    <mergeCell ref="A59:B59"/>
    <mergeCell ref="I55:K55"/>
    <mergeCell ref="C59:D59"/>
    <mergeCell ref="E35:G35"/>
    <mergeCell ref="E23:G23"/>
    <mergeCell ref="E24:G24"/>
    <mergeCell ref="E25:G25"/>
    <mergeCell ref="E26:G26"/>
    <mergeCell ref="E27:G27"/>
    <mergeCell ref="E28:G28"/>
    <mergeCell ref="E17:G17"/>
    <mergeCell ref="E18:G18"/>
    <mergeCell ref="E19:G19"/>
    <mergeCell ref="E20:G20"/>
    <mergeCell ref="E21:G21"/>
    <mergeCell ref="E22:G22"/>
    <mergeCell ref="E29:G29"/>
    <mergeCell ref="E30:G30"/>
    <mergeCell ref="E31:G31"/>
    <mergeCell ref="E33:G33"/>
    <mergeCell ref="E34:G34"/>
    <mergeCell ref="E32:G32"/>
    <mergeCell ref="B2:E2"/>
    <mergeCell ref="E4:G4"/>
    <mergeCell ref="K4:L4"/>
    <mergeCell ref="A5:R5"/>
    <mergeCell ref="P6:P7"/>
    <mergeCell ref="Q6:Q7"/>
    <mergeCell ref="R6:R7"/>
    <mergeCell ref="A4:D4"/>
    <mergeCell ref="S5:X5"/>
    <mergeCell ref="A3:X3"/>
    <mergeCell ref="E6:G8"/>
    <mergeCell ref="K6:L6"/>
    <mergeCell ref="N6:N7"/>
    <mergeCell ref="O6:O7"/>
    <mergeCell ref="K8:R8"/>
    <mergeCell ref="I6:I7"/>
    <mergeCell ref="J6:J7"/>
    <mergeCell ref="S6:X6"/>
    <mergeCell ref="S8:U8"/>
    <mergeCell ref="V8:X8"/>
    <mergeCell ref="A7:D8"/>
    <mergeCell ref="H7:H8"/>
    <mergeCell ref="I8:J8"/>
    <mergeCell ref="E59:G59"/>
    <mergeCell ref="I59:K59"/>
    <mergeCell ref="A60:B60"/>
    <mergeCell ref="C60:D60"/>
    <mergeCell ref="E60:G60"/>
    <mergeCell ref="I60:K60"/>
    <mergeCell ref="A61:B61"/>
    <mergeCell ref="C61:D61"/>
    <mergeCell ref="E61:G61"/>
    <mergeCell ref="I61:K61"/>
    <mergeCell ref="AG6:AK6"/>
    <mergeCell ref="E11:G11"/>
    <mergeCell ref="E12:G12"/>
    <mergeCell ref="E13:G13"/>
    <mergeCell ref="E14:G14"/>
    <mergeCell ref="E15:G15"/>
    <mergeCell ref="E16:G16"/>
    <mergeCell ref="DA6:DE6"/>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AA6:AE6"/>
  </mergeCells>
  <conditionalFormatting sqref="A9:H9 D10:H31 A10:C39 D32:E32 H32 D33:H39">
    <cfRule type="expression" dxfId="669" priority="56">
      <formula>OR($C9="ekskursion")</formula>
    </cfRule>
    <cfRule type="expression" dxfId="668" priority="62" stopIfTrue="1">
      <formula>OR($C9="Orlov")</formula>
    </cfRule>
    <cfRule type="expression" dxfId="667" priority="61">
      <formula>OR($C9="weekend")</formula>
    </cfRule>
    <cfRule type="expression" dxfId="666" priority="60">
      <formula>OR($C9="feriedag")</formula>
    </cfRule>
    <cfRule type="expression" dxfId="665" priority="59">
      <formula>OR($C9="fagdag")</formula>
    </cfRule>
    <cfRule type="expression" dxfId="664" priority="58">
      <formula>OR($C9="emnedag")</formula>
    </cfRule>
    <cfRule type="expression" dxfId="663" priority="57">
      <formula>OR($C9="lejrskole")</formula>
    </cfRule>
    <cfRule type="expression" dxfId="662" priority="55">
      <formula>OR($C9="SH-dag")</formula>
    </cfRule>
    <cfRule type="expression" dxfId="661" priority="54">
      <formula>OR($C9="nul-dag")</formula>
    </cfRule>
    <cfRule type="expression" dxfId="660" priority="53">
      <formula>OR($C9="pæd.dag")</formula>
    </cfRule>
    <cfRule type="expression" dxfId="659" priority="52">
      <formula>OR($C9="Ikke relevant")</formula>
    </cfRule>
    <cfRule type="expression" dxfId="658" priority="48">
      <formula>OR($C9="Skema 1")</formula>
    </cfRule>
    <cfRule type="expression" dxfId="657" priority="49">
      <formula>OR($C9="skema 2")</formula>
    </cfRule>
    <cfRule type="expression" dxfId="656" priority="50">
      <formula>OR($C9="Skema 3")</formula>
    </cfRule>
    <cfRule type="expression" dxfId="655" priority="51">
      <formula>OR($C9="Skema 4")</formula>
    </cfRule>
  </conditionalFormatting>
  <conditionalFormatting sqref="E20">
    <cfRule type="expression" dxfId="654" priority="64">
      <formula>OR($D19="nul-dag")</formula>
    </cfRule>
    <cfRule type="expression" dxfId="653" priority="65">
      <formula>OR($D19="SH-dag")</formula>
    </cfRule>
    <cfRule type="expression" dxfId="652" priority="66">
      <formula>OR($D19="ekskursion")</formula>
    </cfRule>
    <cfRule type="expression" dxfId="651" priority="67">
      <formula>OR($D19="lejrskole")</formula>
    </cfRule>
    <cfRule type="expression" dxfId="650" priority="63">
      <formula>OR($D19="pæd.dag")</formula>
    </cfRule>
    <cfRule type="expression" dxfId="649" priority="68">
      <formula>OR($D19="emnedag")</formula>
    </cfRule>
    <cfRule type="expression" dxfId="648" priority="69">
      <formula>OR($D19="fagdag")</formula>
    </cfRule>
    <cfRule type="expression" dxfId="647" priority="70">
      <formula>OR($D19="feriedag")</formula>
    </cfRule>
    <cfRule type="expression" dxfId="646" priority="71">
      <formula>OR($D19="weekend")</formula>
    </cfRule>
    <cfRule type="expression" dxfId="645" priority="72" stopIfTrue="1">
      <formula>OR($D19="skoledag")</formula>
    </cfRule>
    <cfRule type="expression" dxfId="644" priority="73">
      <formula>OR($D19="Ikke relevant")</formula>
    </cfRule>
  </conditionalFormatting>
  <conditionalFormatting sqref="H58:H61">
    <cfRule type="expression" dxfId="643" priority="1">
      <formula>OR($A58&gt;0,)</formula>
    </cfRule>
  </conditionalFormatting>
  <conditionalFormatting sqref="I58:I61">
    <cfRule type="expression" dxfId="642" priority="2">
      <formula>OR($C58&gt;0,)</formula>
    </cfRule>
  </conditionalFormatting>
  <conditionalFormatting sqref="K9:K39">
    <cfRule type="expression" dxfId="641" priority="45">
      <formula>OR($C9="Pæd.dag",)</formula>
    </cfRule>
  </conditionalFormatting>
  <conditionalFormatting sqref="K9:L39">
    <cfRule type="expression" dxfId="640" priority="47">
      <formula>OR($C9="Ekskursion",)</formula>
    </cfRule>
    <cfRule type="expression" dxfId="639" priority="46">
      <formula>OR($C9="Lejrskole",)</formula>
    </cfRule>
  </conditionalFormatting>
  <conditionalFormatting sqref="K9:M39">
    <cfRule type="expression" dxfId="638" priority="44">
      <formula>OR($C9="emnedag",)</formula>
    </cfRule>
    <cfRule type="expression" dxfId="637" priority="43">
      <formula>OR($C9="fagdag",)</formula>
    </cfRule>
  </conditionalFormatting>
  <conditionalFormatting sqref="R9:R39">
    <cfRule type="expression" dxfId="636" priority="74">
      <formula>OR($H9&gt;"0",)</formula>
    </cfRule>
  </conditionalFormatting>
  <conditionalFormatting sqref="V9:V39">
    <cfRule type="expression" dxfId="635" priority="10">
      <formula>OR($S9="X",)</formula>
    </cfRule>
  </conditionalFormatting>
  <conditionalFormatting sqref="V49:X52">
    <cfRule type="expression" dxfId="634" priority="3">
      <formula>OR($M49&gt;0,)</formula>
    </cfRule>
  </conditionalFormatting>
  <conditionalFormatting sqref="W9:W39">
    <cfRule type="expression" dxfId="633" priority="9">
      <formula>OR($T9="X",)</formula>
    </cfRule>
  </conditionalFormatting>
  <conditionalFormatting sqref="X9:X39">
    <cfRule type="expression" dxfId="632" priority="8">
      <formula>OR($U9="X",)</formula>
    </cfRule>
  </conditionalFormatting>
  <dataValidations count="3">
    <dataValidation type="list" allowBlank="1" showInputMessage="1" showErrorMessage="1" sqref="S9:T39 U9:U37 A58:D61" xr:uid="{EFFC1661-37AB-2243-AA06-C616F29CF368}">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9 I19:I20 I26:I27 I33:I34 I12:I13" xr:uid="{F9E3C8A6-48AE-AE4A-84D9-68CE920C5FFF}">
      <formula1>$W$1:$W$2</formula1>
    </dataValidation>
    <dataValidation type="list" allowBlank="1" showInputMessage="1" showErrorMessage="1" promptTitle="OBS:" prompt="Ved arrangementer med overnatning ydes istedet for ulempe- og weekendgodtgørelse på hhv. 25% og 50% faste tillæg pr. påbegyndt dag. " sqref="J9:J39" xr:uid="{EA6878DF-81FA-864D-B82A-981E985E6445}">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August!$A$89:$A$103</xm:f>
          </x14:formula1>
          <xm:sqref>C9:C39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GC106"/>
  <sheetViews>
    <sheetView topLeftCell="A6" zoomScale="92" workbookViewId="0">
      <selection activeCell="S7" sqref="S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 min="186" max="186" width="0"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89"/>
      <c r="Y1"/>
      <c r="Z1" s="89"/>
      <c r="AB1" s="89"/>
      <c r="AC1" s="89"/>
      <c r="AH1" s="89"/>
      <c r="AI1" s="89"/>
      <c r="CX1" s="244"/>
      <c r="CZ1"/>
    </row>
    <row r="2" spans="1:185" ht="21" thickBot="1">
      <c r="A2" s="91">
        <v>2</v>
      </c>
      <c r="B2" s="1101"/>
      <c r="C2" s="1101"/>
      <c r="D2" s="1101"/>
      <c r="E2" s="1101"/>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0" t="s">
        <v>309</v>
      </c>
      <c r="B3" s="1131"/>
      <c r="C3" s="1131"/>
      <c r="D3" s="1131"/>
      <c r="E3" s="1131"/>
      <c r="F3" s="1131"/>
      <c r="G3" s="1131"/>
      <c r="H3" s="1131"/>
      <c r="I3" s="1131"/>
      <c r="J3" s="1131"/>
      <c r="K3" s="1131"/>
      <c r="L3" s="1131"/>
      <c r="M3" s="1131"/>
      <c r="N3" s="1131"/>
      <c r="O3" s="1131"/>
      <c r="P3" s="1131"/>
      <c r="Q3" s="1131"/>
      <c r="R3" s="1131"/>
      <c r="S3" s="1131"/>
      <c r="T3" s="1131"/>
      <c r="U3" s="1131"/>
      <c r="V3" s="1131"/>
      <c r="W3" s="1131"/>
      <c r="X3" s="1132"/>
      <c r="Y3" s="89"/>
      <c r="Z3"/>
      <c r="AC3" s="89"/>
      <c r="AD3" s="89"/>
      <c r="AF3" s="89"/>
      <c r="CT3" s="244"/>
      <c r="CU3" s="244"/>
      <c r="CY3"/>
      <c r="CZ3"/>
      <c r="FI3" s="893" t="s">
        <v>623</v>
      </c>
      <c r="FJ3" s="894"/>
      <c r="FK3" s="894"/>
      <c r="FL3" s="894"/>
      <c r="FM3" s="894"/>
      <c r="FN3" s="894"/>
      <c r="FO3" s="894"/>
      <c r="FP3" s="894"/>
      <c r="FQ3" s="894"/>
      <c r="FR3" s="894"/>
      <c r="FS3" s="894"/>
      <c r="FT3" s="894"/>
      <c r="FU3" s="894"/>
      <c r="FV3" s="894"/>
      <c r="FW3" s="894"/>
      <c r="FX3" s="894"/>
      <c r="FY3" s="894"/>
      <c r="FZ3" s="894"/>
      <c r="GA3" s="894"/>
      <c r="GB3" s="894"/>
      <c r="GC3" s="895"/>
    </row>
    <row r="4" spans="1:185" ht="254" customHeight="1" thickBot="1">
      <c r="A4" s="930" t="s">
        <v>431</v>
      </c>
      <c r="B4" s="931"/>
      <c r="C4" s="931"/>
      <c r="D4" s="931"/>
      <c r="E4" s="935" t="s">
        <v>310</v>
      </c>
      <c r="F4" s="935"/>
      <c r="G4" s="935"/>
      <c r="H4" s="276" t="s">
        <v>413</v>
      </c>
      <c r="I4" s="432" t="s">
        <v>466</v>
      </c>
      <c r="J4" s="432" t="s">
        <v>467</v>
      </c>
      <c r="K4" s="946" t="s">
        <v>514</v>
      </c>
      <c r="L4" s="946"/>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5" t="s">
        <v>621</v>
      </c>
      <c r="FJ4" s="745"/>
      <c r="FK4" s="745"/>
      <c r="FL4" s="745"/>
      <c r="FM4" t="s">
        <v>614</v>
      </c>
      <c r="FO4" s="745" t="s">
        <v>620</v>
      </c>
      <c r="FP4" s="745"/>
      <c r="FQ4" s="745"/>
      <c r="FR4" s="745"/>
    </row>
    <row r="5" spans="1:185" ht="26" thickBot="1">
      <c r="A5" s="947" t="str">
        <f>""&amp;A7&amp;" måneds kalender for: "&amp;Stamoplysninger!E8&amp;". Måneden vedr. normperioden: "&amp;Stamoplysninger!E11&amp;" - "&amp;Stamoplysninger!G11&amp;"."</f>
        <v>Februar måneds kalender for: . Måneden vedr. normperioden:  - .</v>
      </c>
      <c r="B5" s="948"/>
      <c r="C5" s="948"/>
      <c r="D5" s="948"/>
      <c r="E5" s="948"/>
      <c r="F5" s="948"/>
      <c r="G5" s="948"/>
      <c r="H5" s="948"/>
      <c r="I5" s="948"/>
      <c r="J5" s="948"/>
      <c r="K5" s="948"/>
      <c r="L5" s="948"/>
      <c r="M5" s="948"/>
      <c r="N5" s="948"/>
      <c r="O5" s="948"/>
      <c r="P5" s="948"/>
      <c r="Q5" s="948"/>
      <c r="R5" s="948"/>
      <c r="S5" s="940" t="s">
        <v>396</v>
      </c>
      <c r="T5" s="941"/>
      <c r="U5" s="941"/>
      <c r="V5" s="941"/>
      <c r="W5" s="941"/>
      <c r="X5" s="942"/>
      <c r="Y5" s="242"/>
      <c r="Z5" s="89"/>
      <c r="AB5" s="89"/>
      <c r="AC5" s="89"/>
      <c r="AH5" s="89"/>
      <c r="AI5" s="89"/>
      <c r="CX5" s="244"/>
      <c r="CZ5"/>
      <c r="FI5" s="896" t="s">
        <v>607</v>
      </c>
      <c r="FJ5" s="896"/>
      <c r="FK5" s="896"/>
      <c r="FL5" s="896"/>
      <c r="FM5" s="896"/>
      <c r="FN5" s="896"/>
      <c r="FO5" s="896"/>
      <c r="FP5" s="896"/>
      <c r="FQ5" s="896"/>
      <c r="FR5" s="896"/>
      <c r="FU5" t="s">
        <v>622</v>
      </c>
      <c r="FV5" t="s">
        <v>615</v>
      </c>
      <c r="FX5" t="s">
        <v>616</v>
      </c>
      <c r="FZ5" t="s">
        <v>617</v>
      </c>
      <c r="GB5" s="518" t="s">
        <v>618</v>
      </c>
    </row>
    <row r="6" spans="1:185" ht="47" customHeight="1">
      <c r="A6" s="324">
        <f>Januar!A6</f>
        <v>2025</v>
      </c>
      <c r="B6" s="238"/>
      <c r="C6" s="239"/>
      <c r="D6" s="240"/>
      <c r="E6" s="955" t="s">
        <v>470</v>
      </c>
      <c r="F6" s="956"/>
      <c r="G6" s="957"/>
      <c r="H6" s="321" t="s">
        <v>323</v>
      </c>
      <c r="I6" s="903" t="s">
        <v>465</v>
      </c>
      <c r="J6" s="953" t="s">
        <v>486</v>
      </c>
      <c r="K6" s="949" t="s">
        <v>302</v>
      </c>
      <c r="L6" s="950"/>
      <c r="M6" s="322" t="s">
        <v>303</v>
      </c>
      <c r="N6" s="903" t="s">
        <v>446</v>
      </c>
      <c r="O6" s="903" t="s">
        <v>307</v>
      </c>
      <c r="P6" s="903" t="s">
        <v>455</v>
      </c>
      <c r="Q6" s="903" t="s">
        <v>386</v>
      </c>
      <c r="R6" s="906" t="s">
        <v>515</v>
      </c>
      <c r="S6" s="968" t="s">
        <v>304</v>
      </c>
      <c r="T6" s="969"/>
      <c r="U6" s="969"/>
      <c r="V6" s="969"/>
      <c r="W6" s="969"/>
      <c r="X6" s="970"/>
      <c r="Y6" s="211"/>
      <c r="Z6" s="211"/>
      <c r="AA6" s="905" t="s">
        <v>261</v>
      </c>
      <c r="AB6" s="905"/>
      <c r="AC6" s="905"/>
      <c r="AD6" s="905"/>
      <c r="AE6" s="905"/>
      <c r="AF6" s="208"/>
      <c r="AG6" s="905" t="s">
        <v>222</v>
      </c>
      <c r="AH6" s="905"/>
      <c r="AI6" s="905"/>
      <c r="AJ6" s="905"/>
      <c r="AK6" s="905"/>
      <c r="AL6" s="905" t="s">
        <v>223</v>
      </c>
      <c r="AM6" s="905"/>
      <c r="AN6" s="905"/>
      <c r="AO6" s="905"/>
      <c r="AP6" s="905"/>
      <c r="AQ6" s="905" t="s">
        <v>224</v>
      </c>
      <c r="AR6" s="905"/>
      <c r="AS6" s="905"/>
      <c r="AT6" s="905"/>
      <c r="AU6" s="905"/>
      <c r="AV6" s="905" t="s">
        <v>225</v>
      </c>
      <c r="AW6" s="905"/>
      <c r="AX6" s="905"/>
      <c r="AY6" s="905"/>
      <c r="AZ6" s="905"/>
      <c r="BA6" s="295"/>
      <c r="BB6" s="208"/>
      <c r="BC6" s="905" t="s">
        <v>264</v>
      </c>
      <c r="BD6" s="905"/>
      <c r="BE6" s="905"/>
      <c r="BF6" s="905"/>
      <c r="BG6" s="905" t="s">
        <v>227</v>
      </c>
      <c r="BH6" s="905"/>
      <c r="BI6" s="905"/>
      <c r="BJ6" s="905"/>
      <c r="BK6" s="905"/>
      <c r="BL6" s="905" t="s">
        <v>228</v>
      </c>
      <c r="BM6" s="905"/>
      <c r="BN6" s="905"/>
      <c r="BO6" s="905"/>
      <c r="BP6" s="905"/>
      <c r="BQ6" s="905" t="s">
        <v>229</v>
      </c>
      <c r="BR6" s="905"/>
      <c r="BS6" s="905"/>
      <c r="BT6" s="905"/>
      <c r="BU6" s="905"/>
      <c r="BV6" s="905" t="s">
        <v>230</v>
      </c>
      <c r="BW6" s="905"/>
      <c r="BX6" s="905"/>
      <c r="BY6" s="905"/>
      <c r="BZ6" s="905"/>
      <c r="CD6" s="905" t="s">
        <v>265</v>
      </c>
      <c r="CE6" s="905"/>
      <c r="CF6" s="905"/>
      <c r="CG6" s="905"/>
      <c r="CH6" s="905"/>
      <c r="CI6" s="905" t="s">
        <v>267</v>
      </c>
      <c r="CJ6" s="905"/>
      <c r="CK6" s="905"/>
      <c r="CL6" s="905"/>
      <c r="CM6" s="905"/>
      <c r="CN6" s="905" t="s">
        <v>266</v>
      </c>
      <c r="CO6" s="905"/>
      <c r="CP6" s="905"/>
      <c r="CQ6" s="905"/>
      <c r="CR6" s="905"/>
      <c r="CS6" s="905" t="s">
        <v>268</v>
      </c>
      <c r="CT6" s="905"/>
      <c r="CU6" s="905"/>
      <c r="CV6" s="905"/>
      <c r="CW6" s="905"/>
      <c r="CX6" s="244"/>
      <c r="CZ6"/>
      <c r="DA6" s="745" t="s">
        <v>212</v>
      </c>
      <c r="DB6" s="745"/>
      <c r="DC6" s="745"/>
      <c r="DD6" s="745"/>
      <c r="DE6" s="745"/>
      <c r="DO6" s="1064" t="s">
        <v>319</v>
      </c>
      <c r="DP6" s="1065"/>
      <c r="DQ6" s="1065"/>
      <c r="DR6" s="1065"/>
      <c r="DS6" s="1065"/>
      <c r="DT6" s="1065"/>
      <c r="DU6" s="1065"/>
      <c r="DV6" s="1066"/>
      <c r="DW6" s="1067" t="s">
        <v>319</v>
      </c>
      <c r="DX6" s="1068"/>
      <c r="DY6" s="1068"/>
      <c r="DZ6" s="1068"/>
      <c r="EA6" s="1068"/>
      <c r="EB6" s="1069"/>
      <c r="EC6" s="1070" t="s">
        <v>375</v>
      </c>
      <c r="ED6" s="1071"/>
      <c r="EE6" s="1071"/>
      <c r="EF6" s="1071"/>
      <c r="EG6" s="1071"/>
      <c r="EH6" s="1071"/>
      <c r="EI6" s="1071"/>
      <c r="EJ6" s="1072"/>
      <c r="EK6" s="1073" t="s">
        <v>320</v>
      </c>
      <c r="EL6" s="1074"/>
      <c r="EM6" s="1074"/>
      <c r="EN6" s="1075"/>
      <c r="EO6" s="1073" t="s">
        <v>324</v>
      </c>
      <c r="EP6" s="1074"/>
      <c r="EQ6" s="1074"/>
      <c r="ER6" s="1075"/>
      <c r="ES6" s="888" t="s">
        <v>378</v>
      </c>
      <c r="ET6" s="889"/>
      <c r="EU6" s="889"/>
      <c r="EV6" s="890"/>
      <c r="EW6" s="888" t="s">
        <v>379</v>
      </c>
      <c r="EX6" s="889"/>
      <c r="EY6" s="889"/>
      <c r="EZ6" s="890"/>
      <c r="FA6" s="888" t="s">
        <v>380</v>
      </c>
      <c r="FB6" s="889"/>
      <c r="FC6" s="889"/>
      <c r="FD6" s="890"/>
      <c r="FE6" s="888" t="s">
        <v>381</v>
      </c>
      <c r="FF6" s="889"/>
      <c r="FG6" s="889"/>
      <c r="FH6" s="890"/>
      <c r="FI6" s="898" t="s">
        <v>592</v>
      </c>
      <c r="FJ6" s="899"/>
      <c r="FK6" s="899"/>
      <c r="FL6" s="1076"/>
      <c r="FM6" s="897" t="s">
        <v>380</v>
      </c>
      <c r="FN6" s="897"/>
      <c r="FO6" s="898" t="s">
        <v>619</v>
      </c>
      <c r="FP6" s="899"/>
      <c r="FQ6" s="899"/>
      <c r="FR6" s="900"/>
      <c r="FS6" s="901" t="s">
        <v>609</v>
      </c>
      <c r="FT6" s="902"/>
      <c r="FU6" t="s">
        <v>612</v>
      </c>
      <c r="FV6" s="897" t="s">
        <v>378</v>
      </c>
      <c r="FW6" s="897"/>
      <c r="FX6" s="897" t="s">
        <v>379</v>
      </c>
      <c r="FY6" s="897"/>
      <c r="FZ6" s="897" t="s">
        <v>381</v>
      </c>
      <c r="GA6" s="897"/>
      <c r="GB6" s="897" t="s">
        <v>377</v>
      </c>
      <c r="GC6" s="897"/>
    </row>
    <row r="7" spans="1:185" ht="197" customHeight="1">
      <c r="A7" s="1012" t="s">
        <v>284</v>
      </c>
      <c r="B7" s="1013"/>
      <c r="C7" s="1013"/>
      <c r="D7" s="1014"/>
      <c r="E7" s="958"/>
      <c r="F7" s="959"/>
      <c r="G7" s="960"/>
      <c r="H7" s="967" t="s">
        <v>485</v>
      </c>
      <c r="I7" s="952"/>
      <c r="J7" s="954"/>
      <c r="K7" s="323" t="s">
        <v>516</v>
      </c>
      <c r="L7" s="323" t="s">
        <v>517</v>
      </c>
      <c r="M7" s="323" t="s">
        <v>518</v>
      </c>
      <c r="N7" s="904"/>
      <c r="O7" s="904"/>
      <c r="P7" s="904"/>
      <c r="Q7" s="904"/>
      <c r="R7" s="907"/>
      <c r="S7" s="484" t="s">
        <v>668</v>
      </c>
      <c r="T7" s="322" t="s">
        <v>306</v>
      </c>
      <c r="U7" s="322" t="s">
        <v>400</v>
      </c>
      <c r="V7" s="437" t="s">
        <v>438</v>
      </c>
      <c r="W7" s="437" t="s">
        <v>437</v>
      </c>
      <c r="X7" s="438" t="s">
        <v>397</v>
      </c>
      <c r="Y7" s="211" t="s">
        <v>279</v>
      </c>
      <c r="Z7" s="430"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1015"/>
      <c r="B8" s="1016"/>
      <c r="C8" s="1016"/>
      <c r="D8" s="1017"/>
      <c r="E8" s="961"/>
      <c r="F8" s="962"/>
      <c r="G8" s="963"/>
      <c r="H8" s="904"/>
      <c r="I8" s="943" t="s">
        <v>382</v>
      </c>
      <c r="J8" s="951"/>
      <c r="K8" s="943" t="s">
        <v>325</v>
      </c>
      <c r="L8" s="944"/>
      <c r="M8" s="944"/>
      <c r="N8" s="944"/>
      <c r="O8" s="944"/>
      <c r="P8" s="944"/>
      <c r="Q8" s="944"/>
      <c r="R8" s="944"/>
      <c r="S8" s="971" t="s">
        <v>382</v>
      </c>
      <c r="T8" s="944"/>
      <c r="U8" s="951"/>
      <c r="V8" s="1105" t="s">
        <v>383</v>
      </c>
      <c r="W8" s="1106"/>
      <c r="X8" s="1107"/>
      <c r="Y8" s="211"/>
      <c r="Z8" s="430"/>
      <c r="AA8" s="296"/>
      <c r="BB8" s="225"/>
      <c r="CA8" s="111"/>
      <c r="CB8" s="230"/>
      <c r="CC8" s="296"/>
      <c r="CX8" s="244"/>
      <c r="DA8" s="244"/>
      <c r="DB8" s="244"/>
      <c r="DC8" s="244"/>
      <c r="DD8" s="244"/>
      <c r="DE8" s="244"/>
      <c r="DF8" s="244"/>
      <c r="DG8" s="244"/>
      <c r="DH8" t="s">
        <v>492</v>
      </c>
      <c r="DI8" t="s">
        <v>493</v>
      </c>
      <c r="DJ8" t="s">
        <v>494</v>
      </c>
      <c r="DO8" s="643"/>
      <c r="DS8" s="1078" t="s">
        <v>162</v>
      </c>
      <c r="DT8" s="1078"/>
      <c r="DU8" s="1078"/>
      <c r="DV8" s="1079"/>
      <c r="DW8" s="643"/>
      <c r="DZ8" s="1080" t="s">
        <v>162</v>
      </c>
      <c r="EA8" s="1080"/>
      <c r="EB8" s="1081"/>
      <c r="EG8" s="1080" t="s">
        <v>162</v>
      </c>
      <c r="EH8" s="1080"/>
      <c r="EI8" s="1080"/>
      <c r="EJ8" s="644"/>
      <c r="EK8" s="279"/>
      <c r="EL8" s="247"/>
      <c r="EM8" s="891" t="s">
        <v>162</v>
      </c>
      <c r="EN8" s="892"/>
      <c r="EO8" s="279"/>
      <c r="EP8" s="247"/>
      <c r="EQ8" s="891" t="s">
        <v>162</v>
      </c>
      <c r="ER8" s="892"/>
      <c r="ES8" s="279"/>
      <c r="ET8" s="247"/>
      <c r="EU8" s="891" t="s">
        <v>162</v>
      </c>
      <c r="EV8" s="892"/>
      <c r="EW8" s="279"/>
      <c r="EX8" s="247"/>
      <c r="EY8" s="891" t="s">
        <v>162</v>
      </c>
      <c r="EZ8" s="892"/>
      <c r="FA8" s="279"/>
      <c r="FB8" s="247"/>
      <c r="FC8" s="891" t="s">
        <v>162</v>
      </c>
      <c r="FD8" s="892"/>
      <c r="FE8" s="279"/>
      <c r="FF8" s="247"/>
      <c r="FG8" s="891" t="s">
        <v>162</v>
      </c>
      <c r="FH8" s="892"/>
      <c r="FI8" s="279"/>
      <c r="FJ8" s="247"/>
      <c r="FK8" s="891" t="s">
        <v>162</v>
      </c>
      <c r="FL8" s="892"/>
      <c r="FN8" s="636" t="s">
        <v>160</v>
      </c>
      <c r="FO8" s="279"/>
      <c r="FP8" s="247"/>
      <c r="FQ8" s="891" t="s">
        <v>162</v>
      </c>
      <c r="FR8" s="1077"/>
      <c r="FS8" s="279"/>
      <c r="FT8" s="683" t="s">
        <v>160</v>
      </c>
      <c r="FW8" s="636" t="s">
        <v>160</v>
      </c>
      <c r="FY8" s="636" t="s">
        <v>160</v>
      </c>
      <c r="GA8" s="636" t="s">
        <v>160</v>
      </c>
      <c r="GC8" s="636" t="s">
        <v>160</v>
      </c>
    </row>
    <row r="9" spans="1:185">
      <c r="A9" s="241">
        <f>IF(ISNUMBER(A7),A7+1,1)</f>
        <v>1</v>
      </c>
      <c r="B9" s="127" t="str">
        <f t="shared" ref="B9:B36" si="0">CHOOSE(MOD(WEEKDAY(DATE(A$6,A$2,A9)),7)+1,"lø","sø","ma","ti","on","to","fr",)</f>
        <v>lø</v>
      </c>
      <c r="C9" s="128" t="s">
        <v>120</v>
      </c>
      <c r="D9" s="129" t="str">
        <f t="shared" ref="D9:D36" si="1">IF(B9="ma",(DATE(A$6,A$2,A9)-DATE(A$6,1,1)+7)/7,"")</f>
        <v/>
      </c>
      <c r="E9" s="932"/>
      <c r="F9" s="933"/>
      <c r="G9" s="934"/>
      <c r="H9" s="294"/>
      <c r="I9" s="407"/>
      <c r="J9" s="407"/>
      <c r="K9" s="374"/>
      <c r="L9" s="374"/>
      <c r="M9" s="374"/>
      <c r="N9" s="313">
        <f>BA9</f>
        <v>0</v>
      </c>
      <c r="O9" s="313">
        <f>CA9</f>
        <v>0</v>
      </c>
      <c r="P9" s="313">
        <f>IF(Stamoplysninger!$H$29="JA",Februar!DG9,CX9)</f>
        <v>0</v>
      </c>
      <c r="Q9" s="313">
        <f>IF(OR(C9="Lejrskole",C9="Ekskursion"),0,N9-O9-P9)</f>
        <v>0</v>
      </c>
      <c r="R9" s="314"/>
      <c r="S9" s="319"/>
      <c r="T9" s="320"/>
      <c r="U9" s="320"/>
      <c r="V9" s="429"/>
      <c r="W9" s="429"/>
      <c r="X9" s="635"/>
      <c r="Y9">
        <f>IF($S$9="x",V9-N9,0)</f>
        <v>0</v>
      </c>
      <c r="Z9" s="431">
        <f>W9</f>
        <v>0</v>
      </c>
      <c r="AA9" s="1">
        <f>IF(C9="emnedag",K9,0)</f>
        <v>0</v>
      </c>
      <c r="AB9" s="1">
        <f t="shared" ref="AB9:AB35" si="2">IF(C9="fagdag",K9,0)</f>
        <v>0</v>
      </c>
      <c r="AC9" s="1">
        <f t="shared" ref="AC9:AC35" si="3">IF(C9="Pæd.dag",K9,0)</f>
        <v>0</v>
      </c>
      <c r="AD9" s="1">
        <f t="shared" ref="AD9:AD35" si="4">IF(C9="Ekskursion",K9,0)</f>
        <v>0</v>
      </c>
      <c r="AE9" s="1">
        <f t="shared" ref="AE9:AE35" si="5">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4" si="6">SUM(AG9:AK9)*24</f>
        <v>0</v>
      </c>
      <c r="BC9" s="1">
        <f>IF($C$9="Lejrskole",$L$9,0)</f>
        <v>0</v>
      </c>
      <c r="BD9" s="1">
        <f t="shared" ref="BD9:BD34" si="7">IF(C9="Ekskursion",L9,0)</f>
        <v>0</v>
      </c>
      <c r="BE9" s="1">
        <f t="shared" ref="BE9:BE34" si="8">IF(C9="fagdag",L9,0)</f>
        <v>0</v>
      </c>
      <c r="BF9" s="1">
        <f t="shared" ref="BF9:BF34" si="9">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4" si="10">IF(C9="fagdag",M9,0)</f>
        <v>0</v>
      </c>
      <c r="CC9" s="1">
        <f t="shared" ref="CC9:CC34" si="11">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5" si="12">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3">IF(AND(I9="X",S9="X"),V9,0)</f>
        <v>0</v>
      </c>
      <c r="FT9" s="649">
        <f t="shared" ref="FT9:FT37" si="14">IF(AND(AND(C9="ikke relevant",I9="X",S9="X")),V9,0)</f>
        <v>0</v>
      </c>
      <c r="FU9">
        <f t="shared" ref="FU9:FU28" si="15">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6" si="16">IF(ISNUMBER(A9),A9+1,1)</f>
        <v>2</v>
      </c>
      <c r="B10" s="127" t="str">
        <f t="shared" si="0"/>
        <v>sø</v>
      </c>
      <c r="C10" s="128" t="s">
        <v>120</v>
      </c>
      <c r="D10" s="129" t="str">
        <f t="shared" si="1"/>
        <v/>
      </c>
      <c r="E10" s="932"/>
      <c r="F10" s="933"/>
      <c r="G10" s="934"/>
      <c r="H10" s="294"/>
      <c r="I10" s="407"/>
      <c r="J10" s="407"/>
      <c r="K10" s="374"/>
      <c r="L10" s="374"/>
      <c r="M10" s="374"/>
      <c r="N10" s="313">
        <f t="shared" ref="N10:N36" si="17">BA10</f>
        <v>0</v>
      </c>
      <c r="O10" s="313">
        <f t="shared" ref="O10:O36" si="18">CA10</f>
        <v>0</v>
      </c>
      <c r="P10" s="313">
        <f>IF(Stamoplysninger!$H$29="JA",Februar!DG10,CX10)</f>
        <v>0</v>
      </c>
      <c r="Q10" s="313">
        <f t="shared" ref="Q10:Q36" si="19">IF(OR(C10="Lejrskole",C10="Ekskursion"),0,N10-O10-P10)</f>
        <v>0</v>
      </c>
      <c r="R10" s="314"/>
      <c r="S10" s="319"/>
      <c r="T10" s="320"/>
      <c r="U10" s="320"/>
      <c r="V10" s="429"/>
      <c r="W10" s="429"/>
      <c r="X10" s="635"/>
      <c r="Y10">
        <f t="shared" ref="Y10:Y37" si="20">IF(S10="x",V10-N10,0)</f>
        <v>0</v>
      </c>
      <c r="Z10" s="431">
        <f t="shared" ref="Z10:Z35" si="21">W10</f>
        <v>0</v>
      </c>
      <c r="AA10" s="1">
        <f t="shared" ref="AA10:AA35" si="22">IF(C10="emnedag",K10,0)</f>
        <v>0</v>
      </c>
      <c r="AB10" s="1">
        <f t="shared" si="2"/>
        <v>0</v>
      </c>
      <c r="AC10" s="1">
        <f t="shared" si="3"/>
        <v>0</v>
      </c>
      <c r="AD10" s="1">
        <f t="shared" si="4"/>
        <v>0</v>
      </c>
      <c r="AE10" s="1">
        <f t="shared" si="5"/>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4" si="23">SUM(AA10:AZ10)</f>
        <v>0</v>
      </c>
      <c r="BB10" s="226">
        <f t="shared" si="6"/>
        <v>0</v>
      </c>
      <c r="BC10" s="1">
        <f t="shared" ref="BC10:BC34" si="24">IF(C10="Lejrskole",L10,0)</f>
        <v>0</v>
      </c>
      <c r="BD10" s="1">
        <f t="shared" si="7"/>
        <v>0</v>
      </c>
      <c r="BE10" s="1">
        <f t="shared" si="8"/>
        <v>0</v>
      </c>
      <c r="BF10" s="1">
        <f t="shared" si="9"/>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4" si="25">SUM(BG10:BZ10)*24+SUM(BC10:BF10)</f>
        <v>0</v>
      </c>
      <c r="CB10" s="1">
        <f t="shared" si="10"/>
        <v>0</v>
      </c>
      <c r="CC10" s="1">
        <f t="shared" si="11"/>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4" si="26">SUM(CY10:DF10)</f>
        <v>0</v>
      </c>
      <c r="DH10" t="str">
        <f t="shared" ref="DH10:DH39" si="27">IF(AND(E10&gt;0,H10&gt;0),""&amp;E10&amp;" og "&amp;H10&amp;"","")</f>
        <v/>
      </c>
      <c r="DI10">
        <f t="shared" ref="DI10:DI35" si="28">IF(H10="",E10,"")</f>
        <v>0</v>
      </c>
      <c r="DJ10">
        <f t="shared" ref="DJ10:DJ35" si="29">IF(E10="",H10,"")</f>
        <v>0</v>
      </c>
      <c r="DK10" t="str">
        <f t="shared" si="12"/>
        <v/>
      </c>
      <c r="DL10" t="str">
        <f t="shared" si="12"/>
        <v/>
      </c>
      <c r="DM10" t="str">
        <f t="shared" si="12"/>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3"/>
        <v>0</v>
      </c>
      <c r="FT10" s="649">
        <f t="shared" si="14"/>
        <v>0</v>
      </c>
      <c r="FU10">
        <f t="shared" si="15"/>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6"/>
        <v>3</v>
      </c>
      <c r="B11" s="127" t="str">
        <f t="shared" si="0"/>
        <v>ma</v>
      </c>
      <c r="C11" s="128" t="s">
        <v>206</v>
      </c>
      <c r="D11" s="129">
        <f t="shared" si="1"/>
        <v>5.7142857142857144</v>
      </c>
      <c r="E11" s="932"/>
      <c r="F11" s="933"/>
      <c r="G11" s="934"/>
      <c r="H11" s="294"/>
      <c r="I11" s="519"/>
      <c r="J11" s="407"/>
      <c r="K11" s="374"/>
      <c r="L11" s="374"/>
      <c r="M11" s="374"/>
      <c r="N11" s="313">
        <f t="shared" si="17"/>
        <v>0</v>
      </c>
      <c r="O11" s="313">
        <f t="shared" si="18"/>
        <v>0</v>
      </c>
      <c r="P11" s="313">
        <f>IF(Stamoplysninger!$H$29="JA",Februar!DG11,CX11)</f>
        <v>0</v>
      </c>
      <c r="Q11" s="313">
        <f t="shared" si="19"/>
        <v>0</v>
      </c>
      <c r="R11" s="314"/>
      <c r="S11" s="319"/>
      <c r="T11" s="320"/>
      <c r="U11" s="320"/>
      <c r="V11" s="429"/>
      <c r="W11" s="429"/>
      <c r="X11" s="635"/>
      <c r="Y11">
        <f t="shared" si="20"/>
        <v>0</v>
      </c>
      <c r="Z11" s="431">
        <f t="shared" si="21"/>
        <v>0</v>
      </c>
      <c r="AA11" s="1">
        <f t="shared" si="22"/>
        <v>0</v>
      </c>
      <c r="AB11" s="1">
        <f t="shared" si="2"/>
        <v>0</v>
      </c>
      <c r="AC11" s="1">
        <f t="shared" si="3"/>
        <v>0</v>
      </c>
      <c r="AD11" s="1">
        <f t="shared" si="4"/>
        <v>0</v>
      </c>
      <c r="AE11" s="1">
        <f t="shared" si="5"/>
        <v>0</v>
      </c>
      <c r="AF11" s="1">
        <f>IF(C11="Orlov",7.4*Stamoplysninger!$E$15,0)</f>
        <v>0</v>
      </c>
      <c r="AG11">
        <f>IF(AND(C11="Skema 1",B11="ma"),Arbejdstidsoversigt!$E$72,"")</f>
        <v>0</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6"/>
        <v>0</v>
      </c>
      <c r="BC11" s="1">
        <f t="shared" si="24"/>
        <v>0</v>
      </c>
      <c r="BD11" s="1">
        <f t="shared" si="7"/>
        <v>0</v>
      </c>
      <c r="BE11" s="1">
        <f t="shared" si="8"/>
        <v>0</v>
      </c>
      <c r="BF11" s="1">
        <f t="shared" si="9"/>
        <v>0</v>
      </c>
      <c r="BG11" s="209">
        <f>IF(AND(C11="Skema 1",B11="ma"),Skemaoplysninger!$E$30,"")</f>
        <v>0</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0"/>
        <v>0</v>
      </c>
      <c r="CC11" s="1">
        <f t="shared" si="11"/>
        <v>0</v>
      </c>
      <c r="CD11" s="209">
        <f>IF(AND(C11="Skema 1",B11="ma"),Skemaoplysninger!$E$31,"")</f>
        <v>0</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2"/>
        <v/>
      </c>
      <c r="DL11" t="str">
        <f t="shared" si="12"/>
        <v/>
      </c>
      <c r="DM11" t="str">
        <f t="shared" si="12"/>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3"/>
        <v>0</v>
      </c>
      <c r="FT11" s="649">
        <f t="shared" si="14"/>
        <v>0</v>
      </c>
      <c r="FU11">
        <f t="shared" si="15"/>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6"/>
        <v>4</v>
      </c>
      <c r="B12" s="127" t="str">
        <f t="shared" si="0"/>
        <v>ti</v>
      </c>
      <c r="C12" s="128" t="s">
        <v>206</v>
      </c>
      <c r="D12" s="129" t="str">
        <f t="shared" si="1"/>
        <v/>
      </c>
      <c r="E12" s="932"/>
      <c r="F12" s="933"/>
      <c r="G12" s="934"/>
      <c r="H12" s="294"/>
      <c r="I12" s="519"/>
      <c r="J12" s="407"/>
      <c r="K12" s="374"/>
      <c r="L12" s="374"/>
      <c r="M12" s="374"/>
      <c r="N12" s="313">
        <f t="shared" si="17"/>
        <v>0</v>
      </c>
      <c r="O12" s="313">
        <f t="shared" si="18"/>
        <v>0</v>
      </c>
      <c r="P12" s="313">
        <f>IF(Stamoplysninger!$H$29="JA",Februar!DG12,CX12)</f>
        <v>0</v>
      </c>
      <c r="Q12" s="313">
        <f t="shared" si="19"/>
        <v>0</v>
      </c>
      <c r="R12" s="314"/>
      <c r="S12" s="319"/>
      <c r="T12" s="320"/>
      <c r="U12" s="320"/>
      <c r="V12" s="429"/>
      <c r="W12" s="429"/>
      <c r="X12" s="635"/>
      <c r="Y12">
        <f t="shared" si="20"/>
        <v>0</v>
      </c>
      <c r="Z12" s="431">
        <f t="shared" si="21"/>
        <v>0</v>
      </c>
      <c r="AA12" s="1">
        <f t="shared" si="22"/>
        <v>0</v>
      </c>
      <c r="AB12" s="1">
        <f t="shared" si="2"/>
        <v>0</v>
      </c>
      <c r="AC12" s="1">
        <f t="shared" si="3"/>
        <v>0</v>
      </c>
      <c r="AD12" s="1">
        <f t="shared" si="4"/>
        <v>0</v>
      </c>
      <c r="AE12" s="1">
        <f t="shared" si="5"/>
        <v>0</v>
      </c>
      <c r="AF12" s="1">
        <f>IF(C12="Orlov",7.4*Stamoplysninger!$E$15,0)</f>
        <v>0</v>
      </c>
      <c r="AG12" t="str">
        <f>IF(AND(C12="Skema 1",B12="ma"),Arbejdstidsoversigt!$E$72,"")</f>
        <v/>
      </c>
      <c r="AH12">
        <f>IF(AND(C12="Skema 1",B12="ti"),Arbejdstidsoversigt!$E$73,"")</f>
        <v>0</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6"/>
        <v>0</v>
      </c>
      <c r="BC12" s="1">
        <f t="shared" si="24"/>
        <v>0</v>
      </c>
      <c r="BD12" s="1">
        <f t="shared" si="7"/>
        <v>0</v>
      </c>
      <c r="BE12" s="1">
        <f t="shared" si="8"/>
        <v>0</v>
      </c>
      <c r="BF12" s="1">
        <f t="shared" si="9"/>
        <v>0</v>
      </c>
      <c r="BG12" s="209" t="str">
        <f>IF(AND(C12="Skema 1",B12="ma"),Skemaoplysninger!$E$30,"")</f>
        <v/>
      </c>
      <c r="BH12" s="209">
        <f>IF(AND(C12="Skema 1",B12="ti"),Skemaoplysninger!$G$30,"")</f>
        <v>0</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0"/>
        <v>0</v>
      </c>
      <c r="CC12" s="1">
        <f t="shared" si="11"/>
        <v>0</v>
      </c>
      <c r="CD12" s="209" t="str">
        <f>IF(AND(C12="Skema 1",B12="ma"),Skemaoplysninger!$E$31,"")</f>
        <v/>
      </c>
      <c r="CE12" s="209">
        <f>IF(AND(C12="Skema 1",B12="ti"),Skemaoplysninger!$G$31,"")</f>
        <v>0</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2"/>
        <v/>
      </c>
      <c r="DL12" t="str">
        <f t="shared" si="12"/>
        <v/>
      </c>
      <c r="DM12" t="str">
        <f t="shared" si="12"/>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3"/>
        <v>0</v>
      </c>
      <c r="FT12" s="649">
        <f t="shared" si="14"/>
        <v>0</v>
      </c>
      <c r="FU12">
        <f t="shared" si="15"/>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6"/>
        <v>5</v>
      </c>
      <c r="B13" s="127" t="str">
        <f t="shared" si="0"/>
        <v>on</v>
      </c>
      <c r="C13" s="128" t="s">
        <v>206</v>
      </c>
      <c r="D13" s="129" t="str">
        <f t="shared" si="1"/>
        <v/>
      </c>
      <c r="E13" s="932"/>
      <c r="F13" s="933"/>
      <c r="G13" s="934"/>
      <c r="H13" s="294"/>
      <c r="I13" s="519"/>
      <c r="J13" s="407"/>
      <c r="K13" s="374"/>
      <c r="L13" s="374"/>
      <c r="M13" s="374"/>
      <c r="N13" s="313">
        <f t="shared" si="17"/>
        <v>0</v>
      </c>
      <c r="O13" s="313">
        <f t="shared" si="18"/>
        <v>0</v>
      </c>
      <c r="P13" s="313">
        <f>IF(Stamoplysninger!$H$29="JA",Februar!DG13,CX13)</f>
        <v>0</v>
      </c>
      <c r="Q13" s="313">
        <f t="shared" si="19"/>
        <v>0</v>
      </c>
      <c r="R13" s="314"/>
      <c r="S13" s="319"/>
      <c r="T13" s="320"/>
      <c r="U13" s="320"/>
      <c r="V13" s="429"/>
      <c r="W13" s="429"/>
      <c r="X13" s="635"/>
      <c r="Y13">
        <f t="shared" si="20"/>
        <v>0</v>
      </c>
      <c r="Z13" s="431">
        <f t="shared" si="21"/>
        <v>0</v>
      </c>
      <c r="AA13" s="1">
        <f t="shared" si="22"/>
        <v>0</v>
      </c>
      <c r="AB13" s="1">
        <f t="shared" si="2"/>
        <v>0</v>
      </c>
      <c r="AC13" s="1">
        <f t="shared" si="3"/>
        <v>0</v>
      </c>
      <c r="AD13" s="1">
        <f t="shared" si="4"/>
        <v>0</v>
      </c>
      <c r="AE13" s="1">
        <f t="shared" si="5"/>
        <v>0</v>
      </c>
      <c r="AF13" s="1">
        <f>IF(C13="Orlov",7.4*Stamoplysninger!$E$15,0)</f>
        <v>0</v>
      </c>
      <c r="AG13" t="str">
        <f>IF(AND(C13="Skema 1",B13="ma"),Arbejdstidsoversigt!$E$72,"")</f>
        <v/>
      </c>
      <c r="AH13" t="str">
        <f>IF(AND(C13="Skema 1",B13="ti"),Arbejdstidsoversigt!$E$73,"")</f>
        <v/>
      </c>
      <c r="AI13">
        <f>IF(AND(C13="Skema 1",B13="on"),Arbejdstidsoversigt!$E$74,"")</f>
        <v>0</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6"/>
        <v>0</v>
      </c>
      <c r="BC13" s="1">
        <f t="shared" si="24"/>
        <v>0</v>
      </c>
      <c r="BD13" s="1">
        <f t="shared" si="7"/>
        <v>0</v>
      </c>
      <c r="BE13" s="1">
        <f t="shared" si="8"/>
        <v>0</v>
      </c>
      <c r="BF13" s="1">
        <f t="shared" si="9"/>
        <v>0</v>
      </c>
      <c r="BG13" s="209" t="str">
        <f>IF(AND(C13="Skema 1",B13="ma"),Skemaoplysninger!$E$30,"")</f>
        <v/>
      </c>
      <c r="BH13" s="209" t="str">
        <f>IF(AND(C13="Skema 1",B13="ti"),Skemaoplysninger!$G$30,"")</f>
        <v/>
      </c>
      <c r="BI13" s="209">
        <f>IF(AND(C13="Skema 1",B13="on"),Skemaoplysninger!$I$30,"")</f>
        <v>0</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0"/>
        <v>0</v>
      </c>
      <c r="CC13" s="1">
        <f t="shared" si="11"/>
        <v>0</v>
      </c>
      <c r="CD13" s="209" t="str">
        <f>IF(AND(C13="Skema 1",B13="ma"),Skemaoplysninger!$E$31,"")</f>
        <v/>
      </c>
      <c r="CE13" s="209" t="str">
        <f>IF(AND(C13="Skema 1",B13="ti"),Skemaoplysninger!$G$31,"")</f>
        <v/>
      </c>
      <c r="CF13" s="209">
        <f>IF(AND(C13="Skema 1",B13="on"),Skemaoplysninger!$I$31,"")</f>
        <v>0</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2"/>
        <v/>
      </c>
      <c r="DL13" t="str">
        <f t="shared" si="12"/>
        <v/>
      </c>
      <c r="DM13" t="str">
        <f t="shared" si="12"/>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3"/>
        <v>0</v>
      </c>
      <c r="FT13" s="649">
        <f t="shared" si="14"/>
        <v>0</v>
      </c>
      <c r="FU13">
        <f t="shared" si="15"/>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6"/>
        <v>6</v>
      </c>
      <c r="B14" s="127" t="str">
        <f t="shared" si="0"/>
        <v>to</v>
      </c>
      <c r="C14" s="128" t="s">
        <v>206</v>
      </c>
      <c r="D14" s="129" t="str">
        <f t="shared" si="1"/>
        <v/>
      </c>
      <c r="E14" s="932"/>
      <c r="F14" s="933"/>
      <c r="G14" s="934"/>
      <c r="H14" s="294"/>
      <c r="I14" s="519"/>
      <c r="J14" s="407"/>
      <c r="K14" s="374"/>
      <c r="L14" s="374"/>
      <c r="M14" s="374"/>
      <c r="N14" s="313">
        <f t="shared" si="17"/>
        <v>0</v>
      </c>
      <c r="O14" s="313">
        <f t="shared" si="18"/>
        <v>0</v>
      </c>
      <c r="P14" s="313">
        <f>IF(Stamoplysninger!$H$29="JA",Februar!DG14,CX14)</f>
        <v>0</v>
      </c>
      <c r="Q14" s="313">
        <f t="shared" si="19"/>
        <v>0</v>
      </c>
      <c r="R14" s="314"/>
      <c r="S14" s="319"/>
      <c r="T14" s="320"/>
      <c r="U14" s="320"/>
      <c r="V14" s="429"/>
      <c r="W14" s="429"/>
      <c r="X14" s="635"/>
      <c r="Y14">
        <f t="shared" si="20"/>
        <v>0</v>
      </c>
      <c r="Z14" s="431">
        <f t="shared" si="21"/>
        <v>0</v>
      </c>
      <c r="AA14" s="1">
        <f t="shared" si="22"/>
        <v>0</v>
      </c>
      <c r="AB14" s="1">
        <f t="shared" si="2"/>
        <v>0</v>
      </c>
      <c r="AC14" s="1">
        <f t="shared" si="3"/>
        <v>0</v>
      </c>
      <c r="AD14" s="1">
        <f t="shared" si="4"/>
        <v>0</v>
      </c>
      <c r="AE14" s="1">
        <f t="shared" si="5"/>
        <v>0</v>
      </c>
      <c r="AF14" s="1">
        <f>IF(C14="Orlov",7.4*Stamoplysninger!$E$15,0)</f>
        <v>0</v>
      </c>
      <c r="AG14" t="str">
        <f>IF(AND(C14="Skema 1",B14="ma"),Arbejdstidsoversigt!$E$72,"")</f>
        <v/>
      </c>
      <c r="AH14" t="str">
        <f>IF(AND(C14="Skema 1",B14="ti"),Arbejdstidsoversigt!$E$73,"")</f>
        <v/>
      </c>
      <c r="AI14" t="str">
        <f>IF(AND(C14="Skema 1",B14="on"),Arbejdstidsoversigt!$E$74,"")</f>
        <v/>
      </c>
      <c r="AJ14">
        <f>IF(AND(C14="Skema 1",B14="to"),Arbejdstidsoversigt!$E$75,"")</f>
        <v>0</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6"/>
        <v>0</v>
      </c>
      <c r="BC14" s="1">
        <f t="shared" si="24"/>
        <v>0</v>
      </c>
      <c r="BD14" s="1">
        <f t="shared" si="7"/>
        <v>0</v>
      </c>
      <c r="BE14" s="1">
        <f t="shared" si="8"/>
        <v>0</v>
      </c>
      <c r="BF14" s="1">
        <f t="shared" si="9"/>
        <v>0</v>
      </c>
      <c r="BG14" s="209" t="str">
        <f>IF(AND(C14="Skema 1",B14="ma"),Skemaoplysninger!$E$30,"")</f>
        <v/>
      </c>
      <c r="BH14" s="209" t="str">
        <f>IF(AND(C14="Skema 1",B14="ti"),Skemaoplysninger!$G$30,"")</f>
        <v/>
      </c>
      <c r="BI14" s="209" t="str">
        <f>IF(AND(C14="Skema 1",B14="on"),Skemaoplysninger!$I$30,"")</f>
        <v/>
      </c>
      <c r="BJ14" s="209">
        <f>IF(AND(C14="Skema 1",B14="to"),Skemaoplysninger!$K$30,"")</f>
        <v>0</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0"/>
        <v>0</v>
      </c>
      <c r="CC14" s="1">
        <f t="shared" si="11"/>
        <v>0</v>
      </c>
      <c r="CD14" s="209" t="str">
        <f>IF(AND(C14="Skema 1",B14="ma"),Skemaoplysninger!$E$31,"")</f>
        <v/>
      </c>
      <c r="CE14" s="209" t="str">
        <f>IF(AND(C14="Skema 1",B14="ti"),Skemaoplysninger!$G$31,"")</f>
        <v/>
      </c>
      <c r="CF14" s="209" t="str">
        <f>IF(AND(C14="Skema 1",B14="on"),Skemaoplysninger!$I$31,"")</f>
        <v/>
      </c>
      <c r="CG14" s="209">
        <f>IF(AND(C14="Skema 1",B14="to"),Skemaoplysninger!$K$31,"")</f>
        <v>0</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2"/>
        <v/>
      </c>
      <c r="DL14" t="str">
        <f t="shared" si="12"/>
        <v/>
      </c>
      <c r="DM14" t="str">
        <f t="shared" si="12"/>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3"/>
        <v>0</v>
      </c>
      <c r="FT14" s="649">
        <f t="shared" si="14"/>
        <v>0</v>
      </c>
      <c r="FU14">
        <f t="shared" si="15"/>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6"/>
        <v>7</v>
      </c>
      <c r="B15" s="127" t="str">
        <f t="shared" si="0"/>
        <v>fr</v>
      </c>
      <c r="C15" s="128" t="s">
        <v>206</v>
      </c>
      <c r="D15" s="129" t="str">
        <f t="shared" si="1"/>
        <v/>
      </c>
      <c r="E15" s="932"/>
      <c r="F15" s="933"/>
      <c r="G15" s="934"/>
      <c r="H15" s="294"/>
      <c r="I15" s="519"/>
      <c r="J15" s="407"/>
      <c r="K15" s="374"/>
      <c r="L15" s="374"/>
      <c r="M15" s="374"/>
      <c r="N15" s="313">
        <f t="shared" si="17"/>
        <v>0</v>
      </c>
      <c r="O15" s="313">
        <f t="shared" si="18"/>
        <v>0</v>
      </c>
      <c r="P15" s="313">
        <f>IF(Stamoplysninger!$H$29="JA",Februar!DG15,CX15)</f>
        <v>0</v>
      </c>
      <c r="Q15" s="313">
        <f t="shared" si="19"/>
        <v>0</v>
      </c>
      <c r="R15" s="314"/>
      <c r="S15" s="319"/>
      <c r="T15" s="320"/>
      <c r="U15" s="320"/>
      <c r="V15" s="429"/>
      <c r="W15" s="429"/>
      <c r="X15" s="635"/>
      <c r="Y15">
        <f t="shared" si="20"/>
        <v>0</v>
      </c>
      <c r="Z15" s="431">
        <f t="shared" si="21"/>
        <v>0</v>
      </c>
      <c r="AA15" s="1">
        <f t="shared" si="22"/>
        <v>0</v>
      </c>
      <c r="AB15" s="1">
        <f t="shared" si="2"/>
        <v>0</v>
      </c>
      <c r="AC15" s="1">
        <f t="shared" si="3"/>
        <v>0</v>
      </c>
      <c r="AD15" s="1">
        <f t="shared" si="4"/>
        <v>0</v>
      </c>
      <c r="AE15" s="1">
        <f t="shared" si="5"/>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f>IF(AND(C15="Skema 1",B15="fr"),Arbejdstidsoversigt!$E$76,"")</f>
        <v>0</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6"/>
        <v>0</v>
      </c>
      <c r="BC15" s="1">
        <f t="shared" si="24"/>
        <v>0</v>
      </c>
      <c r="BD15" s="1">
        <f t="shared" si="7"/>
        <v>0</v>
      </c>
      <c r="BE15" s="1">
        <f t="shared" si="8"/>
        <v>0</v>
      </c>
      <c r="BF15" s="1">
        <f t="shared" si="9"/>
        <v>0</v>
      </c>
      <c r="BG15" s="209" t="str">
        <f>IF(AND(C15="Skema 1",B15="ma"),Skemaoplysninger!$E$30,"")</f>
        <v/>
      </c>
      <c r="BH15" s="209" t="str">
        <f>IF(AND(C15="Skema 1",B15="ti"),Skemaoplysninger!$G$30,"")</f>
        <v/>
      </c>
      <c r="BI15" s="209" t="str">
        <f>IF(AND(C15="Skema 1",B15="on"),Skemaoplysninger!$I$30,"")</f>
        <v/>
      </c>
      <c r="BJ15" s="209" t="str">
        <f>IF(AND(C15="Skema 1",B15="to"),Skemaoplysninger!$K$30,"")</f>
        <v/>
      </c>
      <c r="BK15" s="209">
        <f>IF(AND(C15="Skema 1",B15="fr"),Skemaoplysninger!$M$30,"")</f>
        <v>0</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0"/>
        <v>0</v>
      </c>
      <c r="CC15" s="1">
        <f t="shared" si="11"/>
        <v>0</v>
      </c>
      <c r="CD15" s="209" t="str">
        <f>IF(AND(C15="Skema 1",B15="ma"),Skemaoplysninger!$E$31,"")</f>
        <v/>
      </c>
      <c r="CE15" s="209" t="str">
        <f>IF(AND(C15="Skema 1",B15="ti"),Skemaoplysninger!$G$31,"")</f>
        <v/>
      </c>
      <c r="CF15" s="209" t="str">
        <f>IF(AND(C15="Skema 1",B15="on"),Skemaoplysninger!$I$31,"")</f>
        <v/>
      </c>
      <c r="CG15" s="209" t="str">
        <f>IF(AND(C15="Skema 1",B15="to"),Skemaoplysninger!$K$31,"")</f>
        <v/>
      </c>
      <c r="CH15" s="209">
        <f>IF(AND(C15="Skema 1",B15="fr"),Skemaoplysninger!$M$31,"")</f>
        <v>0</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2"/>
        <v/>
      </c>
      <c r="DL15" t="str">
        <f t="shared" si="12"/>
        <v/>
      </c>
      <c r="DM15" t="str">
        <f t="shared" si="12"/>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3"/>
        <v>0</v>
      </c>
      <c r="FT15" s="649">
        <f t="shared" si="14"/>
        <v>0</v>
      </c>
      <c r="FU15">
        <f t="shared" si="15"/>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6"/>
        <v>8</v>
      </c>
      <c r="B16" s="127" t="str">
        <f t="shared" si="0"/>
        <v>lø</v>
      </c>
      <c r="C16" s="128" t="s">
        <v>120</v>
      </c>
      <c r="D16" s="129" t="str">
        <f t="shared" si="1"/>
        <v/>
      </c>
      <c r="E16" s="932"/>
      <c r="F16" s="933"/>
      <c r="G16" s="934"/>
      <c r="H16" s="294"/>
      <c r="I16" s="407"/>
      <c r="J16" s="407"/>
      <c r="K16" s="374"/>
      <c r="L16" s="374"/>
      <c r="M16" s="374"/>
      <c r="N16" s="313">
        <f t="shared" si="17"/>
        <v>0</v>
      </c>
      <c r="O16" s="313">
        <f t="shared" si="18"/>
        <v>0</v>
      </c>
      <c r="P16" s="313">
        <f>IF(Stamoplysninger!$H$29="JA",Februar!DG16,CX16)</f>
        <v>0</v>
      </c>
      <c r="Q16" s="313">
        <f t="shared" si="19"/>
        <v>0</v>
      </c>
      <c r="R16" s="314"/>
      <c r="S16" s="319"/>
      <c r="T16" s="320"/>
      <c r="U16" s="320"/>
      <c r="V16" s="429"/>
      <c r="W16" s="429"/>
      <c r="X16" s="635"/>
      <c r="Y16">
        <f t="shared" si="20"/>
        <v>0</v>
      </c>
      <c r="Z16" s="431">
        <f t="shared" si="21"/>
        <v>0</v>
      </c>
      <c r="AA16" s="1">
        <f t="shared" si="22"/>
        <v>0</v>
      </c>
      <c r="AB16" s="1">
        <f t="shared" si="2"/>
        <v>0</v>
      </c>
      <c r="AC16" s="1">
        <f t="shared" si="3"/>
        <v>0</v>
      </c>
      <c r="AD16" s="1">
        <f t="shared" si="4"/>
        <v>0</v>
      </c>
      <c r="AE16" s="1">
        <f t="shared" si="5"/>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6"/>
        <v>0</v>
      </c>
      <c r="BC16" s="1">
        <f t="shared" si="24"/>
        <v>0</v>
      </c>
      <c r="BD16" s="1">
        <f t="shared" si="7"/>
        <v>0</v>
      </c>
      <c r="BE16" s="1">
        <f t="shared" si="8"/>
        <v>0</v>
      </c>
      <c r="BF16" s="1">
        <f t="shared" si="9"/>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0"/>
        <v>0</v>
      </c>
      <c r="CC16" s="1">
        <f t="shared" si="11"/>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2"/>
        <v/>
      </c>
      <c r="DL16" t="str">
        <f t="shared" si="12"/>
        <v/>
      </c>
      <c r="DM16" t="str">
        <f t="shared" si="12"/>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3"/>
        <v>0</v>
      </c>
      <c r="FT16" s="649">
        <f t="shared" si="14"/>
        <v>0</v>
      </c>
      <c r="FU16">
        <f t="shared" si="15"/>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6"/>
        <v>9</v>
      </c>
      <c r="B17" s="127" t="str">
        <f t="shared" si="0"/>
        <v>sø</v>
      </c>
      <c r="C17" s="128" t="s">
        <v>120</v>
      </c>
      <c r="D17" s="129" t="str">
        <f t="shared" si="1"/>
        <v/>
      </c>
      <c r="E17" s="932"/>
      <c r="F17" s="933"/>
      <c r="G17" s="934"/>
      <c r="H17" s="294"/>
      <c r="I17" s="407"/>
      <c r="J17" s="407"/>
      <c r="K17" s="374"/>
      <c r="L17" s="374"/>
      <c r="M17" s="374"/>
      <c r="N17" s="313">
        <f t="shared" si="17"/>
        <v>0</v>
      </c>
      <c r="O17" s="313">
        <f t="shared" si="18"/>
        <v>0</v>
      </c>
      <c r="P17" s="313">
        <f>IF(Stamoplysninger!$H$29="JA",Februar!DG17,CX17)</f>
        <v>0</v>
      </c>
      <c r="Q17" s="313">
        <f t="shared" si="19"/>
        <v>0</v>
      </c>
      <c r="R17" s="314"/>
      <c r="S17" s="319"/>
      <c r="T17" s="320"/>
      <c r="U17" s="320"/>
      <c r="V17" s="429"/>
      <c r="W17" s="429"/>
      <c r="X17" s="635"/>
      <c r="Y17">
        <f t="shared" si="20"/>
        <v>0</v>
      </c>
      <c r="Z17" s="431">
        <f t="shared" si="21"/>
        <v>0</v>
      </c>
      <c r="AA17" s="1">
        <f t="shared" si="22"/>
        <v>0</v>
      </c>
      <c r="AB17" s="1">
        <f t="shared" si="2"/>
        <v>0</v>
      </c>
      <c r="AC17" s="1">
        <f t="shared" si="3"/>
        <v>0</v>
      </c>
      <c r="AD17" s="1">
        <f t="shared" si="4"/>
        <v>0</v>
      </c>
      <c r="AE17" s="1">
        <f t="shared" si="5"/>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6"/>
        <v>0</v>
      </c>
      <c r="BC17" s="1">
        <f t="shared" si="24"/>
        <v>0</v>
      </c>
      <c r="BD17" s="1">
        <f t="shared" si="7"/>
        <v>0</v>
      </c>
      <c r="BE17" s="1">
        <f t="shared" si="8"/>
        <v>0</v>
      </c>
      <c r="BF17" s="1">
        <f t="shared" si="9"/>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0"/>
        <v>0</v>
      </c>
      <c r="CC17" s="1">
        <f t="shared" si="11"/>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2"/>
        <v/>
      </c>
      <c r="DL17" t="str">
        <f t="shared" si="12"/>
        <v/>
      </c>
      <c r="DM17" t="str">
        <f t="shared" si="12"/>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3"/>
        <v>0</v>
      </c>
      <c r="FT17" s="649">
        <f t="shared" si="14"/>
        <v>0</v>
      </c>
      <c r="FU17">
        <f t="shared" si="15"/>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6"/>
        <v>10</v>
      </c>
      <c r="B18" s="127" t="str">
        <f t="shared" si="0"/>
        <v>ma</v>
      </c>
      <c r="C18" s="128" t="s">
        <v>128</v>
      </c>
      <c r="D18" s="129">
        <f t="shared" si="1"/>
        <v>6.7142857142857144</v>
      </c>
      <c r="E18" s="932" t="s">
        <v>131</v>
      </c>
      <c r="F18" s="933"/>
      <c r="G18" s="934"/>
      <c r="H18" s="294"/>
      <c r="I18" s="519"/>
      <c r="J18" s="407"/>
      <c r="K18" s="374"/>
      <c r="L18" s="374"/>
      <c r="M18" s="374"/>
      <c r="N18" s="313">
        <f t="shared" si="17"/>
        <v>0</v>
      </c>
      <c r="O18" s="313">
        <f t="shared" si="18"/>
        <v>0</v>
      </c>
      <c r="P18" s="313">
        <f>IF(Stamoplysninger!$H$29="JA",Februar!DG18,CX18)</f>
        <v>0</v>
      </c>
      <c r="Q18" s="313">
        <f t="shared" si="19"/>
        <v>0</v>
      </c>
      <c r="R18" s="314"/>
      <c r="S18" s="319"/>
      <c r="T18" s="320"/>
      <c r="U18" s="320"/>
      <c r="V18" s="429"/>
      <c r="W18" s="429"/>
      <c r="X18" s="635"/>
      <c r="Y18">
        <f t="shared" si="20"/>
        <v>0</v>
      </c>
      <c r="Z18" s="431">
        <f t="shared" si="21"/>
        <v>0</v>
      </c>
      <c r="AA18" s="1">
        <f t="shared" si="22"/>
        <v>0</v>
      </c>
      <c r="AB18" s="1">
        <f t="shared" si="2"/>
        <v>0</v>
      </c>
      <c r="AC18" s="1">
        <f t="shared" si="3"/>
        <v>0</v>
      </c>
      <c r="AD18" s="1">
        <f t="shared" si="4"/>
        <v>0</v>
      </c>
      <c r="AE18" s="1">
        <f t="shared" si="5"/>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6"/>
        <v>0</v>
      </c>
      <c r="BC18" s="1">
        <f t="shared" si="24"/>
        <v>0</v>
      </c>
      <c r="BD18" s="1">
        <f t="shared" si="7"/>
        <v>0</v>
      </c>
      <c r="BE18" s="1">
        <f t="shared" si="8"/>
        <v>0</v>
      </c>
      <c r="BF18" s="1">
        <f t="shared" si="9"/>
        <v>0</v>
      </c>
      <c r="BG18" s="209" t="str">
        <f>IF(AND(C18="Skema 1",B18="ma"),Skemaoplysninger!$E$30,"")</f>
        <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0"/>
        <v>0</v>
      </c>
      <c r="CC18" s="1">
        <f t="shared" si="11"/>
        <v>0</v>
      </c>
      <c r="CD18" s="209" t="str">
        <f>IF(AND(C18="Skema 1",B18="ma"),Skemaoplysninger!$E$31,"")</f>
        <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t="str">
        <f t="shared" si="28"/>
        <v>Elevernes vinterferie</v>
      </c>
      <c r="DJ18" t="str">
        <f t="shared" si="29"/>
        <v/>
      </c>
      <c r="DK18" t="str">
        <f t="shared" si="12"/>
        <v/>
      </c>
      <c r="DL18" t="str">
        <f t="shared" si="12"/>
        <v>Elevernes vinterferie</v>
      </c>
      <c r="DM18" t="str">
        <f t="shared" si="12"/>
        <v/>
      </c>
      <c r="DN18" t="str">
        <f t="shared" si="30"/>
        <v>Elevernes vinterferie</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3"/>
        <v>0</v>
      </c>
      <c r="FT18" s="649">
        <f t="shared" si="14"/>
        <v>0</v>
      </c>
      <c r="FU18">
        <f t="shared" si="15"/>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6"/>
        <v>11</v>
      </c>
      <c r="B19" s="127" t="str">
        <f t="shared" si="0"/>
        <v>ti</v>
      </c>
      <c r="C19" s="128" t="s">
        <v>128</v>
      </c>
      <c r="D19" s="129" t="str">
        <f t="shared" si="1"/>
        <v/>
      </c>
      <c r="E19" s="932" t="s">
        <v>131</v>
      </c>
      <c r="F19" s="933"/>
      <c r="G19" s="934"/>
      <c r="H19" s="294"/>
      <c r="I19" s="519"/>
      <c r="J19" s="407"/>
      <c r="K19" s="374"/>
      <c r="L19" s="374"/>
      <c r="M19" s="374"/>
      <c r="N19" s="313">
        <f t="shared" si="17"/>
        <v>0</v>
      </c>
      <c r="O19" s="313">
        <f t="shared" si="18"/>
        <v>0</v>
      </c>
      <c r="P19" s="313">
        <f>IF(Stamoplysninger!$H$29="JA",Februar!DG19,CX19)</f>
        <v>0</v>
      </c>
      <c r="Q19" s="313">
        <f t="shared" si="19"/>
        <v>0</v>
      </c>
      <c r="R19" s="314"/>
      <c r="S19" s="319"/>
      <c r="T19" s="320"/>
      <c r="U19" s="320"/>
      <c r="V19" s="429"/>
      <c r="W19" s="429"/>
      <c r="X19" s="635"/>
      <c r="Y19">
        <f t="shared" si="20"/>
        <v>0</v>
      </c>
      <c r="Z19" s="431">
        <f t="shared" si="21"/>
        <v>0</v>
      </c>
      <c r="AA19" s="1">
        <f t="shared" si="22"/>
        <v>0</v>
      </c>
      <c r="AB19" s="1">
        <f t="shared" si="2"/>
        <v>0</v>
      </c>
      <c r="AC19" s="1">
        <f t="shared" si="3"/>
        <v>0</v>
      </c>
      <c r="AD19" s="1">
        <f t="shared" si="4"/>
        <v>0</v>
      </c>
      <c r="AE19" s="1">
        <f t="shared" si="5"/>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6"/>
        <v>0</v>
      </c>
      <c r="BC19" s="1">
        <f t="shared" si="24"/>
        <v>0</v>
      </c>
      <c r="BD19" s="1">
        <f t="shared" si="7"/>
        <v>0</v>
      </c>
      <c r="BE19" s="1">
        <f t="shared" si="8"/>
        <v>0</v>
      </c>
      <c r="BF19" s="1">
        <f t="shared" si="9"/>
        <v>0</v>
      </c>
      <c r="BG19" s="209" t="str">
        <f>IF(AND(C19="Skema 1",B19="ma"),Skemaoplysninger!$E$30,"")</f>
        <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0"/>
        <v>0</v>
      </c>
      <c r="CC19" s="1">
        <f t="shared" si="11"/>
        <v>0</v>
      </c>
      <c r="CD19" s="209" t="str">
        <f>IF(AND(C19="Skema 1",B19="ma"),Skemaoplysninger!$E$31,"")</f>
        <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t="str">
        <f t="shared" si="28"/>
        <v>Elevernes vinterferie</v>
      </c>
      <c r="DJ19" t="str">
        <f t="shared" si="29"/>
        <v/>
      </c>
      <c r="DK19" t="str">
        <f t="shared" si="12"/>
        <v/>
      </c>
      <c r="DL19" t="str">
        <f t="shared" si="12"/>
        <v>Elevernes vinterferie</v>
      </c>
      <c r="DM19" t="str">
        <f t="shared" si="12"/>
        <v/>
      </c>
      <c r="DN19" t="str">
        <f t="shared" si="30"/>
        <v>Elevernes vinterferie</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3"/>
        <v>0</v>
      </c>
      <c r="FT19" s="649">
        <f t="shared" si="14"/>
        <v>0</v>
      </c>
      <c r="FU19">
        <f t="shared" si="15"/>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on</v>
      </c>
      <c r="C20" s="128" t="s">
        <v>128</v>
      </c>
      <c r="D20" s="129" t="str">
        <f t="shared" si="1"/>
        <v/>
      </c>
      <c r="E20" s="932" t="s">
        <v>131</v>
      </c>
      <c r="F20" s="933"/>
      <c r="G20" s="934"/>
      <c r="H20" s="294"/>
      <c r="I20" s="519"/>
      <c r="J20" s="407"/>
      <c r="K20" s="374"/>
      <c r="L20" s="374"/>
      <c r="M20" s="374"/>
      <c r="N20" s="313">
        <f t="shared" si="17"/>
        <v>0</v>
      </c>
      <c r="O20" s="313">
        <f t="shared" si="18"/>
        <v>0</v>
      </c>
      <c r="P20" s="313">
        <f>IF(Stamoplysninger!$H$29="JA",Februar!DG20,CX20)</f>
        <v>0</v>
      </c>
      <c r="Q20" s="313">
        <f t="shared" si="19"/>
        <v>0</v>
      </c>
      <c r="R20" s="314"/>
      <c r="S20" s="319"/>
      <c r="T20" s="320"/>
      <c r="U20" s="320"/>
      <c r="V20" s="429"/>
      <c r="W20" s="429"/>
      <c r="X20" s="635"/>
      <c r="Y20">
        <f t="shared" si="20"/>
        <v>0</v>
      </c>
      <c r="Z20" s="431">
        <f t="shared" si="21"/>
        <v>0</v>
      </c>
      <c r="AA20" s="1">
        <f t="shared" si="22"/>
        <v>0</v>
      </c>
      <c r="AB20" s="1">
        <f t="shared" si="2"/>
        <v>0</v>
      </c>
      <c r="AC20" s="1">
        <f t="shared" si="3"/>
        <v>0</v>
      </c>
      <c r="AD20" s="1">
        <f t="shared" si="4"/>
        <v>0</v>
      </c>
      <c r="AE20" s="1">
        <f t="shared" si="5"/>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6"/>
        <v>0</v>
      </c>
      <c r="BC20" s="1">
        <f t="shared" si="24"/>
        <v>0</v>
      </c>
      <c r="BD20" s="1">
        <f t="shared" si="7"/>
        <v>0</v>
      </c>
      <c r="BE20" s="1">
        <f t="shared" si="8"/>
        <v>0</v>
      </c>
      <c r="BF20" s="1">
        <f t="shared" si="9"/>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0"/>
        <v>0</v>
      </c>
      <c r="CC20" s="1">
        <f t="shared" si="11"/>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t="str">
        <f t="shared" si="28"/>
        <v>Elevernes vinterferie</v>
      </c>
      <c r="DJ20" t="str">
        <f t="shared" si="29"/>
        <v/>
      </c>
      <c r="DK20" t="str">
        <f t="shared" si="12"/>
        <v/>
      </c>
      <c r="DL20" t="str">
        <f t="shared" si="12"/>
        <v>Elevernes vinterferie</v>
      </c>
      <c r="DM20" t="str">
        <f t="shared" si="12"/>
        <v/>
      </c>
      <c r="DN20" t="str">
        <f t="shared" si="30"/>
        <v>Elevernes vinterferie</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3"/>
        <v>0</v>
      </c>
      <c r="FT20" s="649">
        <f t="shared" si="14"/>
        <v>0</v>
      </c>
      <c r="FU20">
        <f t="shared" si="15"/>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to</v>
      </c>
      <c r="C21" s="128" t="s">
        <v>128</v>
      </c>
      <c r="D21" s="129" t="str">
        <f t="shared" si="1"/>
        <v/>
      </c>
      <c r="E21" s="964" t="s">
        <v>131</v>
      </c>
      <c r="F21" s="965"/>
      <c r="G21" s="966"/>
      <c r="H21" s="293"/>
      <c r="I21" s="519"/>
      <c r="J21" s="407"/>
      <c r="K21" s="374"/>
      <c r="L21" s="374"/>
      <c r="M21" s="374"/>
      <c r="N21" s="313">
        <f t="shared" si="17"/>
        <v>0</v>
      </c>
      <c r="O21" s="313">
        <f t="shared" si="18"/>
        <v>0</v>
      </c>
      <c r="P21" s="313">
        <f>IF(Stamoplysninger!$H$29="JA",Februar!DG21,CX21)</f>
        <v>0</v>
      </c>
      <c r="Q21" s="313">
        <f t="shared" si="19"/>
        <v>0</v>
      </c>
      <c r="R21" s="314"/>
      <c r="S21" s="319"/>
      <c r="T21" s="320"/>
      <c r="U21" s="320"/>
      <c r="V21" s="429"/>
      <c r="W21" s="429"/>
      <c r="X21" s="635"/>
      <c r="Y21">
        <f t="shared" si="20"/>
        <v>0</v>
      </c>
      <c r="Z21" s="431">
        <f t="shared" si="21"/>
        <v>0</v>
      </c>
      <c r="AA21" s="1">
        <f t="shared" si="22"/>
        <v>0</v>
      </c>
      <c r="AB21" s="1">
        <f t="shared" si="2"/>
        <v>0</v>
      </c>
      <c r="AC21" s="1">
        <f t="shared" si="3"/>
        <v>0</v>
      </c>
      <c r="AD21" s="1">
        <f t="shared" si="4"/>
        <v>0</v>
      </c>
      <c r="AE21" s="1">
        <f t="shared" si="5"/>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6"/>
        <v>0</v>
      </c>
      <c r="BC21" s="1">
        <f t="shared" si="24"/>
        <v>0</v>
      </c>
      <c r="BD21" s="1">
        <f t="shared" si="7"/>
        <v>0</v>
      </c>
      <c r="BE21" s="1">
        <f t="shared" si="8"/>
        <v>0</v>
      </c>
      <c r="BF21" s="1">
        <f t="shared" si="9"/>
        <v>0</v>
      </c>
      <c r="BG21" s="209" t="str">
        <f>IF(AND(C21="Skema 1",B21="ma"),Skemaoplysninger!$E$30,"")</f>
        <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0"/>
        <v>0</v>
      </c>
      <c r="CC21" s="1">
        <f t="shared" si="11"/>
        <v>0</v>
      </c>
      <c r="CD21" s="209" t="str">
        <f>IF(AND(C21="Skema 1",B21="ma"),Skemaoplysninger!$E$31,"")</f>
        <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t="str">
        <f t="shared" si="28"/>
        <v>Elevernes vinterferie</v>
      </c>
      <c r="DJ21" t="str">
        <f t="shared" si="29"/>
        <v/>
      </c>
      <c r="DK21" t="str">
        <f t="shared" si="12"/>
        <v/>
      </c>
      <c r="DL21" t="str">
        <f t="shared" si="12"/>
        <v>Elevernes vinterferie</v>
      </c>
      <c r="DM21" t="str">
        <f t="shared" si="12"/>
        <v/>
      </c>
      <c r="DN21" t="str">
        <f t="shared" si="30"/>
        <v>Elevernes vinterferie</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3"/>
        <v>0</v>
      </c>
      <c r="FT21" s="649">
        <f t="shared" si="14"/>
        <v>0</v>
      </c>
      <c r="FU21">
        <f t="shared" si="15"/>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6"/>
        <v>14</v>
      </c>
      <c r="B22" s="127" t="str">
        <f t="shared" si="0"/>
        <v>fr</v>
      </c>
      <c r="C22" s="128" t="s">
        <v>128</v>
      </c>
      <c r="D22" s="129" t="str">
        <f t="shared" si="1"/>
        <v/>
      </c>
      <c r="E22" s="964" t="s">
        <v>131</v>
      </c>
      <c r="F22" s="965"/>
      <c r="G22" s="966"/>
      <c r="H22" s="293"/>
      <c r="I22" s="519"/>
      <c r="J22" s="407"/>
      <c r="K22" s="374"/>
      <c r="L22" s="374"/>
      <c r="M22" s="374"/>
      <c r="N22" s="313">
        <f t="shared" si="17"/>
        <v>0</v>
      </c>
      <c r="O22" s="313">
        <f t="shared" si="18"/>
        <v>0</v>
      </c>
      <c r="P22" s="313">
        <f>IF(Stamoplysninger!$H$29="JA",Februar!DG22,CX22)</f>
        <v>0</v>
      </c>
      <c r="Q22" s="313">
        <f t="shared" si="19"/>
        <v>0</v>
      </c>
      <c r="R22" s="314"/>
      <c r="S22" s="319"/>
      <c r="T22" s="320"/>
      <c r="U22" s="320"/>
      <c r="V22" s="429"/>
      <c r="W22" s="429"/>
      <c r="X22" s="635"/>
      <c r="Y22">
        <f t="shared" si="20"/>
        <v>0</v>
      </c>
      <c r="Z22" s="431">
        <f t="shared" si="21"/>
        <v>0</v>
      </c>
      <c r="AA22" s="1">
        <f t="shared" si="22"/>
        <v>0</v>
      </c>
      <c r="AB22" s="1">
        <f t="shared" si="2"/>
        <v>0</v>
      </c>
      <c r="AC22" s="1">
        <f t="shared" si="3"/>
        <v>0</v>
      </c>
      <c r="AD22" s="1">
        <f t="shared" si="4"/>
        <v>0</v>
      </c>
      <c r="AE22" s="1">
        <f t="shared" si="5"/>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6"/>
        <v>0</v>
      </c>
      <c r="BC22" s="1">
        <f t="shared" si="24"/>
        <v>0</v>
      </c>
      <c r="BD22" s="1">
        <f t="shared" si="7"/>
        <v>0</v>
      </c>
      <c r="BE22" s="1">
        <f t="shared" si="8"/>
        <v>0</v>
      </c>
      <c r="BF22" s="1">
        <f t="shared" si="9"/>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0"/>
        <v>0</v>
      </c>
      <c r="CC22" s="1">
        <f t="shared" si="11"/>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t="str">
        <f t="shared" si="28"/>
        <v>Elevernes vinterferie</v>
      </c>
      <c r="DJ22" t="str">
        <f t="shared" si="29"/>
        <v/>
      </c>
      <c r="DK22" t="str">
        <f t="shared" si="12"/>
        <v/>
      </c>
      <c r="DL22" t="str">
        <f t="shared" si="12"/>
        <v>Elevernes vinterferie</v>
      </c>
      <c r="DM22" t="str">
        <f t="shared" si="12"/>
        <v/>
      </c>
      <c r="DN22" t="str">
        <f t="shared" si="30"/>
        <v>Elevernes vinterferie</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3"/>
        <v>0</v>
      </c>
      <c r="FT22" s="649">
        <f t="shared" si="14"/>
        <v>0</v>
      </c>
      <c r="FU22">
        <f t="shared" si="15"/>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6"/>
        <v>15</v>
      </c>
      <c r="B23" s="127" t="str">
        <f t="shared" si="0"/>
        <v>lø</v>
      </c>
      <c r="C23" s="128" t="s">
        <v>120</v>
      </c>
      <c r="D23" s="129" t="str">
        <f t="shared" si="1"/>
        <v/>
      </c>
      <c r="E23" s="964"/>
      <c r="F23" s="965"/>
      <c r="G23" s="966"/>
      <c r="H23" s="293"/>
      <c r="I23" s="407"/>
      <c r="J23" s="407"/>
      <c r="K23" s="374"/>
      <c r="L23" s="374"/>
      <c r="M23" s="374"/>
      <c r="N23" s="313">
        <f t="shared" si="17"/>
        <v>0</v>
      </c>
      <c r="O23" s="313">
        <f t="shared" si="18"/>
        <v>0</v>
      </c>
      <c r="P23" s="313">
        <f>IF(Stamoplysninger!$H$29="JA",Februar!DG23,CX23)</f>
        <v>0</v>
      </c>
      <c r="Q23" s="313">
        <f t="shared" si="19"/>
        <v>0</v>
      </c>
      <c r="R23" s="314"/>
      <c r="S23" s="319"/>
      <c r="T23" s="320"/>
      <c r="U23" s="320"/>
      <c r="V23" s="429"/>
      <c r="W23" s="429"/>
      <c r="X23" s="635"/>
      <c r="Y23">
        <f t="shared" si="20"/>
        <v>0</v>
      </c>
      <c r="Z23" s="431">
        <f t="shared" si="21"/>
        <v>0</v>
      </c>
      <c r="AA23" s="1">
        <f t="shared" si="22"/>
        <v>0</v>
      </c>
      <c r="AB23" s="1">
        <f t="shared" si="2"/>
        <v>0</v>
      </c>
      <c r="AC23" s="1">
        <f t="shared" si="3"/>
        <v>0</v>
      </c>
      <c r="AD23" s="1">
        <f t="shared" si="4"/>
        <v>0</v>
      </c>
      <c r="AE23" s="1">
        <f t="shared" si="5"/>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6"/>
        <v>0</v>
      </c>
      <c r="BC23" s="1">
        <f t="shared" si="24"/>
        <v>0</v>
      </c>
      <c r="BD23" s="1">
        <f t="shared" si="7"/>
        <v>0</v>
      </c>
      <c r="BE23" s="1">
        <f t="shared" si="8"/>
        <v>0</v>
      </c>
      <c r="BF23" s="1">
        <f t="shared" si="9"/>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0"/>
        <v>0</v>
      </c>
      <c r="CC23" s="1">
        <f t="shared" si="11"/>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2"/>
        <v/>
      </c>
      <c r="DL23" t="str">
        <f t="shared" si="12"/>
        <v/>
      </c>
      <c r="DM23" t="str">
        <f t="shared" si="12"/>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3"/>
        <v>0</v>
      </c>
      <c r="FT23" s="649">
        <f t="shared" si="14"/>
        <v>0</v>
      </c>
      <c r="FU23">
        <f t="shared" si="15"/>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sø</v>
      </c>
      <c r="C24" s="128" t="s">
        <v>120</v>
      </c>
      <c r="D24" s="129" t="str">
        <f t="shared" si="1"/>
        <v/>
      </c>
      <c r="E24" s="932"/>
      <c r="F24" s="933"/>
      <c r="G24" s="934"/>
      <c r="H24" s="294"/>
      <c r="I24" s="407"/>
      <c r="J24" s="407"/>
      <c r="K24" s="374"/>
      <c r="L24" s="374"/>
      <c r="M24" s="374"/>
      <c r="N24" s="313">
        <f t="shared" si="17"/>
        <v>0</v>
      </c>
      <c r="O24" s="313">
        <f t="shared" si="18"/>
        <v>0</v>
      </c>
      <c r="P24" s="313">
        <f>IF(Stamoplysninger!$H$29="JA",Februar!DG24,CX24)</f>
        <v>0</v>
      </c>
      <c r="Q24" s="313">
        <f t="shared" si="19"/>
        <v>0</v>
      </c>
      <c r="R24" s="314"/>
      <c r="S24" s="319"/>
      <c r="T24" s="320"/>
      <c r="U24" s="320"/>
      <c r="V24" s="429"/>
      <c r="W24" s="429"/>
      <c r="X24" s="635"/>
      <c r="Y24">
        <f t="shared" si="20"/>
        <v>0</v>
      </c>
      <c r="Z24" s="431">
        <f t="shared" si="21"/>
        <v>0</v>
      </c>
      <c r="AA24" s="1">
        <f t="shared" si="22"/>
        <v>0</v>
      </c>
      <c r="AB24" s="1">
        <f t="shared" si="2"/>
        <v>0</v>
      </c>
      <c r="AC24" s="1">
        <f t="shared" si="3"/>
        <v>0</v>
      </c>
      <c r="AD24" s="1">
        <f t="shared" si="4"/>
        <v>0</v>
      </c>
      <c r="AE24" s="1">
        <f t="shared" si="5"/>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6"/>
        <v>0</v>
      </c>
      <c r="BC24" s="1">
        <f t="shared" si="24"/>
        <v>0</v>
      </c>
      <c r="BD24" s="1">
        <f t="shared" si="7"/>
        <v>0</v>
      </c>
      <c r="BE24" s="1">
        <f t="shared" si="8"/>
        <v>0</v>
      </c>
      <c r="BF24" s="1">
        <f t="shared" si="9"/>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0"/>
        <v>0</v>
      </c>
      <c r="CC24" s="1">
        <f t="shared" si="11"/>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2"/>
        <v/>
      </c>
      <c r="DL24" t="str">
        <f t="shared" si="12"/>
        <v/>
      </c>
      <c r="DM24" t="str">
        <f t="shared" si="12"/>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3"/>
        <v>0</v>
      </c>
      <c r="FT24" s="649">
        <f t="shared" si="14"/>
        <v>0</v>
      </c>
      <c r="FU24">
        <f t="shared" si="15"/>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6"/>
        <v>17</v>
      </c>
      <c r="B25" s="127" t="str">
        <f t="shared" si="0"/>
        <v>ma</v>
      </c>
      <c r="C25" s="128" t="s">
        <v>206</v>
      </c>
      <c r="D25" s="129">
        <f t="shared" si="1"/>
        <v>7.7142857142857144</v>
      </c>
      <c r="E25" s="932"/>
      <c r="F25" s="933"/>
      <c r="G25" s="934"/>
      <c r="H25" s="294"/>
      <c r="I25" s="519"/>
      <c r="J25" s="407"/>
      <c r="K25" s="374"/>
      <c r="L25" s="374"/>
      <c r="M25" s="374"/>
      <c r="N25" s="313">
        <f t="shared" si="17"/>
        <v>0</v>
      </c>
      <c r="O25" s="313">
        <f t="shared" si="18"/>
        <v>0</v>
      </c>
      <c r="P25" s="313">
        <f>IF(Stamoplysninger!$H$29="JA",Februar!DG25,CX25)</f>
        <v>0</v>
      </c>
      <c r="Q25" s="313">
        <f t="shared" si="19"/>
        <v>0</v>
      </c>
      <c r="R25" s="314"/>
      <c r="S25" s="319"/>
      <c r="T25" s="320"/>
      <c r="U25" s="320"/>
      <c r="V25" s="429"/>
      <c r="W25" s="429"/>
      <c r="X25" s="635"/>
      <c r="Y25">
        <f t="shared" si="20"/>
        <v>0</v>
      </c>
      <c r="Z25" s="431">
        <f t="shared" si="21"/>
        <v>0</v>
      </c>
      <c r="AA25" s="1">
        <f t="shared" si="22"/>
        <v>0</v>
      </c>
      <c r="AB25" s="1">
        <f t="shared" si="2"/>
        <v>0</v>
      </c>
      <c r="AC25" s="1">
        <f t="shared" si="3"/>
        <v>0</v>
      </c>
      <c r="AD25" s="1">
        <f t="shared" si="4"/>
        <v>0</v>
      </c>
      <c r="AE25" s="1">
        <f t="shared" si="5"/>
        <v>0</v>
      </c>
      <c r="AF25" s="1">
        <f>IF(C25="Orlov",7.4*Stamoplysninger!$E$15,0)</f>
        <v>0</v>
      </c>
      <c r="AG25">
        <f>IF(AND(C25="Skema 1",B25="ma"),Arbejdstidsoversigt!$E$72,"")</f>
        <v>0</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6"/>
        <v>0</v>
      </c>
      <c r="BC25" s="1">
        <f t="shared" si="24"/>
        <v>0</v>
      </c>
      <c r="BD25" s="1">
        <f t="shared" si="7"/>
        <v>0</v>
      </c>
      <c r="BE25" s="1">
        <f t="shared" si="8"/>
        <v>0</v>
      </c>
      <c r="BF25" s="1">
        <f t="shared" si="9"/>
        <v>0</v>
      </c>
      <c r="BG25" s="209">
        <f>IF(AND(C25="Skema 1",B25="ma"),Skemaoplysninger!$E$30,"")</f>
        <v>0</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0"/>
        <v>0</v>
      </c>
      <c r="CC25" s="1">
        <f t="shared" si="11"/>
        <v>0</v>
      </c>
      <c r="CD25" s="209">
        <f>IF(AND(C25="Skema 1",B25="ma"),Skemaoplysninger!$E$31,"")</f>
        <v>0</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2"/>
        <v/>
      </c>
      <c r="DL25" t="str">
        <f t="shared" si="12"/>
        <v/>
      </c>
      <c r="DM25" t="str">
        <f t="shared" si="12"/>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3"/>
        <v>0</v>
      </c>
      <c r="FT25" s="649">
        <f t="shared" si="14"/>
        <v>0</v>
      </c>
      <c r="FU25">
        <f t="shared" si="15"/>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6"/>
        <v>18</v>
      </c>
      <c r="B26" s="127" t="str">
        <f t="shared" si="0"/>
        <v>ti</v>
      </c>
      <c r="C26" s="128" t="s">
        <v>206</v>
      </c>
      <c r="D26" s="129" t="str">
        <f t="shared" si="1"/>
        <v/>
      </c>
      <c r="E26" s="932"/>
      <c r="F26" s="933"/>
      <c r="G26" s="934"/>
      <c r="H26" s="294"/>
      <c r="I26" s="519"/>
      <c r="J26" s="407"/>
      <c r="K26" s="374"/>
      <c r="L26" s="374"/>
      <c r="M26" s="374"/>
      <c r="N26" s="313">
        <f t="shared" si="17"/>
        <v>0</v>
      </c>
      <c r="O26" s="313">
        <f t="shared" si="18"/>
        <v>0</v>
      </c>
      <c r="P26" s="313">
        <f>IF(Stamoplysninger!$H$29="JA",Februar!DG26,CX26)</f>
        <v>0</v>
      </c>
      <c r="Q26" s="313">
        <f t="shared" si="19"/>
        <v>0</v>
      </c>
      <c r="R26" s="314"/>
      <c r="S26" s="319"/>
      <c r="T26" s="320"/>
      <c r="U26" s="320"/>
      <c r="V26" s="429"/>
      <c r="W26" s="429"/>
      <c r="X26" s="635"/>
      <c r="Y26">
        <f t="shared" si="20"/>
        <v>0</v>
      </c>
      <c r="Z26" s="431">
        <f t="shared" si="21"/>
        <v>0</v>
      </c>
      <c r="AA26" s="1">
        <f t="shared" si="22"/>
        <v>0</v>
      </c>
      <c r="AB26" s="1">
        <f t="shared" si="2"/>
        <v>0</v>
      </c>
      <c r="AC26" s="1">
        <f t="shared" si="3"/>
        <v>0</v>
      </c>
      <c r="AD26" s="1">
        <f t="shared" si="4"/>
        <v>0</v>
      </c>
      <c r="AE26" s="1">
        <f t="shared" si="5"/>
        <v>0</v>
      </c>
      <c r="AF26" s="1">
        <f>IF(C26="Orlov",7.4*Stamoplysninger!$E$15,0)</f>
        <v>0</v>
      </c>
      <c r="AG26" t="str">
        <f>IF(AND(C26="Skema 1",B26="ma"),Arbejdstidsoversigt!$E$72,"")</f>
        <v/>
      </c>
      <c r="AH26">
        <f>IF(AND(C26="Skema 1",B26="ti"),Arbejdstidsoversigt!$E$73,"")</f>
        <v>0</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6"/>
        <v>0</v>
      </c>
      <c r="BC26" s="1">
        <f t="shared" si="24"/>
        <v>0</v>
      </c>
      <c r="BD26" s="1">
        <f t="shared" si="7"/>
        <v>0</v>
      </c>
      <c r="BE26" s="1">
        <f t="shared" si="8"/>
        <v>0</v>
      </c>
      <c r="BF26" s="1">
        <f t="shared" si="9"/>
        <v>0</v>
      </c>
      <c r="BG26" s="209" t="str">
        <f>IF(AND(C26="Skema 1",B26="ma"),Skemaoplysninger!$E$30,"")</f>
        <v/>
      </c>
      <c r="BH26" s="209">
        <f>IF(AND(C26="Skema 1",B26="ti"),Skemaoplysninger!$G$30,"")</f>
        <v>0</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0"/>
        <v>0</v>
      </c>
      <c r="CC26" s="1">
        <f t="shared" si="11"/>
        <v>0</v>
      </c>
      <c r="CD26" s="209" t="str">
        <f>IF(AND(C26="Skema 1",B26="ma"),Skemaoplysninger!$E$31,"")</f>
        <v/>
      </c>
      <c r="CE26" s="209">
        <f>IF(AND(C26="Skema 1",B26="ti"),Skemaoplysninger!$G$31,"")</f>
        <v>0</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2"/>
        <v/>
      </c>
      <c r="DL26" t="str">
        <f t="shared" si="12"/>
        <v/>
      </c>
      <c r="DM26" t="str">
        <f t="shared" si="12"/>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3"/>
        <v>0</v>
      </c>
      <c r="FT26" s="649">
        <f t="shared" si="14"/>
        <v>0</v>
      </c>
      <c r="FU26">
        <f t="shared" si="15"/>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6"/>
        <v>19</v>
      </c>
      <c r="B27" s="127" t="str">
        <f t="shared" si="0"/>
        <v>on</v>
      </c>
      <c r="C27" s="128" t="s">
        <v>206</v>
      </c>
      <c r="D27" s="129" t="str">
        <f t="shared" si="1"/>
        <v/>
      </c>
      <c r="E27" s="932"/>
      <c r="F27" s="933"/>
      <c r="G27" s="934"/>
      <c r="H27" s="294"/>
      <c r="I27" s="519"/>
      <c r="J27" s="407"/>
      <c r="K27" s="374"/>
      <c r="L27" s="374"/>
      <c r="M27" s="374"/>
      <c r="N27" s="313">
        <f t="shared" si="17"/>
        <v>0</v>
      </c>
      <c r="O27" s="313">
        <f t="shared" si="18"/>
        <v>0</v>
      </c>
      <c r="P27" s="313">
        <f>IF(Stamoplysninger!$H$29="JA",Februar!DG27,CX27)</f>
        <v>0</v>
      </c>
      <c r="Q27" s="313">
        <f t="shared" si="19"/>
        <v>0</v>
      </c>
      <c r="R27" s="314"/>
      <c r="S27" s="319"/>
      <c r="T27" s="320"/>
      <c r="U27" s="320"/>
      <c r="V27" s="429"/>
      <c r="W27" s="429"/>
      <c r="X27" s="635"/>
      <c r="Y27">
        <f t="shared" si="20"/>
        <v>0</v>
      </c>
      <c r="Z27" s="431">
        <f t="shared" si="21"/>
        <v>0</v>
      </c>
      <c r="AA27" s="1">
        <f t="shared" si="22"/>
        <v>0</v>
      </c>
      <c r="AB27" s="1">
        <f t="shared" si="2"/>
        <v>0</v>
      </c>
      <c r="AC27" s="1">
        <f t="shared" si="3"/>
        <v>0</v>
      </c>
      <c r="AD27" s="1">
        <f t="shared" si="4"/>
        <v>0</v>
      </c>
      <c r="AE27" s="1">
        <f t="shared" si="5"/>
        <v>0</v>
      </c>
      <c r="AF27" s="1">
        <f>IF(C27="Orlov",7.4*Stamoplysninger!$E$15,0)</f>
        <v>0</v>
      </c>
      <c r="AG27" t="str">
        <f>IF(AND(C27="Skema 1",B27="ma"),Arbejdstidsoversigt!$E$72,"")</f>
        <v/>
      </c>
      <c r="AH27" t="str">
        <f>IF(AND(C27="Skema 1",B27="ti"),Arbejdstidsoversigt!$E$73,"")</f>
        <v/>
      </c>
      <c r="AI27">
        <f>IF(AND(C27="Skema 1",B27="on"),Arbejdstidsoversigt!$E$74,"")</f>
        <v>0</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6"/>
        <v>0</v>
      </c>
      <c r="BC27" s="1">
        <f t="shared" si="24"/>
        <v>0</v>
      </c>
      <c r="BD27" s="1">
        <f t="shared" si="7"/>
        <v>0</v>
      </c>
      <c r="BE27" s="1">
        <f t="shared" si="8"/>
        <v>0</v>
      </c>
      <c r="BF27" s="1">
        <f t="shared" si="9"/>
        <v>0</v>
      </c>
      <c r="BG27" s="209" t="str">
        <f>IF(AND(C27="Skema 1",B27="ma"),Skemaoplysninger!$E$30,"")</f>
        <v/>
      </c>
      <c r="BH27" s="209" t="str">
        <f>IF(AND(C27="Skema 1",B27="ti"),Skemaoplysninger!$G$30,"")</f>
        <v/>
      </c>
      <c r="BI27" s="209">
        <f>IF(AND(C27="Skema 1",B27="on"),Skemaoplysninger!$I$30,"")</f>
        <v>0</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0"/>
        <v>0</v>
      </c>
      <c r="CC27" s="1">
        <f t="shared" si="11"/>
        <v>0</v>
      </c>
      <c r="CD27" s="209" t="str">
        <f>IF(AND(C27="Skema 1",B27="ma"),Skemaoplysninger!$E$31,"")</f>
        <v/>
      </c>
      <c r="CE27" s="209" t="str">
        <f>IF(AND(C27="Skema 1",B27="ti"),Skemaoplysninger!$G$31,"")</f>
        <v/>
      </c>
      <c r="CF27" s="209">
        <f>IF(AND(C27="Skema 1",B27="on"),Skemaoplysninger!$I$31,"")</f>
        <v>0</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2"/>
        <v/>
      </c>
      <c r="DL27" t="str">
        <f t="shared" si="12"/>
        <v/>
      </c>
      <c r="DM27" t="str">
        <f t="shared" si="12"/>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3"/>
        <v>0</v>
      </c>
      <c r="FT27" s="649">
        <f t="shared" si="14"/>
        <v>0</v>
      </c>
      <c r="FU27">
        <f t="shared" si="15"/>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6"/>
        <v>20</v>
      </c>
      <c r="B28" s="127" t="str">
        <f t="shared" si="0"/>
        <v>to</v>
      </c>
      <c r="C28" s="128" t="s">
        <v>206</v>
      </c>
      <c r="D28" s="129" t="str">
        <f t="shared" si="1"/>
        <v/>
      </c>
      <c r="E28" s="932"/>
      <c r="F28" s="933"/>
      <c r="G28" s="934"/>
      <c r="H28" s="294"/>
      <c r="I28" s="519"/>
      <c r="J28" s="407"/>
      <c r="K28" s="374"/>
      <c r="L28" s="374"/>
      <c r="M28" s="374"/>
      <c r="N28" s="313">
        <f t="shared" si="17"/>
        <v>0</v>
      </c>
      <c r="O28" s="313">
        <f t="shared" si="18"/>
        <v>0</v>
      </c>
      <c r="P28" s="313">
        <f>IF(Stamoplysninger!$H$29="JA",Februar!DG28,CX28)</f>
        <v>0</v>
      </c>
      <c r="Q28" s="313">
        <f t="shared" si="19"/>
        <v>0</v>
      </c>
      <c r="R28" s="314"/>
      <c r="S28" s="319"/>
      <c r="T28" s="320"/>
      <c r="U28" s="320"/>
      <c r="V28" s="429"/>
      <c r="W28" s="429"/>
      <c r="X28" s="635"/>
      <c r="Y28">
        <f t="shared" si="20"/>
        <v>0</v>
      </c>
      <c r="Z28" s="431">
        <f t="shared" si="21"/>
        <v>0</v>
      </c>
      <c r="AA28" s="1">
        <f t="shared" si="22"/>
        <v>0</v>
      </c>
      <c r="AB28" s="1">
        <f t="shared" si="2"/>
        <v>0</v>
      </c>
      <c r="AC28" s="1">
        <f t="shared" si="3"/>
        <v>0</v>
      </c>
      <c r="AD28" s="1">
        <f t="shared" si="4"/>
        <v>0</v>
      </c>
      <c r="AE28" s="1">
        <f t="shared" si="5"/>
        <v>0</v>
      </c>
      <c r="AF28" s="1">
        <f>IF(C28="Orlov",7.4*Stamoplysninger!$E$15,0)</f>
        <v>0</v>
      </c>
      <c r="AG28" t="str">
        <f>IF(AND(C28="Skema 1",B28="ma"),Arbejdstidsoversigt!$E$72,"")</f>
        <v/>
      </c>
      <c r="AH28" t="str">
        <f>IF(AND(C28="Skema 1",B28="ti"),Arbejdstidsoversigt!$E$73,"")</f>
        <v/>
      </c>
      <c r="AI28" t="str">
        <f>IF(AND(C28="Skema 1",B28="on"),Arbejdstidsoversigt!$E$74,"")</f>
        <v/>
      </c>
      <c r="AJ28">
        <f>IF(AND(C28="Skema 1",B28="to"),Arbejdstidsoversigt!$E$75,"")</f>
        <v>0</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6"/>
        <v>0</v>
      </c>
      <c r="BC28" s="1">
        <f t="shared" si="24"/>
        <v>0</v>
      </c>
      <c r="BD28" s="1">
        <f t="shared" si="7"/>
        <v>0</v>
      </c>
      <c r="BE28" s="1">
        <f t="shared" si="8"/>
        <v>0</v>
      </c>
      <c r="BF28" s="1">
        <f t="shared" si="9"/>
        <v>0</v>
      </c>
      <c r="BG28" s="209" t="str">
        <f>IF(AND(C28="Skema 1",B28="ma"),Skemaoplysninger!$E$30,"")</f>
        <v/>
      </c>
      <c r="BH28" s="209" t="str">
        <f>IF(AND(C28="Skema 1",B28="ti"),Skemaoplysninger!$G$30,"")</f>
        <v/>
      </c>
      <c r="BI28" s="209" t="str">
        <f>IF(AND(C28="Skema 1",B28="on"),Skemaoplysninger!$I$30,"")</f>
        <v/>
      </c>
      <c r="BJ28" s="209">
        <f>IF(AND(C28="Skema 1",B28="to"),Skemaoplysninger!$K$30,"")</f>
        <v>0</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0"/>
        <v>0</v>
      </c>
      <c r="CC28" s="1">
        <f t="shared" si="11"/>
        <v>0</v>
      </c>
      <c r="CD28" s="209" t="str">
        <f>IF(AND(C28="Skema 1",B28="ma"),Skemaoplysninger!$E$31,"")</f>
        <v/>
      </c>
      <c r="CE28" s="209" t="str">
        <f>IF(AND(C28="Skema 1",B28="ti"),Skemaoplysninger!$G$31,"")</f>
        <v/>
      </c>
      <c r="CF28" s="209" t="str">
        <f>IF(AND(C28="Skema 1",B28="on"),Skemaoplysninger!$I$31,"")</f>
        <v/>
      </c>
      <c r="CG28" s="209">
        <f>IF(AND(C28="Skema 1",B28="to"),Skemaoplysninger!$K$31,"")</f>
        <v>0</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2"/>
        <v/>
      </c>
      <c r="DL28" t="str">
        <f t="shared" si="12"/>
        <v/>
      </c>
      <c r="DM28" t="str">
        <f t="shared" si="12"/>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3"/>
        <v>0</v>
      </c>
      <c r="FT28" s="649">
        <f t="shared" si="14"/>
        <v>0</v>
      </c>
      <c r="FU28">
        <f t="shared" si="15"/>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6"/>
        <v>21</v>
      </c>
      <c r="B29" s="127" t="str">
        <f t="shared" si="0"/>
        <v>fr</v>
      </c>
      <c r="C29" s="128" t="s">
        <v>206</v>
      </c>
      <c r="D29" s="129" t="str">
        <f t="shared" si="1"/>
        <v/>
      </c>
      <c r="E29" s="932"/>
      <c r="F29" s="933"/>
      <c r="G29" s="934"/>
      <c r="H29" s="294"/>
      <c r="I29" s="519"/>
      <c r="J29" s="407"/>
      <c r="K29" s="374"/>
      <c r="L29" s="374"/>
      <c r="M29" s="374"/>
      <c r="N29" s="313">
        <f t="shared" si="17"/>
        <v>0</v>
      </c>
      <c r="O29" s="313">
        <f t="shared" si="18"/>
        <v>0</v>
      </c>
      <c r="P29" s="313">
        <f>IF(Stamoplysninger!$H$29="JA",Februar!DG29,CX29)</f>
        <v>0</v>
      </c>
      <c r="Q29" s="313">
        <f t="shared" si="19"/>
        <v>0</v>
      </c>
      <c r="R29" s="314"/>
      <c r="S29" s="319"/>
      <c r="T29" s="320"/>
      <c r="U29" s="320"/>
      <c r="V29" s="429"/>
      <c r="W29" s="429"/>
      <c r="X29" s="635"/>
      <c r="Y29">
        <f t="shared" si="20"/>
        <v>0</v>
      </c>
      <c r="Z29" s="431">
        <f t="shared" si="21"/>
        <v>0</v>
      </c>
      <c r="AA29" s="1">
        <f t="shared" si="22"/>
        <v>0</v>
      </c>
      <c r="AB29" s="1">
        <f t="shared" si="2"/>
        <v>0</v>
      </c>
      <c r="AC29" s="1">
        <f t="shared" si="3"/>
        <v>0</v>
      </c>
      <c r="AD29" s="1">
        <f t="shared" si="4"/>
        <v>0</v>
      </c>
      <c r="AE29" s="1">
        <f t="shared" si="5"/>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f>IF(AND(C29="Skema 1",B29="fr"),Arbejdstidsoversigt!$E$76,"")</f>
        <v>0</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6"/>
        <v>0</v>
      </c>
      <c r="BC29" s="1">
        <f t="shared" si="24"/>
        <v>0</v>
      </c>
      <c r="BD29" s="1">
        <f t="shared" si="7"/>
        <v>0</v>
      </c>
      <c r="BE29" s="1">
        <f t="shared" si="8"/>
        <v>0</v>
      </c>
      <c r="BF29" s="1">
        <f t="shared" si="9"/>
        <v>0</v>
      </c>
      <c r="BG29" s="209" t="str">
        <f>IF(AND(C29="Skema 1",B29="ma"),Skemaoplysninger!$E$30,"")</f>
        <v/>
      </c>
      <c r="BH29" s="209" t="str">
        <f>IF(AND(C29="Skema 1",B29="ti"),Skemaoplysninger!$G$30,"")</f>
        <v/>
      </c>
      <c r="BI29" s="209" t="str">
        <f>IF(AND(C29="Skema 1",B29="on"),Skemaoplysninger!$I$30,"")</f>
        <v/>
      </c>
      <c r="BJ29" s="209" t="str">
        <f>IF(AND(C29="Skema 1",B29="to"),Skemaoplysninger!$K$30,"")</f>
        <v/>
      </c>
      <c r="BK29" s="209">
        <f>IF(AND(C29="Skema 1",B29="fr"),Skemaoplysninger!$M$30,"")</f>
        <v>0</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0"/>
        <v>0</v>
      </c>
      <c r="CC29" s="1">
        <f t="shared" si="11"/>
        <v>0</v>
      </c>
      <c r="CD29" s="209" t="str">
        <f>IF(AND(C29="Skema 1",B29="ma"),Skemaoplysninger!$E$31,"")</f>
        <v/>
      </c>
      <c r="CE29" s="209" t="str">
        <f>IF(AND(C29="Skema 1",B29="ti"),Skemaoplysninger!$G$31,"")</f>
        <v/>
      </c>
      <c r="CF29" s="209" t="str">
        <f>IF(AND(C29="Skema 1",B29="on"),Skemaoplysninger!$I$31,"")</f>
        <v/>
      </c>
      <c r="CG29" s="209" t="str">
        <f>IF(AND(C29="Skema 1",B29="to"),Skemaoplysninger!$K$31,"")</f>
        <v/>
      </c>
      <c r="CH29" s="209">
        <f>IF(AND(C29="Skema 1",B29="fr"),Skemaoplysninger!$M$31,"")</f>
        <v>0</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2"/>
        <v/>
      </c>
      <c r="DL29" t="str">
        <f t="shared" si="12"/>
        <v/>
      </c>
      <c r="DM29" t="str">
        <f t="shared" si="12"/>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3"/>
        <v>0</v>
      </c>
      <c r="FT29" s="649">
        <f t="shared" si="14"/>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6"/>
        <v>22</v>
      </c>
      <c r="B30" s="127" t="str">
        <f t="shared" si="0"/>
        <v>lø</v>
      </c>
      <c r="C30" s="128" t="s">
        <v>120</v>
      </c>
      <c r="D30" s="129" t="str">
        <f t="shared" si="1"/>
        <v/>
      </c>
      <c r="E30" s="932"/>
      <c r="F30" s="933"/>
      <c r="G30" s="934"/>
      <c r="H30" s="294"/>
      <c r="I30" s="407"/>
      <c r="J30" s="407"/>
      <c r="K30" s="374"/>
      <c r="L30" s="374"/>
      <c r="M30" s="374"/>
      <c r="N30" s="313">
        <f t="shared" si="17"/>
        <v>0</v>
      </c>
      <c r="O30" s="313">
        <f t="shared" si="18"/>
        <v>0</v>
      </c>
      <c r="P30" s="313">
        <f>IF(Stamoplysninger!$H$29="JA",Februar!DG30,CX30)</f>
        <v>0</v>
      </c>
      <c r="Q30" s="313">
        <f t="shared" si="19"/>
        <v>0</v>
      </c>
      <c r="R30" s="314"/>
      <c r="S30" s="319"/>
      <c r="T30" s="320"/>
      <c r="U30" s="320"/>
      <c r="V30" s="429"/>
      <c r="W30" s="429"/>
      <c r="X30" s="635"/>
      <c r="Y30">
        <f t="shared" si="20"/>
        <v>0</v>
      </c>
      <c r="Z30" s="431">
        <f t="shared" si="21"/>
        <v>0</v>
      </c>
      <c r="AA30" s="1">
        <f t="shared" si="22"/>
        <v>0</v>
      </c>
      <c r="AB30" s="1">
        <f t="shared" si="2"/>
        <v>0</v>
      </c>
      <c r="AC30" s="1">
        <f t="shared" si="3"/>
        <v>0</v>
      </c>
      <c r="AD30" s="1">
        <f t="shared" si="4"/>
        <v>0</v>
      </c>
      <c r="AE30" s="1">
        <f t="shared" si="5"/>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6"/>
        <v>0</v>
      </c>
      <c r="BC30" s="1">
        <f t="shared" si="24"/>
        <v>0</v>
      </c>
      <c r="BD30" s="1">
        <f t="shared" si="7"/>
        <v>0</v>
      </c>
      <c r="BE30" s="1">
        <f t="shared" si="8"/>
        <v>0</v>
      </c>
      <c r="BF30" s="1">
        <f t="shared" si="9"/>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0"/>
        <v>0</v>
      </c>
      <c r="CC30" s="1">
        <f t="shared" si="11"/>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2"/>
        <v/>
      </c>
      <c r="DL30" t="str">
        <f t="shared" si="12"/>
        <v/>
      </c>
      <c r="DM30" t="str">
        <f t="shared" si="12"/>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3"/>
        <v>0</v>
      </c>
      <c r="FT30" s="649">
        <f t="shared" si="14"/>
        <v>0</v>
      </c>
      <c r="FU30">
        <f t="shared" ref="FU30:FU37"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6"/>
        <v>23</v>
      </c>
      <c r="B31" s="127" t="str">
        <f t="shared" si="0"/>
        <v>sø</v>
      </c>
      <c r="C31" s="128" t="s">
        <v>120</v>
      </c>
      <c r="D31" s="129" t="str">
        <f t="shared" si="1"/>
        <v/>
      </c>
      <c r="E31" s="932"/>
      <c r="F31" s="933"/>
      <c r="G31" s="934"/>
      <c r="H31" s="294"/>
      <c r="I31" s="407"/>
      <c r="J31" s="407"/>
      <c r="K31" s="374"/>
      <c r="L31" s="374"/>
      <c r="M31" s="374"/>
      <c r="N31" s="313">
        <f t="shared" si="17"/>
        <v>0</v>
      </c>
      <c r="O31" s="313">
        <f t="shared" si="18"/>
        <v>0</v>
      </c>
      <c r="P31" s="313">
        <f>IF(Stamoplysninger!$H$29="JA",Februar!DG31,CX31)</f>
        <v>0</v>
      </c>
      <c r="Q31" s="313">
        <f t="shared" si="19"/>
        <v>0</v>
      </c>
      <c r="R31" s="314"/>
      <c r="S31" s="319"/>
      <c r="T31" s="320"/>
      <c r="U31" s="320"/>
      <c r="V31" s="429"/>
      <c r="W31" s="429"/>
      <c r="X31" s="635"/>
      <c r="Y31">
        <f t="shared" si="20"/>
        <v>0</v>
      </c>
      <c r="Z31" s="431">
        <f t="shared" si="21"/>
        <v>0</v>
      </c>
      <c r="AA31" s="1">
        <f t="shared" si="22"/>
        <v>0</v>
      </c>
      <c r="AB31" s="1">
        <f t="shared" si="2"/>
        <v>0</v>
      </c>
      <c r="AC31" s="1">
        <f t="shared" si="3"/>
        <v>0</v>
      </c>
      <c r="AD31" s="1">
        <f t="shared" si="4"/>
        <v>0</v>
      </c>
      <c r="AE31" s="1">
        <f t="shared" si="5"/>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6"/>
        <v>0</v>
      </c>
      <c r="BC31" s="1">
        <f t="shared" si="24"/>
        <v>0</v>
      </c>
      <c r="BD31" s="1">
        <f t="shared" si="7"/>
        <v>0</v>
      </c>
      <c r="BE31" s="1">
        <f t="shared" si="8"/>
        <v>0</v>
      </c>
      <c r="BF31" s="1">
        <f t="shared" si="9"/>
        <v>0</v>
      </c>
      <c r="BG31" s="209" t="str">
        <f>IF(AND(C31="Skema 1",B31="ma"),Skemaoplysninger!$E$30,"")</f>
        <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0"/>
        <v>0</v>
      </c>
      <c r="CC31" s="1">
        <f t="shared" si="11"/>
        <v>0</v>
      </c>
      <c r="CD31" s="209" t="str">
        <f>IF(AND(C31="Skema 1",B31="ma"),Skemaoplysninger!$E$31,"")</f>
        <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2"/>
        <v/>
      </c>
      <c r="DL31" t="str">
        <f t="shared" si="12"/>
        <v/>
      </c>
      <c r="DM31" t="str">
        <f t="shared" si="12"/>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3"/>
        <v>0</v>
      </c>
      <c r="FT31" s="649">
        <f t="shared" si="14"/>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6"/>
        <v>24</v>
      </c>
      <c r="B32" s="127" t="str">
        <f t="shared" si="0"/>
        <v>ma</v>
      </c>
      <c r="C32" s="128" t="s">
        <v>206</v>
      </c>
      <c r="D32" s="129">
        <f t="shared" si="1"/>
        <v>8.7142857142857135</v>
      </c>
      <c r="E32" s="964"/>
      <c r="F32" s="965"/>
      <c r="G32" s="966"/>
      <c r="H32" s="294"/>
      <c r="I32" s="519"/>
      <c r="J32" s="407"/>
      <c r="K32" s="374"/>
      <c r="L32" s="374"/>
      <c r="M32" s="374"/>
      <c r="N32" s="313">
        <f t="shared" si="17"/>
        <v>0</v>
      </c>
      <c r="O32" s="313">
        <f t="shared" si="18"/>
        <v>0</v>
      </c>
      <c r="P32" s="313">
        <f>IF(Stamoplysninger!$H$29="JA",Februar!DG32,CX32)</f>
        <v>0</v>
      </c>
      <c r="Q32" s="313">
        <f t="shared" si="19"/>
        <v>0</v>
      </c>
      <c r="R32" s="314"/>
      <c r="S32" s="319"/>
      <c r="T32" s="320"/>
      <c r="U32" s="320"/>
      <c r="V32" s="429"/>
      <c r="W32" s="429"/>
      <c r="X32" s="635"/>
      <c r="Y32">
        <f t="shared" si="20"/>
        <v>0</v>
      </c>
      <c r="Z32" s="431">
        <f t="shared" si="21"/>
        <v>0</v>
      </c>
      <c r="AA32" s="1">
        <f t="shared" si="22"/>
        <v>0</v>
      </c>
      <c r="AB32" s="1">
        <f t="shared" si="2"/>
        <v>0</v>
      </c>
      <c r="AC32" s="1">
        <f t="shared" si="3"/>
        <v>0</v>
      </c>
      <c r="AD32" s="1">
        <f t="shared" si="4"/>
        <v>0</v>
      </c>
      <c r="AE32" s="1">
        <f t="shared" si="5"/>
        <v>0</v>
      </c>
      <c r="AF32" s="1">
        <f>IF(C32="Orlov",7.4*Stamoplysninger!$E$15,0)</f>
        <v>0</v>
      </c>
      <c r="AG32">
        <f>IF(AND(C32="Skema 1",B32="ma"),Arbejdstidsoversigt!$E$72,"")</f>
        <v>0</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6"/>
        <v>0</v>
      </c>
      <c r="BC32" s="1">
        <f t="shared" si="24"/>
        <v>0</v>
      </c>
      <c r="BD32" s="1">
        <f t="shared" si="7"/>
        <v>0</v>
      </c>
      <c r="BE32" s="1">
        <f t="shared" si="8"/>
        <v>0</v>
      </c>
      <c r="BF32" s="1">
        <f t="shared" si="9"/>
        <v>0</v>
      </c>
      <c r="BG32" s="209">
        <f>IF(AND(C32="Skema 1",B32="ma"),Skemaoplysninger!$E$30,"")</f>
        <v>0</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0"/>
        <v>0</v>
      </c>
      <c r="CC32" s="1">
        <f t="shared" si="11"/>
        <v>0</v>
      </c>
      <c r="CD32" s="209">
        <f>IF(AND(C32="Skema 1",B32="ma"),Skemaoplysninger!$E$31,"")</f>
        <v>0</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2"/>
        <v/>
      </c>
      <c r="DL32" t="str">
        <f t="shared" si="12"/>
        <v/>
      </c>
      <c r="DM32" t="str">
        <f t="shared" si="12"/>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3"/>
        <v>0</v>
      </c>
      <c r="FT32" s="649">
        <f t="shared" si="14"/>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6"/>
        <v>25</v>
      </c>
      <c r="B33" s="127" t="str">
        <f t="shared" si="0"/>
        <v>ti</v>
      </c>
      <c r="C33" s="128" t="s">
        <v>206</v>
      </c>
      <c r="D33" s="129" t="str">
        <f t="shared" si="1"/>
        <v/>
      </c>
      <c r="E33" s="932"/>
      <c r="F33" s="933"/>
      <c r="G33" s="934"/>
      <c r="H33" s="294"/>
      <c r="I33" s="519"/>
      <c r="J33" s="407"/>
      <c r="K33" s="374"/>
      <c r="L33" s="374"/>
      <c r="M33" s="374"/>
      <c r="N33" s="313">
        <f t="shared" si="17"/>
        <v>0</v>
      </c>
      <c r="O33" s="313">
        <f t="shared" si="18"/>
        <v>0</v>
      </c>
      <c r="P33" s="313">
        <f>IF(Stamoplysninger!$H$29="JA",Februar!DG33,CX33)</f>
        <v>0</v>
      </c>
      <c r="Q33" s="313">
        <f t="shared" si="19"/>
        <v>0</v>
      </c>
      <c r="R33" s="314"/>
      <c r="S33" s="319"/>
      <c r="T33" s="320"/>
      <c r="U33" s="320"/>
      <c r="V33" s="429"/>
      <c r="W33" s="429"/>
      <c r="X33" s="635"/>
      <c r="Y33">
        <f t="shared" si="20"/>
        <v>0</v>
      </c>
      <c r="Z33" s="431">
        <f t="shared" si="21"/>
        <v>0</v>
      </c>
      <c r="AA33" s="1">
        <f t="shared" si="22"/>
        <v>0</v>
      </c>
      <c r="AB33" s="1">
        <f t="shared" si="2"/>
        <v>0</v>
      </c>
      <c r="AC33" s="1">
        <f t="shared" si="3"/>
        <v>0</v>
      </c>
      <c r="AD33" s="1">
        <f t="shared" si="4"/>
        <v>0</v>
      </c>
      <c r="AE33" s="1">
        <f t="shared" si="5"/>
        <v>0</v>
      </c>
      <c r="AF33" s="1">
        <f>IF(C33="Orlov",7.4*Stamoplysninger!$E$15,0)</f>
        <v>0</v>
      </c>
      <c r="AG33" t="str">
        <f>IF(AND(C33="Skema 1",B33="ma"),Arbejdstidsoversigt!$E$72,"")</f>
        <v/>
      </c>
      <c r="AH33">
        <f>IF(AND(C33="Skema 1",B33="ti"),Arbejdstidsoversigt!$E$73,"")</f>
        <v>0</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6"/>
        <v>0</v>
      </c>
      <c r="BC33" s="1">
        <f t="shared" si="24"/>
        <v>0</v>
      </c>
      <c r="BD33" s="1">
        <f t="shared" si="7"/>
        <v>0</v>
      </c>
      <c r="BE33" s="1">
        <f t="shared" si="8"/>
        <v>0</v>
      </c>
      <c r="BF33" s="1">
        <f t="shared" si="9"/>
        <v>0</v>
      </c>
      <c r="BG33" s="209" t="str">
        <f>IF(AND(C33="Skema 1",B33="ma"),Skemaoplysninger!$E$30,"")</f>
        <v/>
      </c>
      <c r="BH33" s="209">
        <f>IF(AND(C33="Skema 1",B33="ti"),Skemaoplysninger!$G$30,"")</f>
        <v>0</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0"/>
        <v>0</v>
      </c>
      <c r="CC33" s="1">
        <f t="shared" si="11"/>
        <v>0</v>
      </c>
      <c r="CD33" s="209" t="str">
        <f>IF(AND(C33="Skema 1",B33="ma"),Skemaoplysninger!$E$31,"")</f>
        <v/>
      </c>
      <c r="CE33" s="209">
        <f>IF(AND(C33="Skema 1",B33="ti"),Skemaoplysninger!$G$31,"")</f>
        <v>0</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2"/>
        <v/>
      </c>
      <c r="DL33" t="str">
        <f t="shared" si="12"/>
        <v/>
      </c>
      <c r="DM33" t="str">
        <f t="shared" si="12"/>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3"/>
        <v>0</v>
      </c>
      <c r="FT33" s="649">
        <f t="shared" si="14"/>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6"/>
        <v>26</v>
      </c>
      <c r="B34" s="127" t="str">
        <f t="shared" si="0"/>
        <v>on</v>
      </c>
      <c r="C34" s="128" t="s">
        <v>206</v>
      </c>
      <c r="D34" s="129" t="str">
        <f t="shared" si="1"/>
        <v/>
      </c>
      <c r="E34" s="932"/>
      <c r="F34" s="933"/>
      <c r="G34" s="934"/>
      <c r="H34" s="294"/>
      <c r="I34" s="519"/>
      <c r="J34" s="407"/>
      <c r="K34" s="374"/>
      <c r="L34" s="374"/>
      <c r="M34" s="374"/>
      <c r="N34" s="313">
        <f t="shared" si="17"/>
        <v>0</v>
      </c>
      <c r="O34" s="313">
        <f t="shared" si="18"/>
        <v>0</v>
      </c>
      <c r="P34" s="313">
        <f>IF(Stamoplysninger!$H$29="JA",Februar!DG34,CX34)</f>
        <v>0</v>
      </c>
      <c r="Q34" s="313">
        <f t="shared" si="19"/>
        <v>0</v>
      </c>
      <c r="R34" s="314"/>
      <c r="S34" s="319"/>
      <c r="T34" s="320"/>
      <c r="U34" s="320"/>
      <c r="V34" s="429"/>
      <c r="W34" s="429"/>
      <c r="X34" s="635"/>
      <c r="Y34">
        <f t="shared" si="20"/>
        <v>0</v>
      </c>
      <c r="Z34" s="431">
        <f t="shared" si="21"/>
        <v>0</v>
      </c>
      <c r="AA34" s="1">
        <f t="shared" si="22"/>
        <v>0</v>
      </c>
      <c r="AB34" s="1">
        <f t="shared" si="2"/>
        <v>0</v>
      </c>
      <c r="AC34" s="1">
        <f t="shared" si="3"/>
        <v>0</v>
      </c>
      <c r="AD34" s="1">
        <f t="shared" si="4"/>
        <v>0</v>
      </c>
      <c r="AE34" s="1">
        <f t="shared" si="5"/>
        <v>0</v>
      </c>
      <c r="AF34" s="1">
        <f>IF(C34="Orlov",7.4*Stamoplysninger!$E$15,0)</f>
        <v>0</v>
      </c>
      <c r="AG34" t="str">
        <f>IF(AND(C34="Skema 1",B34="ma"),Arbejdstidsoversigt!$E$72,"")</f>
        <v/>
      </c>
      <c r="AH34" t="str">
        <f>IF(AND(C34="Skema 1",B34="ti"),Arbejdstidsoversigt!$E$73,"")</f>
        <v/>
      </c>
      <c r="AI34">
        <f>IF(AND(C34="Skema 1",B34="on"),Arbejdstidsoversigt!$E$74,"")</f>
        <v>0</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6"/>
        <v>0</v>
      </c>
      <c r="BC34" s="1">
        <f t="shared" si="24"/>
        <v>0</v>
      </c>
      <c r="BD34" s="1">
        <f t="shared" si="7"/>
        <v>0</v>
      </c>
      <c r="BE34" s="1">
        <f t="shared" si="8"/>
        <v>0</v>
      </c>
      <c r="BF34" s="1">
        <f t="shared" si="9"/>
        <v>0</v>
      </c>
      <c r="BG34" s="209" t="str">
        <f>IF(AND(C34="Skema 1",B34="ma"),Skemaoplysninger!$E$30,"")</f>
        <v/>
      </c>
      <c r="BH34" s="209" t="str">
        <f>IF(AND(C34="Skema 1",B34="ti"),Skemaoplysninger!$G$30,"")</f>
        <v/>
      </c>
      <c r="BI34" s="209">
        <f>IF(AND(C34="Skema 1",B34="on"),Skemaoplysninger!$I$30,"")</f>
        <v>0</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0"/>
        <v>0</v>
      </c>
      <c r="CC34" s="1">
        <f t="shared" si="11"/>
        <v>0</v>
      </c>
      <c r="CD34" s="209" t="str">
        <f>IF(AND(C34="Skema 1",B34="ma"),Skemaoplysninger!$E$31,"")</f>
        <v/>
      </c>
      <c r="CE34" s="209" t="str">
        <f>IF(AND(C34="Skema 1",B34="ti"),Skemaoplysninger!$G$31,"")</f>
        <v/>
      </c>
      <c r="CF34" s="209">
        <f>IF(AND(C34="Skema 1",B34="on"),Skemaoplysninger!$I$31,"")</f>
        <v>0</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2"/>
        <v/>
      </c>
      <c r="DL34" t="str">
        <f t="shared" si="12"/>
        <v/>
      </c>
      <c r="DM34" t="str">
        <f t="shared" si="12"/>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3"/>
        <v>0</v>
      </c>
      <c r="FT34" s="649">
        <f t="shared" si="14"/>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6"/>
        <v>27</v>
      </c>
      <c r="B35" s="127" t="str">
        <f t="shared" si="0"/>
        <v>to</v>
      </c>
      <c r="C35" s="128" t="s">
        <v>206</v>
      </c>
      <c r="D35" s="129" t="str">
        <f t="shared" si="1"/>
        <v/>
      </c>
      <c r="E35" s="932"/>
      <c r="F35" s="933"/>
      <c r="G35" s="934"/>
      <c r="H35" s="294"/>
      <c r="I35" s="519"/>
      <c r="J35" s="407"/>
      <c r="K35" s="374"/>
      <c r="L35" s="374"/>
      <c r="M35" s="374"/>
      <c r="N35" s="313">
        <f t="shared" si="17"/>
        <v>0</v>
      </c>
      <c r="O35" s="313">
        <f t="shared" si="18"/>
        <v>0</v>
      </c>
      <c r="P35" s="313">
        <f>IF(Stamoplysninger!$H$29="JA",Februar!DG35,CX35)</f>
        <v>0</v>
      </c>
      <c r="Q35" s="313">
        <f t="shared" si="19"/>
        <v>0</v>
      </c>
      <c r="R35" s="314"/>
      <c r="S35" s="319"/>
      <c r="T35" s="320"/>
      <c r="U35" s="320"/>
      <c r="V35" s="429"/>
      <c r="W35" s="429"/>
      <c r="X35" s="635"/>
      <c r="Y35">
        <f t="shared" si="20"/>
        <v>0</v>
      </c>
      <c r="Z35" s="431">
        <f t="shared" si="21"/>
        <v>0</v>
      </c>
      <c r="AA35" s="1">
        <f t="shared" si="22"/>
        <v>0</v>
      </c>
      <c r="AB35" s="1">
        <f t="shared" si="2"/>
        <v>0</v>
      </c>
      <c r="AC35" s="1">
        <f t="shared" si="3"/>
        <v>0</v>
      </c>
      <c r="AD35" s="1">
        <f t="shared" si="4"/>
        <v>0</v>
      </c>
      <c r="AE35" s="1">
        <f t="shared" si="5"/>
        <v>0</v>
      </c>
      <c r="AF35" s="1">
        <f>IF(C35="Orlov",7.4*Stamoplysninger!$E$15,0)</f>
        <v>0</v>
      </c>
      <c r="AG35" t="str">
        <f>IF(AND(C35="Skema 1",B35="ma"),Arbejdstidsoversigt!$E$72,"")</f>
        <v/>
      </c>
      <c r="AH35" t="str">
        <f>IF(AND(C35="Skema 1",B35="ti"),Arbejdstidsoversigt!$E$73,"")</f>
        <v/>
      </c>
      <c r="AI35" t="str">
        <f>IF(AND(C35="Skema 1",B35="on"),Arbejdstidsoversigt!$E$74,"")</f>
        <v/>
      </c>
      <c r="AJ35">
        <f>IF(AND(C35="Skema 1",B35="to"),Arbejdstidsoversigt!$E$75,"")</f>
        <v>0</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SUM(AA35:AZ35)</f>
        <v>0</v>
      </c>
      <c r="BB35" s="226">
        <f>SUM(AG35:AK35)*24</f>
        <v>0</v>
      </c>
      <c r="BC35" s="1">
        <f>IF(C35="Lejrskole",L35,0)</f>
        <v>0</v>
      </c>
      <c r="BD35" s="1">
        <f>IF(C35="Ekskursion",L35,0)</f>
        <v>0</v>
      </c>
      <c r="BE35" s="1">
        <f>IF(C35="fagdag",L35,0)</f>
        <v>0</v>
      </c>
      <c r="BF35" s="1">
        <f>IF(C35="emnedag",L35,0)</f>
        <v>0</v>
      </c>
      <c r="BG35" s="209" t="str">
        <f>IF(AND(C35="Skema 1",B35="ma"),Skemaoplysninger!$E$30,"")</f>
        <v/>
      </c>
      <c r="BH35" s="209" t="str">
        <f>IF(AND(C35="Skema 1",B35="ti"),Skemaoplysninger!$G$30,"")</f>
        <v/>
      </c>
      <c r="BI35" s="209" t="str">
        <f>IF(AND(C35="Skema 1",B35="on"),Skemaoplysninger!$I$30,"")</f>
        <v/>
      </c>
      <c r="BJ35" s="209">
        <f>IF(AND(C35="Skema 1",B35="to"),Skemaoplysninger!$K$30,"")</f>
        <v>0</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SUM(BG35:BZ35)*24+SUM(BC35:BF35)</f>
        <v>0</v>
      </c>
      <c r="CB35" s="1">
        <f>IF(C35="fagdag",M35,0)</f>
        <v>0</v>
      </c>
      <c r="CC35" s="1">
        <f>IF(C35="emnedag",M35,0)</f>
        <v>0</v>
      </c>
      <c r="CD35" s="209" t="str">
        <f>IF(AND(C35="Skema 1",B35="ma"),Skemaoplysninger!$E$31,"")</f>
        <v/>
      </c>
      <c r="CE35" s="209" t="str">
        <f>IF(AND(C35="Skema 1",B35="ti"),Skemaoplysninger!$G$31,"")</f>
        <v/>
      </c>
      <c r="CF35" s="209" t="str">
        <f>IF(AND(C35="Skema 1",B35="on"),Skemaoplysninger!$I$31,"")</f>
        <v/>
      </c>
      <c r="CG35" s="209">
        <f>IF(AND(C35="Skema 1",B35="to"),Skemaoplysninger!$K$31,"")</f>
        <v>0</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SUM(CY35:DF35)</f>
        <v>0</v>
      </c>
      <c r="DH35" t="str">
        <f t="shared" si="27"/>
        <v/>
      </c>
      <c r="DI35">
        <f t="shared" si="28"/>
        <v>0</v>
      </c>
      <c r="DJ35">
        <f t="shared" si="29"/>
        <v>0</v>
      </c>
      <c r="DK35" t="str">
        <f t="shared" si="12"/>
        <v/>
      </c>
      <c r="DL35" t="str">
        <f t="shared" si="12"/>
        <v/>
      </c>
      <c r="DM35" t="str">
        <f t="shared" si="12"/>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3"/>
        <v>0</v>
      </c>
      <c r="FT35" s="649">
        <f t="shared" si="14"/>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6"/>
        <v>28</v>
      </c>
      <c r="B36" s="127" t="str">
        <f t="shared" si="0"/>
        <v>fr</v>
      </c>
      <c r="C36" s="128" t="s">
        <v>206</v>
      </c>
      <c r="D36" s="129" t="str">
        <f t="shared" si="1"/>
        <v/>
      </c>
      <c r="E36" s="932"/>
      <c r="F36" s="933"/>
      <c r="G36" s="934"/>
      <c r="H36" s="294"/>
      <c r="I36" s="519"/>
      <c r="J36" s="407"/>
      <c r="K36" s="374"/>
      <c r="L36" s="374"/>
      <c r="M36" s="374"/>
      <c r="N36" s="313">
        <f t="shared" si="17"/>
        <v>0</v>
      </c>
      <c r="O36" s="313">
        <f t="shared" si="18"/>
        <v>0</v>
      </c>
      <c r="P36" s="313">
        <f>IF(Stamoplysninger!$H$29="JA",Februar!DG36,CX36)</f>
        <v>0</v>
      </c>
      <c r="Q36" s="313">
        <f t="shared" si="19"/>
        <v>0</v>
      </c>
      <c r="R36" s="314"/>
      <c r="S36" s="319"/>
      <c r="T36" s="320"/>
      <c r="U36" s="320"/>
      <c r="V36" s="429"/>
      <c r="W36" s="429"/>
      <c r="X36" s="635"/>
      <c r="Y36">
        <f t="shared" si="20"/>
        <v>0</v>
      </c>
      <c r="Z36" s="431">
        <f>W36</f>
        <v>0</v>
      </c>
      <c r="AA36" s="1">
        <f>IF(C36="emnedag",K36,0)</f>
        <v>0</v>
      </c>
      <c r="AB36" s="1">
        <f>IF(C36="fagdag",K36,0)</f>
        <v>0</v>
      </c>
      <c r="AC36" s="1">
        <f>IF(C36="Pæd.dag",K36,0)</f>
        <v>0</v>
      </c>
      <c r="AD36" s="1">
        <f>IF(C36="Ekskursion",K36,0)</f>
        <v>0</v>
      </c>
      <c r="AE36" s="1">
        <f>IF(C36="Lejrskole",K36,0)</f>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f>IF(AND(C36="Skema 1",B36="fr"),Arbejdstidsoversigt!$E$76,"")</f>
        <v>0</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SUM(AA36:AZ36)</f>
        <v>0</v>
      </c>
      <c r="BB36" s="226">
        <f>SUM(AG36:AK36)*24</f>
        <v>0</v>
      </c>
      <c r="BC36" s="1">
        <f>IF(C36="Lejrskole",L36,0)</f>
        <v>0</v>
      </c>
      <c r="BD36" s="1">
        <f>IF(C36="Ekskursion",L36,0)</f>
        <v>0</v>
      </c>
      <c r="BE36" s="1">
        <f>IF(C36="fagdag",L36,0)</f>
        <v>0</v>
      </c>
      <c r="BF36" s="1">
        <f>IF(C36="emnedag",L36,0)</f>
        <v>0</v>
      </c>
      <c r="BG36" s="209" t="str">
        <f>IF(AND(C36="Skema 1",B36="ma"),Skemaoplysninger!$E$30,"")</f>
        <v/>
      </c>
      <c r="BH36" s="209" t="str">
        <f>IF(AND(C36="Skema 1",B36="ti"),Skemaoplysninger!$G$30,"")</f>
        <v/>
      </c>
      <c r="BI36" s="209" t="str">
        <f>IF(AND(C36="Skema 1",B36="on"),Skemaoplysninger!$I$30,"")</f>
        <v/>
      </c>
      <c r="BJ36" s="209" t="str">
        <f>IF(AND(C36="Skema 1",B36="to"),Skemaoplysninger!$K$30,"")</f>
        <v/>
      </c>
      <c r="BK36" s="209">
        <f>IF(AND(C36="Skema 1",B36="fr"),Skemaoplysninger!$M$30,"")</f>
        <v>0</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SUM(BG36:BZ36)*24+SUM(BC36:BF36)</f>
        <v>0</v>
      </c>
      <c r="CB36" s="1">
        <f>IF(C36="fagdag",M36,0)</f>
        <v>0</v>
      </c>
      <c r="CC36" s="1">
        <f>IF(C36="emnedag",M36,0)</f>
        <v>0</v>
      </c>
      <c r="CD36" s="209" t="str">
        <f>IF(AND(C36="Skema 1",B36="ma"),Skemaoplysninger!$E$31,"")</f>
        <v/>
      </c>
      <c r="CE36" s="209" t="str">
        <f>IF(AND(C36="Skema 1",B36="ti"),Skemaoplysninger!$G$31,"")</f>
        <v/>
      </c>
      <c r="CF36" s="209" t="str">
        <f>IF(AND(C36="Skema 1",B36="on"),Skemaoplysninger!$I$31,"")</f>
        <v/>
      </c>
      <c r="CG36" s="209" t="str">
        <f>IF(AND(C36="Skema 1",B36="to"),Skemaoplysninger!$K$31,"")</f>
        <v/>
      </c>
      <c r="CH36" s="209">
        <f>IF(AND(C36="Skema 1",B36="fr"),Skemaoplysninger!$M$31,"")</f>
        <v>0</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SUM(CY36:DF36)</f>
        <v>0</v>
      </c>
      <c r="DH36" t="str">
        <f t="shared" si="27"/>
        <v/>
      </c>
      <c r="DI36">
        <f>IF(H36="",E36,"")</f>
        <v>0</v>
      </c>
      <c r="DJ36">
        <f>IF(E36="",H36,"")</f>
        <v>0</v>
      </c>
      <c r="DK36" t="str">
        <f t="shared" ref="DK36:DM38" si="32">IF(DH36=0,"",DH36)</f>
        <v/>
      </c>
      <c r="DL36" t="str">
        <f t="shared" si="32"/>
        <v/>
      </c>
      <c r="DM36" t="str">
        <f t="shared" si="32"/>
        <v/>
      </c>
      <c r="DN36" t="str">
        <f>DK36&amp;""&amp;DL36&amp;""&amp;DM36</f>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3"/>
        <v>0</v>
      </c>
      <c r="FT36" s="649">
        <f t="shared" si="14"/>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hidden="1">
      <c r="A37" s="241"/>
      <c r="B37" s="127"/>
      <c r="C37" s="128" t="s">
        <v>160</v>
      </c>
      <c r="D37" s="129" t="str">
        <f>IF(B37="ma",(DATE(A$6,A$2,A37)-DATE(A$6,1,1)+7)/7,"")</f>
        <v/>
      </c>
      <c r="E37" s="964"/>
      <c r="F37" s="965"/>
      <c r="G37" s="966"/>
      <c r="H37" s="294"/>
      <c r="I37" s="519"/>
      <c r="J37" s="407"/>
      <c r="K37" s="374"/>
      <c r="L37" s="374"/>
      <c r="M37" s="374"/>
      <c r="N37" s="313">
        <f>BA37</f>
        <v>0</v>
      </c>
      <c r="O37" s="313">
        <f>CA37</f>
        <v>0</v>
      </c>
      <c r="P37" s="313">
        <f>IF(Stamoplysninger!$H$29="JA",Februar!DG37,CX37)</f>
        <v>0</v>
      </c>
      <c r="Q37" s="313">
        <f>IF(OR(C37="Lejrskole",C37="Ekskursion"),0,N37-O37-P37)</f>
        <v>0</v>
      </c>
      <c r="R37" s="314"/>
      <c r="S37" s="319"/>
      <c r="T37" s="320"/>
      <c r="U37" s="320"/>
      <c r="V37" s="429"/>
      <c r="W37" s="315"/>
      <c r="X37" s="433"/>
      <c r="Y37">
        <f t="shared" si="20"/>
        <v>0</v>
      </c>
      <c r="Z37" s="431">
        <f>W37</f>
        <v>0</v>
      </c>
      <c r="AA37" s="1">
        <f>IF(C37="emnedag",K37,0)</f>
        <v>0</v>
      </c>
      <c r="AB37" s="1">
        <f>IF(C37="fagdag",K37,0)</f>
        <v>0</v>
      </c>
      <c r="AC37" s="1">
        <f>IF(C37="Pæd.dag",K37,0)</f>
        <v>0</v>
      </c>
      <c r="AD37" s="1">
        <f>IF(C37="Ekskursion",K37,0)</f>
        <v>0</v>
      </c>
      <c r="AE37" s="1">
        <f>IF(C37="Lejrskole",K37,0)</f>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SUM(AA37:AZ37)</f>
        <v>0</v>
      </c>
      <c r="BB37" s="226">
        <f>SUM(AG37:AK37)*24</f>
        <v>0</v>
      </c>
      <c r="BC37" s="1">
        <f>IF(C37="Lejrskole",L37,0)</f>
        <v>0</v>
      </c>
      <c r="BD37" s="1">
        <f>IF(C37="Ekskursion",L37,0)</f>
        <v>0</v>
      </c>
      <c r="BE37" s="1">
        <f>IF(C37="fagdag",L37,0)</f>
        <v>0</v>
      </c>
      <c r="BF37" s="1">
        <f>IF(C37="emnedag",L37,0)</f>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SUM(BG37:BZ37)*24+SUM(BC37:BF37)</f>
        <v>0</v>
      </c>
      <c r="CB37" s="1">
        <f>IF(C37="fagdag",M37,0)</f>
        <v>0</v>
      </c>
      <c r="CC37" s="1">
        <f>IF(C37="emnedag",M37,0)</f>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IF(Stamoplysninger!$H$29="NEJ",SUM(CB37:CW37),0)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SUM(CY37:DF37)</f>
        <v>0</v>
      </c>
      <c r="DH37" t="str">
        <f t="shared" si="27"/>
        <v/>
      </c>
      <c r="DI37">
        <f>IF(H37="",E37,"")</f>
        <v>0</v>
      </c>
      <c r="DJ37">
        <f>IF(E37="",H37,"")</f>
        <v>0</v>
      </c>
      <c r="DK37" t="str">
        <f t="shared" si="32"/>
        <v/>
      </c>
      <c r="DL37" t="str">
        <f t="shared" si="32"/>
        <v/>
      </c>
      <c r="DM37" t="str">
        <f t="shared" si="32"/>
        <v/>
      </c>
      <c r="DN37" t="str">
        <f>DK37&amp;""&amp;DL37&amp;""&amp;DM37</f>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IF(Stamoplysninger!$B$22="Ulempetillæg afspadseres med 25%(Kræver en aftale imellem ledelsen og den ansatte)",(R37+X37)/4,0)</f>
        <v>0</v>
      </c>
      <c r="ED37">
        <f>IF(AND(Stamoplysninger!$B$22="Ulempetillæg afspadseres med 25%(Kræver en aftale imellem ledelsen og den ansatte)",I37="X"),K37/4,0)</f>
        <v>0</v>
      </c>
      <c r="EE37">
        <f>IF(AND(Stamoplysninger!$B$22="Ulempetillæg afspadseres med 25%(Kræver en aftale imellem ledelsen og den ansatte)",I37="X"),V37/4,0)</f>
        <v>0</v>
      </c>
      <c r="EF37">
        <f>IF(AND(AND(Stamoplysninger!$B$22="Ulempetillæg udbetales med 25% af nettotimelønnen.",AG37="X",W37="X")),AJ37/4,0)</f>
        <v>0</v>
      </c>
      <c r="EG37" s="662">
        <f>IF(AND(Stamoplysninger!$B$22="Ulempetillæg afspadseres med 25%(Kræver en aftale imellem ledelsen og den ansatte)",C37="ikke relevant"),(R37+X37)/4,0)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ansatte)",I37="X",C37="Ikke relevant")),V37/4,0)</f>
        <v>0</v>
      </c>
      <c r="EJ37" s="662">
        <f>IF(AND(AND(Stamoplysninger!$B$22="Ulempetillæg afspadseres med 25%(Kræver en aftale imellem ledelsen og den ansatte)",J37="X",D37="Ikke relevant")),W37/4,0)</f>
        <v>0</v>
      </c>
      <c r="EK37" s="279">
        <f>IF(AND(Stamoplysninger!$B$26="Weekendtimer og weekendtillæg afspadseres.",I37="X"),K37+V37,0)</f>
        <v>0</v>
      </c>
      <c r="EL37" s="247">
        <f>IF(AND(Stamoplysninger!$B$26="Weekendtimer og weekendtillæg afspadseres.",J37="X"),(L37+W37)/2,0)</f>
        <v>0</v>
      </c>
      <c r="EM37" s="665">
        <f>IF(AND(AND(Stamoplysninger!$B$26="Weekendtimer og weekendtillæg afspadseres.",I37="X",C37="ikke relevant")),K37+V37,0)</f>
        <v>0</v>
      </c>
      <c r="EN37" s="666">
        <f>IF(AND(AND(Stamoplysninger!$B$26="Weekendtimer og weekendtillæg afspadseres.",I37="X",C37="ikke relevant")),(K37+V37)/2,0)</f>
        <v>0</v>
      </c>
      <c r="EO37" s="279">
        <f>IF(AND(Stamoplysninger!$B$26="Weekendtimer og weekendtillæg udbetales.",I37="X"),K37+V37,0)</f>
        <v>0</v>
      </c>
      <c r="EP37" s="247">
        <f>IF(AND(Stamoplysninger!$B$26="Weekendtimer og weekendtillæg udbetales.",I37="X"),(K37+V37)/2,0)</f>
        <v>0</v>
      </c>
      <c r="EQ37" s="665">
        <f>IF(AND(AND(Stamoplysninger!$B$26="Weekendtimer og weekendtillæg udbetales.",I37="X",C37="ikke relevant")),K37+V37,0)</f>
        <v>0</v>
      </c>
      <c r="ER37" s="666">
        <f>IF(AND(AND(Stamoplysninger!$B$26="Weekendtimer og weekendtillæg udbetales.",I37="X",C37="ikke relevant")),(K37+V37)/2,0)</f>
        <v>0</v>
      </c>
      <c r="ES37" s="279">
        <f>IF(AND(Stamoplysninger!$B$26="Weekendtimer og weekendtillæg udbetales.",M37="X"),O37+Z37,0)</f>
        <v>0</v>
      </c>
      <c r="ET37" s="247">
        <f>IF(AND(Stamoplysninger!$B$26="Weekendtimer og weekendtillæg udbetales.",M37="X"),(O37+Z37)/2,0)</f>
        <v>0</v>
      </c>
      <c r="EU37" s="665">
        <f>IF(AND(AND(Stamoplysninger!$B$26="Weekendtimer og weekendtillæg udbetales.",M37="X",G37="ikke relevant")),O37+Z37,0)</f>
        <v>0</v>
      </c>
      <c r="EV37" s="666">
        <f>IF(AND(AND(Stamoplysninger!$B$26="Weekendtimer og weekendtillæg udbetales.",M37="X",G37="ikke relevant")),(O37+Z37)/2,0)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weekendtimer(Kræver aftale med TR/FSL). Weekendtillæg udbetales.",M37="X"),O37*0.5,0)</f>
        <v>0</v>
      </c>
      <c r="FB37" s="247">
        <f>IF(AND(AND(Stamoplysninger!$B$26="Der er indgået lokalaftale omkring weekendtimer(Kræver aftale med TR/FSL). Weekendtillæg udbetales.",M37="X",W37="X")),Z37*0.5,0)</f>
        <v>0</v>
      </c>
      <c r="FC37" s="665">
        <f>IF(AND(AND(Stamoplysninger!$B$26="Der er indgået lokalaftale omkring weekendtimer(Kræver aftale med TR/FSL). Weekendtillæg udbetales.",M37="X",G37="ikke relevant")),O37*0.5,0)</f>
        <v>0</v>
      </c>
      <c r="FD37" s="666">
        <f>IF(AND(AND(AND(Stamoplysninger!$B$26="Der er indgået lokalaftale omkring weekendtimer(Kræver aftale med TR/FSL). Weekendtillæg udbetales.",M37="X",G37="ikke relevant",W37="X"))),(Z37*0.5),0)</f>
        <v>0</v>
      </c>
      <c r="FE37" s="279">
        <f>IF(AND(Stamoplysninger!$B$26="Der er indgået lokalaftale omkring weekendtimer(Kræver aftale med TR/FSL). Weekendtillæg udbetales.",Q37="X"),S37*0.5,0)</f>
        <v>0</v>
      </c>
      <c r="FF37" s="247">
        <f>IF(AND(AND(Stamoplysninger!$B$26="Der er indgået lokalaftale omkring weekendtimer(Kræver aftale med TR/FSL). Weekendtillæg udbetales.",Q37="X",AA37="X")),AD37*0.5,0)</f>
        <v>0</v>
      </c>
      <c r="FG37" s="665">
        <f>IF(AND(AND(Stamoplysninger!$B$26="Der er indgået lokalaftale omkring weekendtimer(Kræver aftale med TR/FSL). Weekendtillæg udbetales.",Q37="X",K37="ikke relevant")),S37*0.5,0)</f>
        <v>0</v>
      </c>
      <c r="FH37" s="666">
        <f>IF(AND(AND(AND(Stamoplysninger!$B$26="Der er indgået lokalaftale omkring weekendtimer(Kræver aftale med TR/FSL). Weekendtillæg udbetales.",Q37="X",K37="ikke relevant",AA37="X"))),(AD37*0.5),0)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si="13"/>
        <v>0</v>
      </c>
      <c r="FT37" s="649">
        <f t="shared" si="14"/>
        <v>0</v>
      </c>
      <c r="FU37">
        <f t="shared" si="31"/>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ht="17" thickBot="1">
      <c r="A38" s="987" t="s">
        <v>260</v>
      </c>
      <c r="B38" s="988"/>
      <c r="C38" s="988"/>
      <c r="D38" s="988"/>
      <c r="E38" s="988"/>
      <c r="F38" s="988"/>
      <c r="G38" s="988"/>
      <c r="H38" s="988"/>
      <c r="I38" s="989"/>
      <c r="J38" s="308"/>
      <c r="K38" s="316"/>
      <c r="L38" s="316"/>
      <c r="M38" s="316"/>
      <c r="N38" s="317">
        <f>SUM(N9:N37)</f>
        <v>0</v>
      </c>
      <c r="O38" s="317">
        <f>SUM(O9:O37)</f>
        <v>0</v>
      </c>
      <c r="P38" s="317">
        <f>SUM(P9:P37)</f>
        <v>0</v>
      </c>
      <c r="Q38" s="317">
        <f>SUM(Q9:Q37)</f>
        <v>0</v>
      </c>
      <c r="R38"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f>
        <v>0</v>
      </c>
      <c r="S38" s="319"/>
      <c r="T38" s="320"/>
      <c r="U38" s="320"/>
      <c r="V38"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f>
        <v>0</v>
      </c>
      <c r="W38"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f>
        <v>0</v>
      </c>
      <c r="X38"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f>
        <v>0</v>
      </c>
      <c r="Y38" s="427">
        <f>Y9+Y10+Y11+Y12+Y13+Y14+Y15+Y16+Y17+Y18+Y19+Y20+Y21+Y22+Y23+Y24+Y25+Y26+Y27+Y28+Y29+Y30+Y31+Y32+Y33+Y34+Y35+Y36+Y37</f>
        <v>0</v>
      </c>
      <c r="Z38" s="427">
        <f>Z9+Z10+Z11+Z12+Z13+Z14+Z15+Z16+Z17+Z18+Z19+Z20+Z21+Z22+Z23+Z24+Z25+Z26+Z27+Z28+Z29+Z30+Z31+Z32+Z33+Z34+Z35+Z36+Z37</f>
        <v>0</v>
      </c>
      <c r="AA38" s="231">
        <f t="shared" ref="AA38:AF38" si="33">SUM(AA9:AA37)</f>
        <v>0</v>
      </c>
      <c r="AB38" s="231">
        <f t="shared" si="33"/>
        <v>0</v>
      </c>
      <c r="AC38" s="231">
        <f t="shared" si="33"/>
        <v>0</v>
      </c>
      <c r="AD38" s="231">
        <f t="shared" si="33"/>
        <v>0</v>
      </c>
      <c r="AE38" s="231">
        <f t="shared" si="33"/>
        <v>0</v>
      </c>
      <c r="AF38" s="231">
        <f t="shared" si="33"/>
        <v>0</v>
      </c>
      <c r="BA38" s="1">
        <f>SUM(BA9:BA37)</f>
        <v>0</v>
      </c>
      <c r="BB38" s="111"/>
      <c r="BC38" s="231">
        <f>SUM(BC9:BC37)</f>
        <v>0</v>
      </c>
      <c r="BD38" s="231">
        <f>SUM(BD9:BD37)</f>
        <v>0</v>
      </c>
      <c r="BE38" s="231">
        <f>SUM(BE9:BE37)</f>
        <v>0</v>
      </c>
      <c r="BF38" s="231">
        <f>SUM(BF9:BF37)</f>
        <v>0</v>
      </c>
      <c r="CA38" s="231">
        <f>SUM(CA9:CA37)</f>
        <v>0</v>
      </c>
      <c r="CB38" s="231">
        <f>SUM(CB9:CB37)</f>
        <v>0</v>
      </c>
      <c r="CC38" s="231">
        <f>SUM(CC9:CC37)</f>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2",B38="to"),Skemaoplysninger!$T$31,"")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 t="shared" ref="CX38:DG38" si="34">SUM(CX9:CX37)</f>
        <v>0</v>
      </c>
      <c r="CY38" s="245">
        <f t="shared" si="34"/>
        <v>0</v>
      </c>
      <c r="CZ38" s="245">
        <f t="shared" si="34"/>
        <v>0</v>
      </c>
      <c r="DA38" s="245">
        <f t="shared" si="34"/>
        <v>0</v>
      </c>
      <c r="DB38" s="245">
        <f t="shared" si="34"/>
        <v>0</v>
      </c>
      <c r="DC38" s="245">
        <f t="shared" si="34"/>
        <v>0</v>
      </c>
      <c r="DD38" s="245">
        <f t="shared" si="34"/>
        <v>0</v>
      </c>
      <c r="DE38" s="245">
        <f t="shared" si="34"/>
        <v>0</v>
      </c>
      <c r="DF38" s="245">
        <f t="shared" si="34"/>
        <v>0</v>
      </c>
      <c r="DG38" s="245">
        <f t="shared" si="34"/>
        <v>0</v>
      </c>
      <c r="DH38" t="str">
        <f t="shared" si="27"/>
        <v/>
      </c>
      <c r="DI38">
        <f>IF(H38="",E38,"")</f>
        <v>0</v>
      </c>
      <c r="DJ38">
        <f>IF(E38="",H38,"")</f>
        <v>0</v>
      </c>
      <c r="DK38" t="str">
        <f t="shared" si="32"/>
        <v/>
      </c>
      <c r="DL38" t="str">
        <f t="shared" si="32"/>
        <v/>
      </c>
      <c r="DM38" t="str">
        <f t="shared" si="32"/>
        <v/>
      </c>
      <c r="DN38" t="str">
        <f>DK38&amp;""&amp;DL38&amp;""&amp;DM38</f>
        <v/>
      </c>
      <c r="DO38" s="643"/>
      <c r="DS38" s="662"/>
      <c r="DT38" s="662"/>
      <c r="DU38" s="662"/>
      <c r="DV38" s="663"/>
      <c r="DW38" s="643"/>
      <c r="DZ38" s="662"/>
      <c r="EA38" s="662"/>
      <c r="EB38" s="663"/>
      <c r="EC38" s="643"/>
      <c r="EG38" s="662"/>
      <c r="EH38" s="662"/>
      <c r="EI38" s="662"/>
      <c r="EJ38" s="662"/>
      <c r="EK38" s="279"/>
      <c r="EL38" s="247"/>
      <c r="EM38" s="665"/>
      <c r="EN38" s="666"/>
      <c r="EO38" s="279"/>
      <c r="EP38" s="247"/>
      <c r="EQ38" s="665"/>
      <c r="ER38" s="666"/>
      <c r="ES38" s="279"/>
      <c r="ET38" s="247"/>
      <c r="EU38" s="665"/>
      <c r="EV38" s="666"/>
      <c r="EW38" s="279"/>
      <c r="EX38" s="247"/>
      <c r="EY38" s="665"/>
      <c r="EZ38" s="666"/>
      <c r="FA38" s="279"/>
      <c r="FB38" s="247"/>
      <c r="FC38" s="665"/>
      <c r="FD38" s="666"/>
      <c r="FE38" s="279"/>
      <c r="FF38" s="247"/>
      <c r="FG38" s="665"/>
      <c r="FH38" s="666"/>
      <c r="FI38" s="279"/>
      <c r="FJ38" s="247"/>
      <c r="FK38" s="665"/>
      <c r="FL38" s="666"/>
      <c r="FM38" s="279"/>
      <c r="FN38" s="665"/>
      <c r="FO38" s="279"/>
      <c r="FP38" s="247"/>
      <c r="FQ38" s="665"/>
      <c r="FR38" s="679"/>
      <c r="FS38" s="279"/>
      <c r="FT38" s="649"/>
      <c r="FV38" s="279"/>
      <c r="FW38" s="665"/>
      <c r="FX38" s="279"/>
      <c r="FY38" s="665"/>
      <c r="FZ38" s="279"/>
      <c r="GA38" s="665"/>
      <c r="GB38" s="279"/>
      <c r="GC38" s="665"/>
    </row>
    <row r="39" spans="1:185" ht="26" thickBot="1">
      <c r="A39" s="229"/>
      <c r="B39" s="229"/>
      <c r="C39" s="229"/>
      <c r="D39" s="229"/>
      <c r="E39" s="229"/>
      <c r="F39" s="229"/>
      <c r="G39" s="229"/>
      <c r="H39" s="229"/>
      <c r="I39" s="229"/>
      <c r="J39" s="229"/>
      <c r="K39" s="235"/>
      <c r="L39" s="235"/>
      <c r="M39" s="213"/>
      <c r="N39" s="213"/>
      <c r="O39" s="213"/>
      <c r="P39" s="213"/>
      <c r="Q39" s="213"/>
      <c r="R39" s="213"/>
      <c r="S39" s="441"/>
      <c r="T39" s="441"/>
      <c r="U39" s="441"/>
      <c r="V39" s="441"/>
      <c r="W39" s="441"/>
      <c r="X39" s="441"/>
      <c r="Y39" s="441"/>
      <c r="Z39" s="441"/>
      <c r="AA39" s="442"/>
      <c r="AB39" s="210"/>
      <c r="AC39" s="210"/>
      <c r="AD39" s="231"/>
      <c r="AE39" s="231"/>
      <c r="AF39" s="231"/>
      <c r="AG39" s="231"/>
      <c r="BC39" s="231"/>
      <c r="BD39" s="231"/>
      <c r="BE39" s="231"/>
      <c r="BF39" s="231"/>
      <c r="BG39" s="111"/>
      <c r="CB39" s="231"/>
      <c r="CC39" s="231"/>
      <c r="CD39" s="111"/>
      <c r="CX39" s="244"/>
      <c r="CZ39"/>
      <c r="DH39" t="str">
        <f t="shared" si="27"/>
        <v/>
      </c>
      <c r="DK39" t="str">
        <f>IF(DH39=0,"",DH39)</f>
        <v/>
      </c>
      <c r="DL39" t="str">
        <f>IF(DI39=0,"",DI39)</f>
        <v/>
      </c>
      <c r="DM39" t="str">
        <f>IF(DJ39=0,"",DJ39)</f>
        <v/>
      </c>
      <c r="DN39" t="str">
        <f t="shared" si="30"/>
        <v/>
      </c>
      <c r="DO39" s="643"/>
      <c r="DS39" s="662"/>
      <c r="DT39" s="662"/>
      <c r="DU39" s="662"/>
      <c r="DV39" s="663"/>
      <c r="DW39" s="643"/>
      <c r="DZ39" s="662"/>
      <c r="EA39" s="662"/>
      <c r="EB39" s="663"/>
      <c r="EC39" s="643"/>
      <c r="EG39" s="662"/>
      <c r="EH39" s="662"/>
      <c r="EI39" s="662"/>
      <c r="EJ39" s="662"/>
      <c r="EK39" s="279"/>
      <c r="EL39" s="247"/>
      <c r="EM39" s="665"/>
      <c r="EN39" s="666"/>
      <c r="EO39" s="279"/>
      <c r="EP39" s="247"/>
      <c r="EQ39" s="665"/>
      <c r="ER39" s="666"/>
      <c r="ES39" s="279"/>
      <c r="ET39" s="247"/>
      <c r="EU39" s="665"/>
      <c r="EV39" s="666"/>
      <c r="EW39" s="279"/>
      <c r="EX39" s="247"/>
      <c r="EY39" s="665"/>
      <c r="EZ39" s="666"/>
      <c r="FA39" s="279"/>
      <c r="FB39" s="247"/>
      <c r="FC39" s="665"/>
      <c r="FD39" s="666"/>
      <c r="FE39" s="279"/>
      <c r="FF39" s="247"/>
      <c r="FG39" s="665"/>
      <c r="FH39" s="666"/>
      <c r="FI39" s="279"/>
      <c r="FJ39" s="247"/>
      <c r="FK39" s="665"/>
      <c r="FL39" s="666"/>
      <c r="FM39" s="279"/>
      <c r="FN39" s="665"/>
      <c r="FO39" s="279"/>
      <c r="FP39" s="247"/>
      <c r="FQ39" s="665"/>
      <c r="FR39" s="679"/>
      <c r="FS39" s="279"/>
      <c r="FT39" s="649"/>
      <c r="FV39" s="279"/>
      <c r="FW39" s="665"/>
      <c r="FX39" s="279"/>
      <c r="FY39" s="665"/>
      <c r="FZ39" s="279"/>
      <c r="GA39" s="665"/>
      <c r="GB39" s="279"/>
      <c r="GC39" s="665"/>
    </row>
    <row r="40" spans="1:185" ht="70" customHeight="1" thickBot="1">
      <c r="A40" s="973" t="str">
        <f>"Arbejdstid for "&amp;A7&amp;" måned:"</f>
        <v>Arbejdstid for Februar måned:</v>
      </c>
      <c r="B40" s="974"/>
      <c r="C40" s="974"/>
      <c r="D40" s="974"/>
      <c r="E40" s="974"/>
      <c r="F40" s="974"/>
      <c r="G40" s="974"/>
      <c r="H40" s="325" t="s">
        <v>255</v>
      </c>
      <c r="I40" s="974" t="s">
        <v>221</v>
      </c>
      <c r="J40" s="975"/>
      <c r="K40" s="976"/>
      <c r="L40" s="258"/>
      <c r="M40" s="1026" t="str">
        <f>"Ulempetimer og weekendtimer i "&amp;A5&amp;""</f>
        <v>Ulempetimer og weekendtimer i Februar måneds kalender for: . Måneden vedr. normperioden:  - .</v>
      </c>
      <c r="N40" s="1004"/>
      <c r="O40" s="1004"/>
      <c r="P40" s="1004"/>
      <c r="Q40" s="1004"/>
      <c r="R40" s="1004"/>
      <c r="S40" s="1004"/>
      <c r="T40" s="1004"/>
      <c r="U40" s="1004"/>
      <c r="V40" s="1004"/>
      <c r="W40" s="1004"/>
      <c r="X40" s="1005"/>
      <c r="Y40" s="235"/>
      <c r="Z40"/>
      <c r="AC40" s="89"/>
      <c r="AD40" s="89"/>
      <c r="BL40" s="1"/>
      <c r="CI40" s="1"/>
      <c r="CT40" s="244"/>
      <c r="CU40" s="244"/>
      <c r="CY40"/>
      <c r="CZ40"/>
      <c r="DO40" s="660">
        <f>SUM(DO9:DO39)</f>
        <v>0</v>
      </c>
      <c r="DP40" s="661">
        <f t="shared" ref="DP40:GC40" si="35">SUM(DP9:DP39)</f>
        <v>0</v>
      </c>
      <c r="DQ40" s="661">
        <f>SUM(DQ9:DQ39)</f>
        <v>0</v>
      </c>
      <c r="DR40" s="661">
        <f t="shared" si="35"/>
        <v>0</v>
      </c>
      <c r="DS40" s="664">
        <f t="shared" si="35"/>
        <v>0</v>
      </c>
      <c r="DT40" s="664">
        <f t="shared" si="35"/>
        <v>0</v>
      </c>
      <c r="DU40" s="661">
        <f t="shared" si="35"/>
        <v>0</v>
      </c>
      <c r="DV40" s="664">
        <f t="shared" si="35"/>
        <v>0</v>
      </c>
      <c r="DW40" s="660">
        <f t="shared" ref="DW40:EB40" si="36">SUM(DW9:DW39)</f>
        <v>0</v>
      </c>
      <c r="DX40" s="661">
        <f t="shared" si="36"/>
        <v>0</v>
      </c>
      <c r="DY40" s="661">
        <f t="shared" si="36"/>
        <v>0</v>
      </c>
      <c r="DZ40" s="664">
        <f t="shared" si="36"/>
        <v>0</v>
      </c>
      <c r="EA40" s="664">
        <f t="shared" si="36"/>
        <v>0</v>
      </c>
      <c r="EB40" s="664">
        <f t="shared" si="36"/>
        <v>0</v>
      </c>
      <c r="EC40" s="661">
        <f t="shared" si="35"/>
        <v>0</v>
      </c>
      <c r="ED40" s="661">
        <f t="shared" si="35"/>
        <v>0</v>
      </c>
      <c r="EE40" s="661">
        <f t="shared" si="35"/>
        <v>0</v>
      </c>
      <c r="EF40" s="661">
        <f>SUM(EF9:EF39)</f>
        <v>0</v>
      </c>
      <c r="EG40" s="664">
        <f t="shared" si="35"/>
        <v>0</v>
      </c>
      <c r="EH40" s="664">
        <f t="shared" si="35"/>
        <v>0</v>
      </c>
      <c r="EI40" s="664">
        <f t="shared" si="35"/>
        <v>0</v>
      </c>
      <c r="EJ40" s="664">
        <f>SUM(EJ9:EJ39)</f>
        <v>0</v>
      </c>
      <c r="EK40" s="661">
        <f t="shared" si="35"/>
        <v>0</v>
      </c>
      <c r="EL40" s="661">
        <f>SUM(EL9:EL39)</f>
        <v>0</v>
      </c>
      <c r="EM40" s="664">
        <f t="shared" si="35"/>
        <v>0</v>
      </c>
      <c r="EN40" s="664">
        <f t="shared" si="35"/>
        <v>0</v>
      </c>
      <c r="EO40" s="661">
        <f t="shared" si="35"/>
        <v>0</v>
      </c>
      <c r="EP40" s="661">
        <f t="shared" si="35"/>
        <v>0</v>
      </c>
      <c r="EQ40" s="664">
        <f t="shared" si="35"/>
        <v>0</v>
      </c>
      <c r="ER40" s="667">
        <f t="shared" si="35"/>
        <v>0</v>
      </c>
      <c r="ES40" s="661">
        <f t="shared" ref="ES40:FH40" si="37">SUM(ES9:ES39)</f>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5"/>
        <v>0</v>
      </c>
      <c r="FJ40" s="661">
        <f t="shared" si="35"/>
        <v>0</v>
      </c>
      <c r="FK40" s="676">
        <f t="shared" si="35"/>
        <v>0</v>
      </c>
      <c r="FL40" s="664">
        <f t="shared" si="35"/>
        <v>0</v>
      </c>
      <c r="FM40" s="676">
        <f t="shared" si="35"/>
        <v>0</v>
      </c>
      <c r="FN40" s="676">
        <f t="shared" si="35"/>
        <v>0</v>
      </c>
      <c r="FO40" s="676">
        <f t="shared" si="35"/>
        <v>0</v>
      </c>
      <c r="FP40" s="661">
        <f t="shared" si="35"/>
        <v>0</v>
      </c>
      <c r="FQ40" s="676">
        <f t="shared" si="35"/>
        <v>0</v>
      </c>
      <c r="FR40" s="667">
        <f t="shared" si="35"/>
        <v>0</v>
      </c>
      <c r="FS40" s="680">
        <f t="shared" si="35"/>
        <v>0</v>
      </c>
      <c r="FT40" s="681">
        <f t="shared" si="35"/>
        <v>0</v>
      </c>
      <c r="FU40" s="681">
        <f t="shared" si="35"/>
        <v>0</v>
      </c>
      <c r="FV40" s="680">
        <f>SUM(FV9:FV39)</f>
        <v>0</v>
      </c>
      <c r="FW40" s="681">
        <f t="shared" si="35"/>
        <v>0</v>
      </c>
      <c r="FX40" s="680">
        <f t="shared" si="35"/>
        <v>0</v>
      </c>
      <c r="FY40" s="681">
        <f t="shared" si="35"/>
        <v>0</v>
      </c>
      <c r="FZ40" s="676">
        <f t="shared" si="35"/>
        <v>0</v>
      </c>
      <c r="GA40" s="676">
        <f t="shared" si="35"/>
        <v>0</v>
      </c>
      <c r="GB40" s="676">
        <f t="shared" si="35"/>
        <v>0</v>
      </c>
      <c r="GC40" s="676">
        <f t="shared" si="35"/>
        <v>0</v>
      </c>
    </row>
    <row r="41" spans="1:185">
      <c r="A41" s="977" t="s">
        <v>528</v>
      </c>
      <c r="B41" s="978"/>
      <c r="C41" s="978"/>
      <c r="D41" s="978"/>
      <c r="E41" s="978"/>
      <c r="F41" s="978"/>
      <c r="G41" s="978"/>
      <c r="H41" s="252">
        <f>D76</f>
        <v>20</v>
      </c>
      <c r="I41" s="990">
        <f>IF(Stamoplysninger!$E$12="Ja",1924/Arbejdstidsoversigt!$K$9*Stamoplysninger!$E$15*H41,H41*7.4*Stamoplysninger!$E$15)</f>
        <v>147.43295019157088</v>
      </c>
      <c r="J41" s="991"/>
      <c r="K41" s="992"/>
      <c r="L41" s="254"/>
      <c r="M41" s="1027" t="s">
        <v>311</v>
      </c>
      <c r="N41" s="1028"/>
      <c r="O41" s="1028"/>
      <c r="P41" s="1028"/>
      <c r="Q41" s="1028"/>
      <c r="R41" s="1028"/>
      <c r="S41" s="1028"/>
      <c r="T41" s="1028"/>
      <c r="U41" s="1029"/>
      <c r="V41" s="1108">
        <f>P63+P67+P70+P72</f>
        <v>0</v>
      </c>
      <c r="W41" s="1108"/>
      <c r="X41" s="1109"/>
      <c r="Y41" s="235"/>
      <c r="Z41"/>
      <c r="AC41" s="89"/>
      <c r="AD41" s="89"/>
      <c r="BL41" s="1"/>
      <c r="CI41" s="1"/>
      <c r="CT41" s="244"/>
      <c r="CU41" s="244"/>
      <c r="CY41"/>
      <c r="CZ41"/>
    </row>
    <row r="42" spans="1:185">
      <c r="A42" s="977" t="str">
        <f>"Ferie "&amp;A7&amp;" måned"</f>
        <v>Ferie Februar måned</v>
      </c>
      <c r="B42" s="978"/>
      <c r="C42" s="978"/>
      <c r="D42" s="978"/>
      <c r="E42" s="978"/>
      <c r="F42" s="978"/>
      <c r="G42" s="978"/>
      <c r="H42" s="253" t="str">
        <f>IF(D71&gt;0,$D$71,"0")</f>
        <v>0</v>
      </c>
      <c r="I42" s="979">
        <f>H42*7.4*Stamoplysninger!$E$15</f>
        <v>0</v>
      </c>
      <c r="J42" s="980"/>
      <c r="K42" s="981"/>
      <c r="L42" s="254"/>
      <c r="M42" s="1033" t="s">
        <v>259</v>
      </c>
      <c r="N42" s="1034"/>
      <c r="O42" s="1034"/>
      <c r="P42" s="1034"/>
      <c r="Q42" s="1034"/>
      <c r="R42" s="1034"/>
      <c r="S42" s="1034"/>
      <c r="T42" s="1034"/>
      <c r="U42" s="1035"/>
      <c r="V42" s="1110">
        <f>Q64+Q66+Q69+Q71</f>
        <v>0</v>
      </c>
      <c r="W42" s="1110"/>
      <c r="X42" s="1111"/>
      <c r="Y42" s="235"/>
      <c r="Z42"/>
      <c r="AC42" s="89"/>
      <c r="AD42" s="89"/>
      <c r="BL42" s="1"/>
      <c r="CI42" s="1"/>
      <c r="CT42" s="244"/>
      <c r="CU42" s="244"/>
      <c r="CY42"/>
      <c r="CZ42"/>
    </row>
    <row r="43" spans="1:185">
      <c r="A43" s="977" t="str">
        <f>"Søgnehelligdage i "&amp;A7&amp;" måned"</f>
        <v>Søgnehelligdage i Februar måned</v>
      </c>
      <c r="B43" s="978"/>
      <c r="C43" s="978"/>
      <c r="D43" s="978"/>
      <c r="E43" s="978"/>
      <c r="F43" s="978"/>
      <c r="G43" s="978"/>
      <c r="H43" s="253">
        <f>IF(D70&gt;0,D70,0)</f>
        <v>0</v>
      </c>
      <c r="I43" s="979">
        <f>H43*7.4*Stamoplysninger!$E$15</f>
        <v>0</v>
      </c>
      <c r="J43" s="980"/>
      <c r="K43" s="981"/>
      <c r="L43" s="255"/>
      <c r="M43" s="1143" t="s">
        <v>295</v>
      </c>
      <c r="N43" s="1144"/>
      <c r="O43" s="1144"/>
      <c r="P43" s="1144"/>
      <c r="Q43" s="1144"/>
      <c r="R43" s="1144"/>
      <c r="S43" s="1144"/>
      <c r="T43" s="1144"/>
      <c r="U43" s="1145"/>
      <c r="V43" s="1148">
        <f>Januar!V53</f>
        <v>0</v>
      </c>
      <c r="W43" s="1149"/>
      <c r="X43" s="1150"/>
      <c r="Y43" s="235"/>
      <c r="Z43"/>
      <c r="AC43" s="89"/>
      <c r="AD43" s="89"/>
      <c r="BL43" s="1"/>
      <c r="CI43" s="1"/>
      <c r="CT43" s="244"/>
      <c r="CU43" s="244"/>
      <c r="CY43"/>
      <c r="CZ43"/>
    </row>
    <row r="44" spans="1:185">
      <c r="A44" s="977" t="str">
        <f>"Nettoarbejdstid ialt i "&amp;A7&amp;" måned"</f>
        <v>Nettoarbejdstid ialt i Februar måned</v>
      </c>
      <c r="B44" s="978"/>
      <c r="C44" s="978"/>
      <c r="D44" s="978"/>
      <c r="E44" s="978"/>
      <c r="F44" s="978"/>
      <c r="G44" s="978"/>
      <c r="H44" s="256">
        <f>H41-H42-H43</f>
        <v>20</v>
      </c>
      <c r="I44" s="979">
        <f>I41-I42-I43</f>
        <v>147.43295019157088</v>
      </c>
      <c r="J44" s="980"/>
      <c r="K44" s="981"/>
      <c r="L44" s="255"/>
      <c r="M44" s="1041" t="s">
        <v>301</v>
      </c>
      <c r="N44" s="1042"/>
      <c r="O44" s="1042"/>
      <c r="P44" s="1042"/>
      <c r="Q44" s="1042"/>
      <c r="R44" s="1042"/>
      <c r="S44" s="1042"/>
      <c r="T44" s="1042"/>
      <c r="U44" s="1043"/>
      <c r="V44" s="1044">
        <f>V42+V43</f>
        <v>0</v>
      </c>
      <c r="W44" s="1045"/>
      <c r="X44" s="1151"/>
      <c r="Y44" s="235"/>
      <c r="Z44"/>
      <c r="AC44" s="89"/>
      <c r="AD44" s="89"/>
      <c r="BL44" s="1"/>
      <c r="CI44" s="1"/>
      <c r="CT44" s="244"/>
      <c r="CU44" s="244"/>
      <c r="CY44"/>
      <c r="CZ44"/>
    </row>
    <row r="45" spans="1:185">
      <c r="A45" s="993" t="str">
        <f>"Planlagt arbejdstid efter ovennstående "&amp;A7&amp;" måned kalender"</f>
        <v>Planlagt arbejdstid efter ovennstående Februar måned kalender</v>
      </c>
      <c r="B45" s="994"/>
      <c r="C45" s="994"/>
      <c r="D45" s="994"/>
      <c r="E45" s="994"/>
      <c r="F45" s="994"/>
      <c r="G45" s="994"/>
      <c r="H45" s="468">
        <f>D62+D63+D64+D65+D66+D67+D68</f>
        <v>15</v>
      </c>
      <c r="I45" s="995">
        <f>N38+R38+V104</f>
        <v>0</v>
      </c>
      <c r="J45" s="996"/>
      <c r="K45" s="997"/>
      <c r="L45" s="381"/>
      <c r="M45" s="1053" t="s">
        <v>293</v>
      </c>
      <c r="N45" s="1054"/>
      <c r="O45" s="1054"/>
      <c r="P45" s="1054"/>
      <c r="Q45" s="1054"/>
      <c r="R45" s="1054"/>
      <c r="S45" s="1054"/>
      <c r="T45" s="1054"/>
      <c r="U45" s="1054"/>
      <c r="V45" s="1054"/>
      <c r="W45" s="1054"/>
      <c r="X45" s="1146"/>
      <c r="Y45" s="235"/>
      <c r="Z45"/>
      <c r="AC45" s="89"/>
      <c r="AD45" s="89"/>
      <c r="BL45" s="1"/>
      <c r="CI45" s="1"/>
      <c r="CT45" s="244"/>
      <c r="CU45" s="244"/>
      <c r="CY45"/>
      <c r="CZ45"/>
    </row>
    <row r="46" spans="1:185">
      <c r="A46" s="1001" t="s">
        <v>451</v>
      </c>
      <c r="B46" s="1002"/>
      <c r="C46" s="1002"/>
      <c r="D46" s="1002"/>
      <c r="E46" s="1002"/>
      <c r="F46" s="1002"/>
      <c r="G46" s="1002"/>
      <c r="H46" s="1003"/>
      <c r="I46" s="998">
        <f>(FI40+FM40+FO40+FV40+FX40+FZ40+GB40)*-1+FK40+FN40+FQ40+FW40+FY40+GA40+GC40+FU40</f>
        <v>0</v>
      </c>
      <c r="J46" s="999"/>
      <c r="K46" s="1000"/>
      <c r="L46" s="382"/>
      <c r="M46" s="1056" t="s">
        <v>462</v>
      </c>
      <c r="N46" s="1057"/>
      <c r="O46" s="1057"/>
      <c r="P46" s="1057"/>
      <c r="Q46" s="1057"/>
      <c r="R46" s="1057"/>
      <c r="S46" s="1057"/>
      <c r="T46" s="1057"/>
      <c r="U46" s="1058"/>
      <c r="V46" s="1059" t="s">
        <v>221</v>
      </c>
      <c r="W46" s="1060"/>
      <c r="X46" s="1147"/>
      <c r="Y46" s="235"/>
      <c r="Z46"/>
      <c r="AC46" s="89"/>
      <c r="AD46" s="89"/>
      <c r="BL46" s="1"/>
      <c r="CI46" s="1"/>
      <c r="CT46" s="244"/>
      <c r="CU46" s="244"/>
      <c r="CY46"/>
      <c r="CZ46"/>
    </row>
    <row r="47" spans="1:185">
      <c r="A47" s="1020" t="str">
        <f>"Arbejde særligt planlagt for "&amp;A7&amp;" måned efter fanen skemaoplysninger"</f>
        <v>Arbejde særligt planlagt for Februar måned efter fanen skemaoplysninger</v>
      </c>
      <c r="B47" s="1021"/>
      <c r="C47" s="1021"/>
      <c r="D47" s="1021"/>
      <c r="E47" s="1021"/>
      <c r="F47" s="1021"/>
      <c r="G47" s="1021"/>
      <c r="H47" s="1022"/>
      <c r="I47" s="996">
        <f>Skemaoplysninger!Q91</f>
        <v>0</v>
      </c>
      <c r="J47" s="1018"/>
      <c r="K47" s="1019"/>
      <c r="L47" s="237"/>
      <c r="M47" s="882"/>
      <c r="N47" s="883"/>
      <c r="O47" s="883"/>
      <c r="P47" s="883"/>
      <c r="Q47" s="883"/>
      <c r="R47" s="883"/>
      <c r="S47" s="883"/>
      <c r="T47" s="883"/>
      <c r="U47" s="884"/>
      <c r="V47" s="1062"/>
      <c r="W47" s="1062"/>
      <c r="X47" s="1063"/>
      <c r="Y47" s="235"/>
      <c r="Z47" s="235"/>
      <c r="AE47" s="89"/>
      <c r="AG47" s="89"/>
      <c r="AZ47" s="235"/>
      <c r="BN47" s="1"/>
      <c r="CK47" s="1"/>
      <c r="CU47" s="244"/>
      <c r="CV47" s="244"/>
      <c r="CY47"/>
      <c r="CZ47"/>
    </row>
    <row r="48" spans="1:185">
      <c r="A48" s="982" t="s">
        <v>291</v>
      </c>
      <c r="B48" s="983"/>
      <c r="C48" s="983"/>
      <c r="D48" s="983"/>
      <c r="E48" s="983"/>
      <c r="F48" s="983"/>
      <c r="G48" s="983"/>
      <c r="H48" s="983"/>
      <c r="I48" s="984">
        <f>V38+X38-FS40+R104</f>
        <v>0</v>
      </c>
      <c r="J48" s="985"/>
      <c r="K48" s="986"/>
      <c r="L48" s="237"/>
      <c r="M48" s="882"/>
      <c r="N48" s="883"/>
      <c r="O48" s="883"/>
      <c r="P48" s="883"/>
      <c r="Q48" s="883"/>
      <c r="R48" s="883"/>
      <c r="S48" s="883"/>
      <c r="T48" s="883"/>
      <c r="U48" s="884"/>
      <c r="V48" s="885"/>
      <c r="W48" s="886"/>
      <c r="X48" s="887"/>
      <c r="Y48" s="235"/>
      <c r="Z48" s="235"/>
      <c r="AD48" s="89"/>
      <c r="AE48" s="89"/>
      <c r="BM48" s="1"/>
      <c r="CJ48" s="1"/>
      <c r="CU48" s="244"/>
      <c r="CV48" s="244"/>
      <c r="CY48"/>
      <c r="CZ48"/>
    </row>
    <row r="49" spans="1:110" ht="17" thickBot="1">
      <c r="A49" s="257" t="str">
        <f>"Faktisk arbejdstid ialt i "&amp;A7&amp;" måned"</f>
        <v>Faktisk arbejdstid ialt i Februar måned</v>
      </c>
      <c r="B49" s="309"/>
      <c r="C49" s="310"/>
      <c r="D49" s="310"/>
      <c r="E49" s="310"/>
      <c r="F49" s="310"/>
      <c r="G49" s="310"/>
      <c r="H49" s="311"/>
      <c r="I49" s="1023">
        <f>I45+I48+I47+I46</f>
        <v>0</v>
      </c>
      <c r="J49" s="1024"/>
      <c r="K49" s="1025"/>
      <c r="L49" s="237"/>
      <c r="M49" s="882"/>
      <c r="N49" s="883"/>
      <c r="O49" s="883"/>
      <c r="P49" s="883"/>
      <c r="Q49" s="883"/>
      <c r="R49" s="883"/>
      <c r="S49" s="883"/>
      <c r="T49" s="883"/>
      <c r="U49" s="884"/>
      <c r="V49" s="885"/>
      <c r="W49" s="886"/>
      <c r="X49" s="887"/>
      <c r="Y49" s="235"/>
      <c r="Z49" s="213"/>
      <c r="AA49" s="243"/>
      <c r="AB49" s="243"/>
      <c r="AC49" s="243"/>
      <c r="AD49" s="235"/>
      <c r="AF49" s="243"/>
      <c r="AG49" s="235"/>
      <c r="AH49" s="235"/>
      <c r="AL49" s="89"/>
      <c r="AM49" s="89"/>
      <c r="BT49" s="1"/>
      <c r="CQ49" s="1"/>
      <c r="CY49"/>
      <c r="CZ49"/>
      <c r="DB49" s="244"/>
      <c r="DC49" s="244"/>
    </row>
    <row r="50" spans="1:110" ht="17" thickBot="1">
      <c r="A50" s="251"/>
      <c r="B50" s="251"/>
      <c r="C50" s="251"/>
      <c r="D50" s="251"/>
      <c r="E50" s="251"/>
      <c r="F50" s="251"/>
      <c r="G50" s="251"/>
      <c r="H50" s="251"/>
      <c r="I50" s="514"/>
      <c r="J50" s="514"/>
      <c r="K50" s="514"/>
      <c r="L50" s="492"/>
      <c r="M50" s="882"/>
      <c r="N50" s="883"/>
      <c r="O50" s="883"/>
      <c r="P50" s="883"/>
      <c r="Q50" s="883"/>
      <c r="R50" s="883"/>
      <c r="S50" s="883"/>
      <c r="T50" s="883"/>
      <c r="U50" s="884"/>
      <c r="V50" s="885"/>
      <c r="W50" s="886"/>
      <c r="X50" s="887"/>
      <c r="Y50" s="235"/>
      <c r="Z50" s="235"/>
      <c r="AA50" s="235"/>
      <c r="AB50" s="235"/>
      <c r="AC50" s="213"/>
      <c r="AD50" s="243"/>
      <c r="AE50" s="243"/>
      <c r="AF50" s="243"/>
      <c r="AG50" s="243"/>
      <c r="AH50" s="235"/>
      <c r="AJ50" s="235"/>
      <c r="AK50" s="235"/>
      <c r="AO50" s="89"/>
      <c r="AP50" s="89"/>
      <c r="BW50" s="1"/>
      <c r="CT50" s="1"/>
      <c r="CY50"/>
      <c r="CZ50"/>
      <c r="DE50" s="244"/>
      <c r="DF50" s="244"/>
    </row>
    <row r="51" spans="1:110" ht="25" thickBot="1">
      <c r="A51" s="973" t="s">
        <v>478</v>
      </c>
      <c r="B51" s="974"/>
      <c r="C51" s="974"/>
      <c r="D51" s="974"/>
      <c r="E51" s="974"/>
      <c r="F51" s="974"/>
      <c r="G51" s="974"/>
      <c r="H51" s="698" t="s">
        <v>669</v>
      </c>
      <c r="I51" s="1133" t="s">
        <v>477</v>
      </c>
      <c r="J51" s="1133"/>
      <c r="K51" s="1134"/>
      <c r="L51" s="492"/>
      <c r="M51" s="1047" t="s">
        <v>294</v>
      </c>
      <c r="N51" s="1048"/>
      <c r="O51" s="1048"/>
      <c r="P51" s="1048"/>
      <c r="Q51" s="1048"/>
      <c r="R51" s="1048"/>
      <c r="S51" s="1048"/>
      <c r="T51" s="1048"/>
      <c r="U51" s="1049"/>
      <c r="V51" s="1096">
        <f>V44-SUM(V47:X50)</f>
        <v>0</v>
      </c>
      <c r="W51" s="1097"/>
      <c r="X51" s="1098"/>
      <c r="Y51" s="235"/>
      <c r="Z51" s="235"/>
      <c r="AA51" s="235"/>
      <c r="AB51" s="235"/>
      <c r="AC51" s="213"/>
      <c r="AD51" s="243"/>
      <c r="AE51" s="243"/>
      <c r="AF51" s="243"/>
      <c r="AG51" s="243"/>
      <c r="AH51" s="235"/>
      <c r="AJ51" s="235"/>
      <c r="AK51" s="235"/>
      <c r="AO51" s="89"/>
      <c r="AP51" s="89"/>
      <c r="BW51" s="1"/>
      <c r="CT51" s="1"/>
      <c r="CY51"/>
      <c r="CZ51"/>
      <c r="DE51" s="244"/>
      <c r="DF51" s="244"/>
    </row>
    <row r="52" spans="1:110" ht="16" customHeight="1">
      <c r="A52" s="1008"/>
      <c r="B52" s="1009"/>
      <c r="C52" s="1009"/>
      <c r="D52" s="1009"/>
      <c r="E52" s="1009"/>
      <c r="F52" s="1009"/>
      <c r="G52" s="1009"/>
      <c r="H52" s="597">
        <f>Januar!H62</f>
        <v>0</v>
      </c>
      <c r="I52" s="1099">
        <f>Januar!I62</f>
        <v>0</v>
      </c>
      <c r="J52" s="1099"/>
      <c r="K52" s="1100"/>
      <c r="L52" s="492"/>
      <c r="M52" s="515"/>
      <c r="N52" s="515"/>
      <c r="O52" s="515"/>
      <c r="P52" s="515"/>
      <c r="Q52" s="516"/>
      <c r="R52" s="517"/>
      <c r="S52" s="517"/>
      <c r="T52" s="517"/>
      <c r="U52" s="517"/>
      <c r="V52" s="515"/>
      <c r="W52" s="518"/>
      <c r="X52" s="515"/>
      <c r="Y52" s="235"/>
      <c r="Z52" s="235"/>
      <c r="AA52" s="235"/>
      <c r="AB52" s="235"/>
      <c r="AC52" s="213"/>
      <c r="AD52" s="243"/>
      <c r="AE52" s="243"/>
      <c r="AF52" s="243"/>
      <c r="AG52" s="243"/>
      <c r="AH52" s="235"/>
      <c r="AJ52" s="235"/>
      <c r="AK52" s="235"/>
      <c r="AO52" s="89"/>
      <c r="AP52" s="89"/>
      <c r="BW52" s="1"/>
      <c r="CT52" s="1"/>
      <c r="CY52"/>
      <c r="CZ52"/>
      <c r="DE52" s="244"/>
      <c r="DF52" s="244"/>
    </row>
    <row r="53" spans="1:110" ht="16" customHeight="1">
      <c r="A53" s="1084" t="s">
        <v>481</v>
      </c>
      <c r="B53" s="1085"/>
      <c r="C53" s="1085"/>
      <c r="D53" s="1085"/>
      <c r="E53" s="1085"/>
      <c r="F53" s="1085"/>
      <c r="G53" s="1086"/>
      <c r="H53" s="595"/>
      <c r="I53" s="1087"/>
      <c r="J53" s="1088"/>
      <c r="K53" s="1089"/>
      <c r="L53" s="492"/>
      <c r="M53" s="515"/>
      <c r="N53" s="515"/>
      <c r="O53" s="515"/>
      <c r="P53" s="515"/>
      <c r="Q53" s="516"/>
      <c r="R53" s="517"/>
      <c r="S53" s="517"/>
      <c r="T53" s="517"/>
      <c r="U53" s="517"/>
      <c r="V53" s="515"/>
      <c r="W53" s="518"/>
      <c r="X53" s="515"/>
      <c r="Y53" s="235"/>
      <c r="Z53" s="235"/>
      <c r="AA53" s="235"/>
      <c r="AB53" s="235"/>
      <c r="AC53" s="213"/>
      <c r="AD53" s="243"/>
      <c r="AE53" s="243"/>
      <c r="AF53" s="243"/>
      <c r="AG53" s="243"/>
      <c r="AH53" s="235"/>
      <c r="AJ53" s="235"/>
      <c r="AK53" s="235"/>
      <c r="AO53" s="89"/>
      <c r="AP53" s="89"/>
      <c r="BW53" s="1"/>
      <c r="CT53" s="1"/>
      <c r="CY53"/>
      <c r="CZ53"/>
      <c r="DE53" s="244"/>
      <c r="DF53" s="244"/>
    </row>
    <row r="54" spans="1:110" ht="37" customHeight="1">
      <c r="A54" s="879" t="s">
        <v>670</v>
      </c>
      <c r="B54" s="880"/>
      <c r="C54" s="880"/>
      <c r="D54" s="880"/>
      <c r="E54" s="880"/>
      <c r="F54" s="880"/>
      <c r="G54" s="880"/>
      <c r="H54" s="880"/>
      <c r="I54" s="880"/>
      <c r="J54" s="880"/>
      <c r="K54" s="881"/>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35" customHeight="1">
      <c r="A55" s="1010" t="s">
        <v>671</v>
      </c>
      <c r="B55" s="1011"/>
      <c r="C55" s="913" t="s">
        <v>509</v>
      </c>
      <c r="D55" s="914"/>
      <c r="E55" s="915" t="s">
        <v>510</v>
      </c>
      <c r="F55" s="880"/>
      <c r="G55" s="916"/>
      <c r="H55" s="925" t="s">
        <v>479</v>
      </c>
      <c r="I55" s="925"/>
      <c r="J55" s="925"/>
      <c r="K55" s="926"/>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c r="A56" s="917"/>
      <c r="B56" s="918"/>
      <c r="C56" s="921"/>
      <c r="D56" s="920"/>
      <c r="E56" s="922"/>
      <c r="F56" s="923"/>
      <c r="G56" s="924"/>
      <c r="H56" s="596"/>
      <c r="I56" s="911"/>
      <c r="J56" s="911"/>
      <c r="K56" s="912"/>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c r="A57" s="919"/>
      <c r="B57" s="920"/>
      <c r="C57" s="921"/>
      <c r="D57" s="920"/>
      <c r="E57" s="922"/>
      <c r="F57" s="923"/>
      <c r="G57" s="924"/>
      <c r="H57" s="596"/>
      <c r="I57" s="911"/>
      <c r="J57" s="911"/>
      <c r="K57" s="912"/>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919"/>
      <c r="B58" s="920"/>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ht="17" thickBot="1">
      <c r="A60" s="908" t="s">
        <v>480</v>
      </c>
      <c r="B60" s="909"/>
      <c r="C60" s="910"/>
      <c r="D60" s="910"/>
      <c r="E60" s="910"/>
      <c r="F60" s="910"/>
      <c r="G60" s="910"/>
      <c r="H60" s="598">
        <f>H53+H52-SUM(H56:H59)</f>
        <v>0</v>
      </c>
      <c r="I60" s="927">
        <f>I52+I53-SUM(I56:K59)</f>
        <v>0</v>
      </c>
      <c r="J60" s="928"/>
      <c r="K60" s="929"/>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hidden="1">
      <c r="A61" s="488"/>
      <c r="B61" s="488"/>
      <c r="C61" s="488"/>
      <c r="D61" s="488"/>
      <c r="E61" s="488"/>
      <c r="F61" s="488"/>
      <c r="G61" s="488"/>
      <c r="H61" s="444"/>
      <c r="I61" s="498"/>
      <c r="J61" s="498"/>
      <c r="K61" s="488"/>
      <c r="L61" s="650"/>
      <c r="M61" s="650"/>
      <c r="N61" s="650"/>
      <c r="O61" s="650"/>
      <c r="P61" s="650"/>
      <c r="Q61" s="516"/>
      <c r="R61" s="517"/>
      <c r="S61" s="517"/>
      <c r="T61" s="517"/>
      <c r="U61" s="517"/>
      <c r="V61" s="515" t="s">
        <v>570</v>
      </c>
      <c r="W61" s="518"/>
      <c r="X61" s="515"/>
      <c r="Y61"/>
      <c r="Z61" s="89"/>
      <c r="AA61" s="89"/>
      <c r="BH61" s="1"/>
      <c r="CE61" s="1"/>
      <c r="CP61" s="244"/>
      <c r="CQ61" s="244"/>
      <c r="CY61"/>
      <c r="CZ61"/>
    </row>
    <row r="62" spans="1:110" hidden="1">
      <c r="A62" s="490" t="s">
        <v>206</v>
      </c>
      <c r="B62" s="490"/>
      <c r="C62" s="490"/>
      <c r="D62" s="490">
        <f>COUNTIF([0]!Februar,"Skema 1")</f>
        <v>15</v>
      </c>
      <c r="E62" s="491"/>
      <c r="F62" s="490" t="s">
        <v>186</v>
      </c>
      <c r="G62" s="490">
        <f>COUNTIFS($B$9:$B$37,"ma",[0]!Februar,"Skema 1")</f>
        <v>3</v>
      </c>
      <c r="H62" s="122"/>
      <c r="I62" s="503"/>
      <c r="J62" s="650"/>
      <c r="K62" s="650"/>
      <c r="L62" s="503"/>
      <c r="M62" s="651"/>
      <c r="N62" s="650"/>
      <c r="O62" s="651"/>
      <c r="P62" s="669" t="s">
        <v>588</v>
      </c>
      <c r="Q62" s="671" t="s">
        <v>599</v>
      </c>
      <c r="R62" s="227"/>
      <c r="S62" s="227"/>
      <c r="T62" s="227"/>
      <c r="U62" s="227"/>
      <c r="V62" s="227"/>
      <c r="W62" s="117"/>
      <c r="X62" s="117"/>
      <c r="Y62"/>
      <c r="Z62" s="89"/>
      <c r="AA62" s="89"/>
      <c r="BH62" s="1"/>
      <c r="CE62" s="1"/>
      <c r="CP62" s="244"/>
      <c r="CQ62" s="244"/>
      <c r="CY62"/>
      <c r="CZ62"/>
    </row>
    <row r="63" spans="1:110" hidden="1">
      <c r="A63" s="1128" t="s">
        <v>207</v>
      </c>
      <c r="B63" s="1128"/>
      <c r="C63" s="1128"/>
      <c r="D63" s="490">
        <f>COUNTIF([0]!Februar,"Skema 2")</f>
        <v>0</v>
      </c>
      <c r="E63" s="491"/>
      <c r="F63" s="490" t="s">
        <v>187</v>
      </c>
      <c r="G63" s="490">
        <f>COUNTIFS($B$9:$B$37,"ti",[0]!Februar,"Skema 1")</f>
        <v>3</v>
      </c>
      <c r="H63" s="122"/>
      <c r="I63" s="503" t="s">
        <v>589</v>
      </c>
      <c r="J63" s="650"/>
      <c r="K63" s="503"/>
      <c r="L63" s="653"/>
      <c r="M63" s="651"/>
      <c r="N63" s="651"/>
      <c r="O63" s="654"/>
      <c r="P63" s="669">
        <f>IF(Stamoplysninger!$B$22="Ulempetillæg udbetales med 25% af nettotimelønnen.",SUM(DO40:DR40)-SUM(DS40:DV40),0)</f>
        <v>0</v>
      </c>
      <c r="Q63" s="671"/>
      <c r="R63" s="227"/>
      <c r="S63" s="227"/>
      <c r="T63" s="227"/>
      <c r="U63" s="227"/>
      <c r="V63" s="227"/>
      <c r="W63" s="117"/>
      <c r="X63" s="117"/>
      <c r="Y63"/>
      <c r="Z63" s="89"/>
      <c r="AA63" s="89"/>
      <c r="BH63" s="1"/>
      <c r="CE63" s="1"/>
      <c r="CP63" s="244"/>
      <c r="CQ63" s="244"/>
      <c r="CY63"/>
      <c r="CZ63"/>
    </row>
    <row r="64" spans="1:110" hidden="1">
      <c r="A64" s="1128" t="s">
        <v>208</v>
      </c>
      <c r="B64" s="1128"/>
      <c r="C64" s="1128"/>
      <c r="D64" s="490">
        <f>COUNTIF([0]!Februar,"Skema 3")</f>
        <v>0</v>
      </c>
      <c r="E64" s="491"/>
      <c r="F64" s="490" t="s">
        <v>188</v>
      </c>
      <c r="G64" s="490">
        <f>COUNTIFS($B$9:$B$37,"on",[0]!Februar,"Skema 1")</f>
        <v>3</v>
      </c>
      <c r="H64" s="490"/>
      <c r="I64" s="668" t="s">
        <v>590</v>
      </c>
      <c r="J64" s="650"/>
      <c r="K64" s="503"/>
      <c r="L64" s="653"/>
      <c r="M64" s="651"/>
      <c r="N64" s="651"/>
      <c r="O64" s="651"/>
      <c r="P64" s="669"/>
      <c r="Q64" s="671">
        <f>IF(Stamoplysninger!$B$22="Ulempetillæg afspadseres med 25%(Kræver en aftale imellem ledelsen og den ansatte)",EC40+ED40+EE40+EF40-EG40-EH40-EI40-EJ40,0)</f>
        <v>0</v>
      </c>
      <c r="R64" s="227"/>
      <c r="S64" s="227"/>
      <c r="T64" s="227"/>
      <c r="U64" s="227"/>
      <c r="V64" s="227"/>
      <c r="W64" s="117"/>
      <c r="X64" s="117"/>
      <c r="Y64"/>
      <c r="Z64" s="89"/>
      <c r="AA64" s="89"/>
      <c r="BH64" s="1"/>
      <c r="CE64" s="1"/>
      <c r="CP64" s="244"/>
      <c r="CQ64" s="244"/>
      <c r="CY64"/>
      <c r="CZ64"/>
    </row>
    <row r="65" spans="1:108" hidden="1">
      <c r="A65" s="1128" t="s">
        <v>209</v>
      </c>
      <c r="B65" s="1128"/>
      <c r="C65" s="1128"/>
      <c r="D65" s="490">
        <f>COUNTIF([0]!Februar,"Skema 4")</f>
        <v>0</v>
      </c>
      <c r="E65" s="491"/>
      <c r="F65" s="490" t="s">
        <v>190</v>
      </c>
      <c r="G65" s="490">
        <f>COUNTIFS($B$9:$B$37,"to",[0]!Februar,"Skema 1")</f>
        <v>3</v>
      </c>
      <c r="H65" s="490"/>
      <c r="I65" s="668" t="s">
        <v>591</v>
      </c>
      <c r="J65" s="650"/>
      <c r="K65" s="503"/>
      <c r="L65" s="653"/>
      <c r="M65" s="656"/>
      <c r="N65" s="656"/>
      <c r="O65" s="4"/>
      <c r="P65" s="669"/>
      <c r="Q65" s="671"/>
      <c r="R65" s="227"/>
      <c r="S65" s="227"/>
      <c r="T65" s="227"/>
      <c r="U65" s="227"/>
      <c r="V65" s="227"/>
      <c r="W65" s="117"/>
      <c r="X65" s="117"/>
      <c r="Y65" s="235"/>
      <c r="Z65" s="235"/>
      <c r="AA65" s="213"/>
      <c r="AB65" s="243"/>
      <c r="AC65" s="243"/>
      <c r="AD65" s="243"/>
      <c r="AE65" s="235"/>
      <c r="AF65" s="243"/>
      <c r="AH65" s="235"/>
      <c r="AI65" s="235"/>
      <c r="AM65" s="89"/>
      <c r="AN65" s="89"/>
      <c r="BU65" s="1"/>
      <c r="CR65" s="1"/>
      <c r="CY65"/>
      <c r="CZ65"/>
      <c r="DC65" s="244"/>
      <c r="DD65" s="244"/>
    </row>
    <row r="66" spans="1:108" hidden="1">
      <c r="A66" s="490" t="s">
        <v>112</v>
      </c>
      <c r="B66" s="490"/>
      <c r="C66" s="490"/>
      <c r="D66" s="490">
        <f>COUNTIF([0]!Februar,"Fagdag")+COUNTIF([0]!Februar,"emnedag")</f>
        <v>0</v>
      </c>
      <c r="E66" s="491"/>
      <c r="F66" s="490" t="s">
        <v>189</v>
      </c>
      <c r="G66" s="490">
        <f>COUNTIFS($B$9:$B$37,"fr",[0]!Februar,"Skema 1")</f>
        <v>3</v>
      </c>
      <c r="H66" s="490"/>
      <c r="I66" s="653" t="s">
        <v>592</v>
      </c>
      <c r="J66" s="650"/>
      <c r="K66" s="503"/>
      <c r="L66" s="653"/>
      <c r="M66" s="656"/>
      <c r="N66" s="656"/>
      <c r="O66" s="4"/>
      <c r="P66" s="669"/>
      <c r="Q66" s="671">
        <f>IF(Stamoplysninger!$B$26="Weekendtimer og weekendtillæg afspadseres.",EK40+EL40-EM40-EN40,0)</f>
        <v>0</v>
      </c>
      <c r="R66" s="227"/>
      <c r="S66" s="227"/>
      <c r="T66" s="227"/>
      <c r="U66" s="227"/>
      <c r="V66" s="227"/>
      <c r="W66" s="117"/>
      <c r="X66" s="117"/>
      <c r="Y66" s="235"/>
      <c r="Z66" s="235"/>
      <c r="AA66" s="213"/>
      <c r="AB66" s="243"/>
      <c r="AC66" s="243"/>
      <c r="AD66" s="243"/>
      <c r="AE66" s="235"/>
      <c r="AF66" s="213"/>
      <c r="AH66" s="235"/>
      <c r="AI66" s="235"/>
      <c r="AM66" s="89"/>
      <c r="AN66" s="89"/>
      <c r="BU66" s="1"/>
      <c r="CR66" s="1"/>
      <c r="CY66"/>
      <c r="CZ66"/>
      <c r="DC66" s="244"/>
      <c r="DD66" s="244"/>
    </row>
    <row r="67" spans="1:108" hidden="1">
      <c r="A67" s="494" t="s">
        <v>111</v>
      </c>
      <c r="B67" s="490"/>
      <c r="C67" s="490"/>
      <c r="D67" s="490">
        <f>COUNTIF([0]!Februar,"Lejrskole")+COUNTIF([0]!Februar,"Ekskursion")</f>
        <v>0</v>
      </c>
      <c r="E67" s="491"/>
      <c r="F67" s="490"/>
      <c r="G67" s="490"/>
      <c r="H67" s="490"/>
      <c r="I67" s="653" t="s">
        <v>593</v>
      </c>
      <c r="J67" s="653"/>
      <c r="K67" s="653"/>
      <c r="L67" s="653"/>
      <c r="M67" s="657"/>
      <c r="N67" s="657"/>
      <c r="O67" s="4"/>
      <c r="P67" s="670">
        <f>IF(Stamoplysninger!$B$26="Weekendtimer og weekendtillæg udbetales.",EO40+EP40-EQ40-ER40,0)</f>
        <v>0</v>
      </c>
      <c r="Q67" s="671"/>
      <c r="R67" s="227"/>
      <c r="S67" s="227"/>
      <c r="T67" s="227"/>
      <c r="U67" s="227"/>
      <c r="V67" s="227"/>
      <c r="W67" s="117"/>
      <c r="X67" s="117"/>
      <c r="Y67" s="235"/>
      <c r="Z67" s="235"/>
      <c r="AA67" s="213"/>
      <c r="AB67" s="243"/>
      <c r="AC67" s="243"/>
      <c r="AD67" s="243"/>
      <c r="AE67" s="235"/>
      <c r="AF67" s="213"/>
      <c r="AH67" s="235"/>
      <c r="AI67" s="235"/>
      <c r="AM67" s="89"/>
      <c r="AN67" s="89"/>
      <c r="BU67" s="1"/>
      <c r="CR67" s="1"/>
      <c r="CY67"/>
      <c r="CZ67"/>
      <c r="DC67" s="244"/>
      <c r="DD67" s="244"/>
    </row>
    <row r="68" spans="1:108" hidden="1">
      <c r="A68" s="490" t="s">
        <v>110</v>
      </c>
      <c r="B68" s="490"/>
      <c r="C68" s="490"/>
      <c r="D68" s="490">
        <f>COUNTIF([0]!Februar,"Pæd.dag")</f>
        <v>0</v>
      </c>
      <c r="E68" s="491"/>
      <c r="F68" s="490" t="s">
        <v>191</v>
      </c>
      <c r="G68" s="490">
        <f>COUNTIFS($B$9:$B$37,"ma",[0]!Februar,"Skema 2")</f>
        <v>0</v>
      </c>
      <c r="H68" s="490"/>
      <c r="I68" s="653" t="s">
        <v>594</v>
      </c>
      <c r="J68" s="653"/>
      <c r="K68" s="653"/>
      <c r="L68" s="653"/>
      <c r="M68" s="657"/>
      <c r="N68" s="657"/>
      <c r="O68" s="4"/>
      <c r="P68" s="669"/>
      <c r="Q68" s="671"/>
      <c r="R68" s="227"/>
      <c r="S68" s="227"/>
      <c r="T68" s="227"/>
      <c r="U68" s="227"/>
      <c r="V68" s="227"/>
      <c r="W68" s="117"/>
      <c r="X68" s="117"/>
      <c r="Y68" s="235"/>
      <c r="Z68" s="235"/>
      <c r="AA68" s="213"/>
      <c r="AB68" s="243"/>
      <c r="AC68" s="243"/>
      <c r="AD68" s="243"/>
      <c r="AE68" s="235"/>
      <c r="AF68" s="213"/>
      <c r="AH68" s="235"/>
      <c r="AI68" s="235"/>
      <c r="AM68" s="89"/>
      <c r="AN68" s="89"/>
      <c r="BU68" s="1"/>
      <c r="CR68" s="1"/>
      <c r="CY68"/>
      <c r="CZ68"/>
      <c r="DC68" s="244"/>
      <c r="DD68" s="244"/>
    </row>
    <row r="69" spans="1:108" hidden="1">
      <c r="A69" s="490" t="s">
        <v>120</v>
      </c>
      <c r="B69" s="490"/>
      <c r="C69" s="490"/>
      <c r="D69" s="490">
        <f>COUNTIF([0]!Februar,"Weekend")</f>
        <v>8</v>
      </c>
      <c r="E69" s="491"/>
      <c r="F69" s="490" t="s">
        <v>192</v>
      </c>
      <c r="G69" s="490">
        <f>COUNTIFS($B$9:$B$37,"ti",[0]!Februar,"Skema 2")</f>
        <v>0</v>
      </c>
      <c r="H69" s="490"/>
      <c r="I69" s="653" t="s">
        <v>595</v>
      </c>
      <c r="J69" s="653"/>
      <c r="K69" s="653"/>
      <c r="L69" s="653"/>
      <c r="M69" s="658"/>
      <c r="N69" s="658"/>
      <c r="O69" s="4"/>
      <c r="P69" s="669"/>
      <c r="Q69" s="672">
        <f>IF(Stamoplysninger!$B$26="Der er indgået lokalaftale omkring weekendtimer.(Kræver aftale med TR/FSL) Weekendtillæg afspadseres.",ES40+ET40-EU40-EV40,0)</f>
        <v>0</v>
      </c>
      <c r="R69" s="227"/>
      <c r="S69" s="227"/>
      <c r="T69" s="227"/>
      <c r="U69" s="227"/>
      <c r="V69" s="227"/>
      <c r="W69" s="117"/>
      <c r="X69" s="117"/>
      <c r="Y69"/>
      <c r="Z69"/>
      <c r="AL69" s="1"/>
      <c r="BI69" s="1"/>
      <c r="BT69" s="244"/>
      <c r="BU69" s="244"/>
      <c r="CY69"/>
      <c r="CZ69"/>
    </row>
    <row r="70" spans="1:108" hidden="1">
      <c r="A70" s="490" t="s">
        <v>127</v>
      </c>
      <c r="B70" s="490"/>
      <c r="C70" s="490"/>
      <c r="D70" s="490">
        <f>COUNTIF([0]!Februar,"SH-dag")</f>
        <v>0</v>
      </c>
      <c r="E70" s="491"/>
      <c r="F70" s="490" t="s">
        <v>193</v>
      </c>
      <c r="G70" s="490">
        <f>COUNTIFS($B$9:$B$37,"on",[0]!Februar,"Skema 2")</f>
        <v>0</v>
      </c>
      <c r="H70" s="490"/>
      <c r="I70" s="653" t="s">
        <v>596</v>
      </c>
      <c r="J70" s="653"/>
      <c r="K70" s="653"/>
      <c r="L70" s="653"/>
      <c r="M70" s="658"/>
      <c r="N70" s="658"/>
      <c r="O70" s="4"/>
      <c r="P70" s="669">
        <f>IF(Stamoplysninger!$B$26="Der er indgået lokalaftale omkring weekendtimer(Kræver aftale med TR/FSL). Weekendtillæg udbetales.",EW40+EX40-EY40-EZ40,0)</f>
        <v>0</v>
      </c>
      <c r="Q70" s="671"/>
      <c r="R70" s="227"/>
      <c r="S70" s="227"/>
      <c r="T70" s="227"/>
      <c r="U70" s="227"/>
      <c r="V70" s="227"/>
      <c r="W70" s="117"/>
      <c r="X70" s="117"/>
      <c r="Y70"/>
      <c r="Z70"/>
      <c r="AL70" s="1"/>
      <c r="BI70" s="1"/>
      <c r="BT70" s="244"/>
      <c r="BU70" s="244"/>
      <c r="CY70"/>
      <c r="CZ70"/>
    </row>
    <row r="71" spans="1:108" hidden="1">
      <c r="A71" s="490" t="s">
        <v>109</v>
      </c>
      <c r="B71" s="490"/>
      <c r="C71" s="490"/>
      <c r="D71" s="490">
        <f>COUNTIF([0]!Februar,"Feriedag")</f>
        <v>0</v>
      </c>
      <c r="E71" s="491"/>
      <c r="F71" s="490" t="s">
        <v>194</v>
      </c>
      <c r="G71" s="490">
        <f>COUNTIFS($B$9:$B$37,"to",[0]!Februar,"Skema 2")</f>
        <v>0</v>
      </c>
      <c r="H71" s="490"/>
      <c r="I71" s="653" t="s">
        <v>597</v>
      </c>
      <c r="J71" s="653"/>
      <c r="K71" s="653"/>
      <c r="L71" s="653"/>
      <c r="M71" s="658"/>
      <c r="N71" s="658"/>
      <c r="O71" s="4"/>
      <c r="P71" s="669"/>
      <c r="Q71" s="620">
        <f>IF(Stamoplysninger!$B$26="Der er indgået lokalaftale omkring weekendtillæg(Kræver aftale med TR/FSL). Weekendtimerne afspadseres.",FA40+FB40-FC40-FD40,0)</f>
        <v>0</v>
      </c>
      <c r="R71" s="40"/>
      <c r="S71" s="40"/>
      <c r="T71" s="40"/>
      <c r="Y71"/>
      <c r="Z71"/>
      <c r="AL71" s="1"/>
      <c r="BI71" s="1"/>
      <c r="BT71" s="244"/>
      <c r="BU71" s="244"/>
      <c r="CY71"/>
      <c r="CZ71"/>
    </row>
    <row r="72" spans="1:108" hidden="1">
      <c r="A72" s="490" t="s">
        <v>178</v>
      </c>
      <c r="B72" s="490"/>
      <c r="C72" s="490"/>
      <c r="D72" s="490">
        <f>COUNTIF([0]!Februar,"Nul-dag")</f>
        <v>5</v>
      </c>
      <c r="E72" s="491"/>
      <c r="F72" s="490" t="s">
        <v>195</v>
      </c>
      <c r="G72" s="490">
        <f>COUNTIFS($B$9:$B$37,"fr",[0]!Februar,"Skema 2")</f>
        <v>0</v>
      </c>
      <c r="H72" s="490"/>
      <c r="I72" s="653" t="s">
        <v>598</v>
      </c>
      <c r="J72" s="653"/>
      <c r="K72" s="653"/>
      <c r="L72" s="653"/>
      <c r="M72" s="658"/>
      <c r="N72" s="658"/>
      <c r="O72" s="4"/>
      <c r="P72" s="669">
        <f>IF(Stamoplysninger!$B$26="Der er indgået lokalaftale omkring weekendtillæg(Kræver aftale med TR/FSL). Weekendtimerne udbetales.",FE40+FF40-FG40-FH40,0)</f>
        <v>0</v>
      </c>
      <c r="Q72" s="620"/>
      <c r="V72" t="s">
        <v>605</v>
      </c>
      <c r="Y72"/>
      <c r="Z72"/>
      <c r="AL72" s="1"/>
      <c r="BI72" s="1"/>
      <c r="BT72" s="244"/>
      <c r="BU72" s="244"/>
      <c r="CY72"/>
      <c r="CZ72"/>
    </row>
    <row r="73" spans="1:108" hidden="1">
      <c r="A73" s="495" t="s">
        <v>415</v>
      </c>
      <c r="B73" s="490"/>
      <c r="C73" s="490"/>
      <c r="D73" s="490">
        <f>COUNTIF([0]!Februar,"Orlov")</f>
        <v>0</v>
      </c>
      <c r="E73" s="491"/>
      <c r="F73" s="496"/>
      <c r="G73" s="496"/>
      <c r="H73" s="496"/>
      <c r="I73" s="653" t="s">
        <v>604</v>
      </c>
      <c r="J73" s="653"/>
      <c r="K73" s="653"/>
      <c r="L73" s="653"/>
      <c r="M73" s="659"/>
      <c r="N73" s="659"/>
      <c r="O73" s="4"/>
      <c r="P73" s="652"/>
      <c r="R73">
        <f>IF(C8="ikke relevant",V8*-1+X8*-1,0)</f>
        <v>0</v>
      </c>
      <c r="S73" t="s">
        <v>610</v>
      </c>
      <c r="V73">
        <f>IF(C8="ikke relevant",R8*-1,0)</f>
        <v>0</v>
      </c>
      <c r="Y73"/>
      <c r="Z73"/>
      <c r="AL73" s="1"/>
      <c r="BI73" s="1"/>
      <c r="BT73" s="244"/>
      <c r="BU73" s="244"/>
      <c r="CY73"/>
      <c r="CZ73"/>
    </row>
    <row r="74" spans="1:108" hidden="1">
      <c r="A74" s="490" t="s">
        <v>160</v>
      </c>
      <c r="B74" s="490"/>
      <c r="C74" s="490"/>
      <c r="D74" s="490">
        <f>COUNTIF([0]!Februar,"Ikke relevant")</f>
        <v>1</v>
      </c>
      <c r="E74" s="491"/>
      <c r="F74" s="490" t="s">
        <v>196</v>
      </c>
      <c r="G74" s="490">
        <f>COUNTIFS($B$9:$B$37,"ma",[0]!Februar,"Skema 3")</f>
        <v>0</v>
      </c>
      <c r="H74" s="490"/>
      <c r="I74" s="653"/>
      <c r="J74" s="653"/>
      <c r="K74" s="653"/>
      <c r="L74" s="503"/>
      <c r="M74" s="659"/>
      <c r="N74" s="659"/>
      <c r="O74" s="4"/>
      <c r="P74" s="652"/>
      <c r="R74">
        <f>IF(C9="ikke relevant",V9*-1+X9*-1,0)</f>
        <v>0</v>
      </c>
      <c r="V74">
        <f>IF(C9="ikke relevant",R9*-1,0)</f>
        <v>0</v>
      </c>
      <c r="Y74"/>
      <c r="Z74"/>
      <c r="AL74" s="1"/>
      <c r="BI74" s="1"/>
      <c r="BT74" s="244"/>
      <c r="BU74" s="244"/>
      <c r="CY74"/>
      <c r="CZ74"/>
    </row>
    <row r="75" spans="1:108" hidden="1">
      <c r="A75" s="490" t="s">
        <v>108</v>
      </c>
      <c r="B75" s="490"/>
      <c r="C75" s="490"/>
      <c r="D75" s="490">
        <f>SUM(D62:D74)</f>
        <v>29</v>
      </c>
      <c r="E75" s="490"/>
      <c r="F75" s="490" t="s">
        <v>197</v>
      </c>
      <c r="G75" s="490">
        <f>COUNTIFS($B$9:$B$37,"ti",[0]!Februar,"Skema 3")</f>
        <v>0</v>
      </c>
      <c r="H75" s="490"/>
      <c r="I75" s="653"/>
      <c r="J75" s="653"/>
      <c r="K75" s="653"/>
      <c r="L75" s="503"/>
      <c r="M75" s="659"/>
      <c r="N75" s="659"/>
      <c r="O75" s="4"/>
      <c r="P75" s="652"/>
      <c r="R75">
        <f t="shared" ref="R75:R103" si="38">IF(C10="ikke relevant",V10*-1+X10*-1,0)</f>
        <v>0</v>
      </c>
      <c r="V75">
        <f t="shared" ref="V75:V103" si="39">IF(C10="ikke relevant",R10*-1,0)</f>
        <v>0</v>
      </c>
      <c r="Y75" s="1"/>
      <c r="Z75"/>
      <c r="AW75" s="1"/>
      <c r="BH75" s="244"/>
      <c r="BI75" s="244"/>
      <c r="CY75"/>
      <c r="CZ75"/>
    </row>
    <row r="76" spans="1:108" hidden="1">
      <c r="A76" s="490" t="s">
        <v>239</v>
      </c>
      <c r="B76" s="490"/>
      <c r="C76" s="490"/>
      <c r="D76" s="490">
        <f>D75-D69-A85-D74</f>
        <v>20</v>
      </c>
      <c r="E76" s="497"/>
      <c r="F76" s="490" t="s">
        <v>198</v>
      </c>
      <c r="G76" s="490">
        <f>COUNTIFS($B$9:$B$37,"on",[0]!Februar,"Skema 3")</f>
        <v>0</v>
      </c>
      <c r="H76" s="490"/>
      <c r="I76" s="653"/>
      <c r="J76" s="653"/>
      <c r="K76" s="653"/>
      <c r="L76" s="503"/>
      <c r="M76" s="659"/>
      <c r="N76" s="659"/>
      <c r="O76" s="4"/>
      <c r="P76" s="652"/>
      <c r="R76">
        <f t="shared" si="38"/>
        <v>0</v>
      </c>
      <c r="V76">
        <f t="shared" si="39"/>
        <v>0</v>
      </c>
      <c r="Y76" s="1"/>
      <c r="Z76"/>
      <c r="AW76" s="1"/>
      <c r="BH76" s="244"/>
      <c r="BI76" s="244"/>
      <c r="CY76"/>
      <c r="CZ76"/>
    </row>
    <row r="77" spans="1:108" hidden="1">
      <c r="A77" s="490"/>
      <c r="B77" s="490"/>
      <c r="C77" s="490"/>
      <c r="D77" s="490"/>
      <c r="E77" s="490"/>
      <c r="F77" s="490" t="s">
        <v>199</v>
      </c>
      <c r="G77" s="490">
        <f>COUNTIFS($B$9:$B$37,"to",[0]!Februar,"Skema 3")</f>
        <v>0</v>
      </c>
      <c r="H77" s="490"/>
      <c r="I77" s="655"/>
      <c r="J77" s="653"/>
      <c r="K77" s="653"/>
      <c r="L77" s="503"/>
      <c r="M77" s="651"/>
      <c r="N77" s="651"/>
      <c r="O77" s="4"/>
      <c r="P77" s="652"/>
      <c r="R77">
        <f t="shared" si="38"/>
        <v>0</v>
      </c>
      <c r="V77">
        <f t="shared" si="39"/>
        <v>0</v>
      </c>
      <c r="Y77" s="1"/>
      <c r="Z77"/>
      <c r="AW77" s="1"/>
      <c r="BH77" s="244"/>
      <c r="BI77" s="244"/>
      <c r="CY77"/>
      <c r="CZ77"/>
    </row>
    <row r="78" spans="1:108" hidden="1">
      <c r="A78" s="490"/>
      <c r="B78" s="490"/>
      <c r="C78" s="490"/>
      <c r="D78" s="490"/>
      <c r="E78" s="490"/>
      <c r="F78" s="490" t="s">
        <v>200</v>
      </c>
      <c r="G78" s="490">
        <f>COUNTIFS($B$9:$B$37,"fr",[0]!Februar,"Skema 3")</f>
        <v>0</v>
      </c>
      <c r="H78" s="490"/>
      <c r="I78" s="498"/>
      <c r="J78" s="503"/>
      <c r="K78" s="503"/>
      <c r="L78" s="503"/>
      <c r="M78" s="4"/>
      <c r="N78" s="4"/>
      <c r="O78" s="4"/>
      <c r="P78" s="4"/>
      <c r="R78">
        <f t="shared" si="38"/>
        <v>0</v>
      </c>
      <c r="V78">
        <f t="shared" si="39"/>
        <v>0</v>
      </c>
      <c r="Y78" s="1"/>
      <c r="Z78"/>
      <c r="AW78" s="1"/>
      <c r="BH78" s="244"/>
      <c r="BI78" s="244"/>
      <c r="CY78"/>
      <c r="CZ78"/>
    </row>
    <row r="79" spans="1:108" hidden="1">
      <c r="A79" s="490" t="s">
        <v>292</v>
      </c>
      <c r="B79" s="490"/>
      <c r="C79" s="490"/>
      <c r="D79" s="490"/>
      <c r="E79" s="490"/>
      <c r="F79" s="490"/>
      <c r="G79" s="490"/>
      <c r="H79" s="490"/>
      <c r="I79" s="498"/>
      <c r="J79" s="503"/>
      <c r="K79" s="503"/>
      <c r="L79" s="503"/>
      <c r="M79" s="4"/>
      <c r="N79" s="4"/>
      <c r="O79" s="4"/>
      <c r="P79" s="4"/>
      <c r="R79">
        <f t="shared" si="38"/>
        <v>0</v>
      </c>
      <c r="V79">
        <f t="shared" si="39"/>
        <v>0</v>
      </c>
      <c r="Y79" s="1"/>
      <c r="Z79"/>
      <c r="AW79" s="1"/>
      <c r="BH79" s="244"/>
      <c r="BI79" s="244"/>
      <c r="CY79"/>
      <c r="CZ79"/>
    </row>
    <row r="80" spans="1:108" hidden="1">
      <c r="A80" s="490">
        <f>COUNTIF($C$9:$C$10,"Skema 1")+COUNTIF($C$9:$C$10,"Skema 2")+COUNTIF($C$9:$C$10,"Skema 3")+COUNTIF($C$9:$C$10,"Skema 4")+COUNTIF($C$9:$C$10,"Fagdag")+COUNTIF($C$9:$C$10,"Emnedag")+COUNTIF($C$9:$C$10,"Lejrskole")+COUNTIF($C$9:$C$10,"Ekskursion")+COUNTIF($C$9:$C$10,"Pæd.dag")</f>
        <v>0</v>
      </c>
      <c r="B80" s="490"/>
      <c r="C80" s="490"/>
      <c r="D80" s="490"/>
      <c r="E80" s="490"/>
      <c r="F80" s="490" t="s">
        <v>201</v>
      </c>
      <c r="G80" s="490">
        <f>COUNTIFS($B$9:$B$37,"ma",[0]!Februar,"Skema 4")</f>
        <v>0</v>
      </c>
      <c r="H80" s="490"/>
      <c r="I80" s="498"/>
      <c r="J80" s="503"/>
      <c r="K80" s="503"/>
      <c r="L80" s="503"/>
      <c r="M80" s="4"/>
      <c r="N80" s="4"/>
      <c r="O80" s="4"/>
      <c r="P80" s="4"/>
      <c r="R80">
        <f t="shared" si="38"/>
        <v>0</v>
      </c>
      <c r="V80">
        <f t="shared" si="39"/>
        <v>0</v>
      </c>
      <c r="Y80"/>
      <c r="Z80"/>
      <c r="AO80" s="1"/>
      <c r="BL80" s="1"/>
      <c r="BW80" s="244"/>
      <c r="BX80" s="244"/>
      <c r="CY80"/>
      <c r="CZ80"/>
    </row>
    <row r="81" spans="1:111" hidden="1">
      <c r="A81" s="490">
        <f>COUNTIF($C$16:$C$17,"Skema 1")+COUNTIF($C$16:$C$17,"Skema 2")+COUNTIF($C$16:$C$17,"Skema 3")+COUNTIF($C$16:$C$17,"Skema 4")+COUNTIF($C$16:$C$17,"Fagdag")+COUNTIF($C$16:$C$17,"Emnedag")+COUNTIF($C$16:$C$17,"Lejrskole")+COUNTIF($C$16:$C$17,"Ekskursion")+COUNTIF($C$16:$C$17,"Pæd.dag")</f>
        <v>0</v>
      </c>
      <c r="B81" s="490"/>
      <c r="C81" s="490"/>
      <c r="D81" s="490"/>
      <c r="E81" s="490"/>
      <c r="F81" s="490" t="s">
        <v>202</v>
      </c>
      <c r="G81" s="490">
        <f>COUNTIFS($B$9:$B$37,"ti",[0]!Februar,"Skema 4")</f>
        <v>0</v>
      </c>
      <c r="H81" s="490"/>
      <c r="I81" s="498"/>
      <c r="J81" s="503"/>
      <c r="K81" s="503"/>
      <c r="L81" s="503"/>
      <c r="M81" s="4"/>
      <c r="N81" s="4"/>
      <c r="O81" s="4"/>
      <c r="P81" s="4"/>
      <c r="R81">
        <f t="shared" si="38"/>
        <v>0</v>
      </c>
      <c r="V81">
        <f t="shared" si="39"/>
        <v>0</v>
      </c>
      <c r="Y81"/>
      <c r="Z81"/>
      <c r="AO81" s="1"/>
      <c r="BL81" s="1"/>
      <c r="BW81" s="244"/>
      <c r="BX81" s="244"/>
      <c r="CY81"/>
      <c r="CZ81"/>
    </row>
    <row r="82" spans="1:111" hidden="1">
      <c r="A82" s="490">
        <f>COUNTIF($C$23:$C$24,"Skema 1")+COUNTIF($C$23:$C$24,"Skema 2")+COUNTIF($C$23:$C$24,"Skema 3")+COUNTIF($C$23:$C$24,"Skema 4")+COUNTIF($C$23:$C$24,"Fagdag")+COUNTIF($C$23:$C$24,"Emnedag")+COUNTIF($C$23:$C$24,"Lejrskole")+COUNTIF($C$23:$C$24,"Ekskursion")+COUNTIF($C$23:$C$24,"Pæd.dag")</f>
        <v>0</v>
      </c>
      <c r="B82" s="490"/>
      <c r="C82" s="490"/>
      <c r="D82" s="490"/>
      <c r="E82" s="490"/>
      <c r="F82" s="490" t="s">
        <v>203</v>
      </c>
      <c r="G82" s="490">
        <f>COUNTIFS($B$9:$B$37,"on",[0]!Februar,"Skema 4")</f>
        <v>0</v>
      </c>
      <c r="H82" s="490"/>
      <c r="I82" s="498"/>
      <c r="J82" s="503"/>
      <c r="K82" s="503"/>
      <c r="L82" s="503"/>
      <c r="M82" s="4"/>
      <c r="N82" s="4"/>
      <c r="O82" s="4"/>
      <c r="P82" s="4"/>
      <c r="R82">
        <f t="shared" si="38"/>
        <v>0</v>
      </c>
      <c r="V82">
        <f t="shared" si="39"/>
        <v>0</v>
      </c>
      <c r="Y82"/>
      <c r="Z82"/>
      <c r="AO82" s="1"/>
      <c r="BL82" s="1"/>
      <c r="BW82" s="244"/>
      <c r="BX82" s="244"/>
      <c r="CY82"/>
      <c r="CZ82"/>
    </row>
    <row r="83" spans="1:111" hidden="1">
      <c r="A83" s="490">
        <f>COUNTIF($C$30:$C$31,"Skema 1")+COUNTIF($C$30:$C$31,"Skema 2")+COUNTIF($C$30:$C$31,"Skema 3")+COUNTIF($C$30:$C$31,"Skema 4")+COUNTIF($C$30:$C$31,"Fagdag")+COUNTIF($C$30:$C$31,"Emnedag")+COUNTIF($C$30:$C$31,"Lejrskole")+COUNTIF($C$30:$C$31,"Ekskursion")+COUNTIF($C$30:$C$31,"Pæd.dag")</f>
        <v>0</v>
      </c>
      <c r="B83" s="490"/>
      <c r="C83" s="490"/>
      <c r="D83" s="490"/>
      <c r="E83" s="490"/>
      <c r="F83" s="490" t="s">
        <v>204</v>
      </c>
      <c r="G83" s="490">
        <f>COUNTIFS($B$9:$B$37,"to",[0]!Februar,"Skema 4")</f>
        <v>0</v>
      </c>
      <c r="H83" s="490"/>
      <c r="I83" s="498"/>
      <c r="J83" s="503"/>
      <c r="K83" s="503"/>
      <c r="L83" s="503"/>
      <c r="M83" s="4"/>
      <c r="N83" s="4"/>
      <c r="O83" s="4"/>
      <c r="P83" s="4"/>
      <c r="R83">
        <f t="shared" si="38"/>
        <v>0</v>
      </c>
      <c r="V83">
        <f t="shared" si="39"/>
        <v>0</v>
      </c>
      <c r="Y83"/>
      <c r="Z83"/>
      <c r="AO83" s="1">
        <f>SUM(N83:AN83)</f>
        <v>0</v>
      </c>
      <c r="BL83" s="1">
        <f>SUM(AI83:BK83)</f>
        <v>0</v>
      </c>
      <c r="BW83" s="244"/>
      <c r="BX83" s="244"/>
      <c r="CY83"/>
      <c r="CZ83"/>
    </row>
    <row r="84" spans="1:111" hidden="1">
      <c r="A84" s="490"/>
      <c r="B84" s="490"/>
      <c r="C84" s="490"/>
      <c r="D84" s="490"/>
      <c r="E84" s="490"/>
      <c r="F84" s="490" t="s">
        <v>205</v>
      </c>
      <c r="G84" s="490">
        <f>COUNTIFS($B$9:$B$37,"fr",[0]!Februar,"Skema 4")</f>
        <v>0</v>
      </c>
      <c r="H84" s="490"/>
      <c r="I84" s="490"/>
      <c r="J84" s="493"/>
      <c r="K84" s="493"/>
      <c r="L84" s="40"/>
      <c r="R84">
        <f t="shared" si="38"/>
        <v>0</v>
      </c>
      <c r="V84">
        <f t="shared" si="39"/>
        <v>0</v>
      </c>
      <c r="Y84"/>
      <c r="Z84"/>
      <c r="AO84" s="1">
        <f>SUM(N84:AN84)</f>
        <v>0</v>
      </c>
      <c r="BL84" s="1">
        <f>SUM(AI84:BK84)</f>
        <v>0</v>
      </c>
      <c r="BW84" s="244"/>
      <c r="BX84" s="244"/>
      <c r="CY84"/>
      <c r="CZ84"/>
    </row>
    <row r="85" spans="1:111" hidden="1">
      <c r="A85" s="490">
        <f>SUM(A80:A84)</f>
        <v>0</v>
      </c>
      <c r="B85" s="490"/>
      <c r="C85" s="490"/>
      <c r="D85" s="490"/>
      <c r="E85" s="490"/>
      <c r="F85" s="490"/>
      <c r="G85" s="495">
        <f>SUM(G62:G84)</f>
        <v>15</v>
      </c>
      <c r="H85" s="493"/>
      <c r="I85" s="490"/>
      <c r="J85" s="493"/>
      <c r="K85" s="493"/>
      <c r="L85" s="40"/>
      <c r="R85">
        <f t="shared" si="38"/>
        <v>0</v>
      </c>
      <c r="V85">
        <f t="shared" si="39"/>
        <v>0</v>
      </c>
      <c r="Y85"/>
      <c r="Z85"/>
      <c r="AO85" s="1">
        <f>SUM(N85:AN85)</f>
        <v>0</v>
      </c>
      <c r="BL85" s="1">
        <f>SUM(AI85:BK85)</f>
        <v>0</v>
      </c>
      <c r="BW85" s="244"/>
      <c r="BX85" s="244"/>
      <c r="CY85"/>
      <c r="CZ85"/>
    </row>
    <row r="86" spans="1:111" hidden="1">
      <c r="A86" s="493"/>
      <c r="B86" s="493"/>
      <c r="C86" s="493"/>
      <c r="D86" s="493"/>
      <c r="E86" s="490"/>
      <c r="F86" s="490"/>
      <c r="G86" s="490"/>
      <c r="H86" s="40"/>
      <c r="I86" s="493"/>
      <c r="J86" s="493"/>
      <c r="K86" s="493"/>
      <c r="L86" s="40"/>
      <c r="R86">
        <f t="shared" si="38"/>
        <v>0</v>
      </c>
      <c r="V86">
        <f t="shared" si="39"/>
        <v>0</v>
      </c>
      <c r="Y86"/>
      <c r="Z86"/>
      <c r="AO86" s="1">
        <f>SUM(N86:AN86)</f>
        <v>0</v>
      </c>
      <c r="BL86" s="1">
        <f>SUM(AI86:BK86)</f>
        <v>0</v>
      </c>
      <c r="BW86" s="244"/>
      <c r="BX86" s="244"/>
      <c r="CY86"/>
      <c r="CZ86"/>
    </row>
    <row r="87" spans="1:111" hidden="1">
      <c r="A87" s="493"/>
      <c r="B87" s="493"/>
      <c r="C87" s="493"/>
      <c r="D87" s="493"/>
      <c r="E87" s="490"/>
      <c r="F87" s="490"/>
      <c r="G87" s="490"/>
      <c r="H87" s="40"/>
      <c r="I87" s="40"/>
      <c r="J87" s="493"/>
      <c r="K87" s="493"/>
      <c r="L87" s="40"/>
      <c r="R87">
        <f t="shared" si="38"/>
        <v>0</v>
      </c>
      <c r="V87">
        <f t="shared" si="39"/>
        <v>0</v>
      </c>
      <c r="Y87"/>
      <c r="Z87"/>
      <c r="BW87" s="244"/>
      <c r="BX87" s="244"/>
      <c r="CY87"/>
      <c r="CZ87"/>
    </row>
    <row r="88" spans="1:111" hidden="1">
      <c r="A88" s="493"/>
      <c r="B88" s="493"/>
      <c r="C88" s="493"/>
      <c r="D88" s="493"/>
      <c r="E88" s="490"/>
      <c r="F88" s="490"/>
      <c r="G88" s="490"/>
      <c r="H88" s="40"/>
      <c r="I88" s="40"/>
      <c r="J88" s="40"/>
      <c r="K88" s="40"/>
      <c r="L88" s="40"/>
      <c r="R88">
        <f t="shared" si="38"/>
        <v>0</v>
      </c>
      <c r="V88">
        <f t="shared" si="39"/>
        <v>0</v>
      </c>
      <c r="Y88"/>
      <c r="Z88"/>
      <c r="BW88" s="244"/>
      <c r="BX88" s="244"/>
      <c r="CY88"/>
      <c r="CZ88"/>
    </row>
    <row r="89" spans="1:111" hidden="1">
      <c r="A89" s="493"/>
      <c r="B89" s="493"/>
      <c r="C89" s="493"/>
      <c r="D89" s="493"/>
      <c r="E89" s="490"/>
      <c r="F89" s="490"/>
      <c r="G89" s="490"/>
      <c r="H89" s="40"/>
      <c r="I89" s="40"/>
      <c r="J89" s="40"/>
      <c r="K89" s="40"/>
      <c r="L89" s="40"/>
      <c r="R89">
        <f t="shared" si="38"/>
        <v>0</v>
      </c>
      <c r="V89">
        <f t="shared" si="39"/>
        <v>0</v>
      </c>
      <c r="Y89"/>
      <c r="Z89"/>
      <c r="BW89" s="244"/>
      <c r="BX89" s="244"/>
      <c r="CY89"/>
      <c r="CZ89"/>
    </row>
    <row r="90" spans="1:111" hidden="1">
      <c r="A90" s="493"/>
      <c r="B90" s="493"/>
      <c r="C90" s="493"/>
      <c r="D90" s="493"/>
      <c r="E90" s="490"/>
      <c r="F90" s="490"/>
      <c r="G90" s="490"/>
      <c r="I90" s="40"/>
      <c r="J90" s="40"/>
      <c r="K90" s="40"/>
      <c r="L90" s="40"/>
      <c r="R90">
        <f t="shared" si="38"/>
        <v>0</v>
      </c>
      <c r="V90">
        <f t="shared" si="39"/>
        <v>0</v>
      </c>
      <c r="Y90"/>
      <c r="Z90"/>
      <c r="BW90" s="244"/>
      <c r="BX90" s="244"/>
      <c r="CY90"/>
      <c r="CZ90"/>
    </row>
    <row r="91" spans="1:111" hidden="1">
      <c r="A91" s="493"/>
      <c r="B91" s="493"/>
      <c r="C91" s="493"/>
      <c r="D91" s="493"/>
      <c r="E91" s="490"/>
      <c r="F91" s="490"/>
      <c r="G91" s="490"/>
      <c r="I91" s="40"/>
      <c r="J91" s="40"/>
      <c r="K91" s="40"/>
      <c r="L91" s="40"/>
      <c r="R91">
        <f t="shared" si="38"/>
        <v>0</v>
      </c>
      <c r="V91">
        <f t="shared" si="39"/>
        <v>0</v>
      </c>
      <c r="Y91"/>
      <c r="Z91"/>
      <c r="BW91" s="244"/>
      <c r="BX91" s="244"/>
      <c r="CY91"/>
      <c r="CZ91"/>
    </row>
    <row r="92" spans="1:111" hidden="1">
      <c r="A92" s="493"/>
      <c r="B92" s="493"/>
      <c r="C92" s="493"/>
      <c r="D92" s="493"/>
      <c r="E92" s="490"/>
      <c r="F92" s="490"/>
      <c r="G92" s="490"/>
      <c r="I92" s="40"/>
      <c r="J92" s="40"/>
      <c r="K92" s="40"/>
      <c r="L92" s="40"/>
      <c r="R92">
        <f t="shared" si="38"/>
        <v>0</v>
      </c>
      <c r="V92">
        <f t="shared" si="39"/>
        <v>0</v>
      </c>
      <c r="Y92"/>
      <c r="Z92"/>
      <c r="AD92" s="4"/>
      <c r="AE92" s="228"/>
      <c r="AF92" s="228"/>
      <c r="AG92" s="228"/>
      <c r="AH92" s="228"/>
      <c r="CY92"/>
      <c r="CZ92"/>
      <c r="DF92" s="244"/>
      <c r="DG92" s="244"/>
    </row>
    <row r="93" spans="1:111" hidden="1">
      <c r="A93" s="493"/>
      <c r="B93" s="493"/>
      <c r="C93" s="493"/>
      <c r="D93" s="493"/>
      <c r="E93" s="490"/>
      <c r="F93" s="490"/>
      <c r="G93" s="490"/>
      <c r="I93" s="40"/>
      <c r="J93" s="40"/>
      <c r="K93" s="40"/>
      <c r="L93" s="40"/>
      <c r="R93">
        <f t="shared" si="38"/>
        <v>0</v>
      </c>
      <c r="V93">
        <f t="shared" si="39"/>
        <v>0</v>
      </c>
      <c r="Y93"/>
      <c r="Z93"/>
      <c r="AD93" s="4"/>
      <c r="AE93" s="228"/>
      <c r="AF93" s="228"/>
      <c r="AG93" s="228"/>
      <c r="AH93" s="228"/>
      <c r="CY93"/>
      <c r="CZ93"/>
      <c r="DF93" s="244"/>
      <c r="DG93" s="244"/>
    </row>
    <row r="94" spans="1:111" hidden="1">
      <c r="A94" s="493"/>
      <c r="B94" s="493"/>
      <c r="C94" s="493"/>
      <c r="D94" s="493"/>
      <c r="E94" s="490"/>
      <c r="F94" s="490"/>
      <c r="G94" s="490"/>
      <c r="I94" s="40"/>
      <c r="J94" s="40"/>
      <c r="K94" s="40"/>
      <c r="L94" s="40"/>
      <c r="R94">
        <f t="shared" si="38"/>
        <v>0</v>
      </c>
      <c r="V94">
        <f t="shared" si="39"/>
        <v>0</v>
      </c>
      <c r="Y94"/>
      <c r="Z94"/>
    </row>
    <row r="95" spans="1:111" hidden="1">
      <c r="A95" s="493"/>
      <c r="B95" s="493"/>
      <c r="C95" s="493"/>
      <c r="D95" s="493"/>
      <c r="E95" s="490"/>
      <c r="F95" s="490"/>
      <c r="G95" s="490"/>
      <c r="I95" s="40"/>
      <c r="J95" s="40"/>
      <c r="K95" s="40"/>
      <c r="L95" s="40"/>
      <c r="R95">
        <f t="shared" si="38"/>
        <v>0</v>
      </c>
      <c r="V95">
        <f t="shared" si="39"/>
        <v>0</v>
      </c>
    </row>
    <row r="96" spans="1:111" hidden="1">
      <c r="A96" s="493"/>
      <c r="B96" s="493"/>
      <c r="C96" s="493"/>
      <c r="D96" s="493"/>
      <c r="E96" s="493"/>
      <c r="F96" s="493"/>
      <c r="G96" s="493"/>
      <c r="I96" s="40"/>
      <c r="J96" s="40"/>
      <c r="K96" s="40"/>
      <c r="L96" s="40"/>
      <c r="R96">
        <f t="shared" si="38"/>
        <v>0</v>
      </c>
      <c r="V96">
        <f t="shared" si="39"/>
        <v>0</v>
      </c>
    </row>
    <row r="97" spans="9:22" hidden="1">
      <c r="I97" s="40"/>
      <c r="J97" s="40"/>
      <c r="K97" s="40"/>
      <c r="L97" s="40"/>
      <c r="R97">
        <f t="shared" si="38"/>
        <v>0</v>
      </c>
      <c r="V97">
        <f t="shared" si="39"/>
        <v>0</v>
      </c>
    </row>
    <row r="98" spans="9:22" hidden="1">
      <c r="I98" s="40"/>
      <c r="J98" s="40"/>
      <c r="K98" s="40"/>
      <c r="L98" s="439"/>
      <c r="R98">
        <f t="shared" si="38"/>
        <v>0</v>
      </c>
      <c r="V98">
        <f t="shared" si="39"/>
        <v>0</v>
      </c>
    </row>
    <row r="99" spans="9:22" hidden="1">
      <c r="I99" s="40"/>
      <c r="J99" s="40"/>
      <c r="K99" s="40"/>
      <c r="L99" s="439"/>
      <c r="R99">
        <f t="shared" si="38"/>
        <v>0</v>
      </c>
      <c r="V99">
        <f t="shared" si="39"/>
        <v>0</v>
      </c>
    </row>
    <row r="100" spans="9:22" hidden="1">
      <c r="I100" s="40"/>
      <c r="J100" s="40"/>
      <c r="K100" s="40"/>
      <c r="L100" s="439"/>
      <c r="R100">
        <f t="shared" si="38"/>
        <v>0</v>
      </c>
      <c r="V100">
        <f t="shared" si="39"/>
        <v>0</v>
      </c>
    </row>
    <row r="101" spans="9:22" hidden="1">
      <c r="I101" s="439"/>
      <c r="J101" s="40"/>
      <c r="K101" s="40"/>
      <c r="L101" s="439"/>
      <c r="R101">
        <f t="shared" si="38"/>
        <v>0</v>
      </c>
      <c r="V101">
        <f t="shared" si="39"/>
        <v>0</v>
      </c>
    </row>
    <row r="102" spans="9:22" hidden="1">
      <c r="I102" s="439"/>
      <c r="J102" s="439"/>
      <c r="K102" s="439"/>
      <c r="L102" s="439"/>
      <c r="R102">
        <f t="shared" si="38"/>
        <v>0</v>
      </c>
      <c r="V102">
        <f t="shared" si="39"/>
        <v>0</v>
      </c>
    </row>
    <row r="103" spans="9:22" ht="17" hidden="1" thickBot="1">
      <c r="I103" s="439"/>
      <c r="J103" s="439"/>
      <c r="K103" s="439"/>
      <c r="L103" s="439"/>
      <c r="R103">
        <f t="shared" si="38"/>
        <v>0</v>
      </c>
      <c r="V103">
        <f t="shared" si="39"/>
        <v>0</v>
      </c>
    </row>
    <row r="104" spans="9:22" ht="17" hidden="1" thickBot="1">
      <c r="I104" s="439"/>
      <c r="J104" s="439"/>
      <c r="K104" s="439"/>
      <c r="L104" s="439"/>
      <c r="R104" s="684">
        <f>SUM(R73:R103)+FT40</f>
        <v>0</v>
      </c>
      <c r="V104">
        <f>SUM(V73:V103)</f>
        <v>0</v>
      </c>
    </row>
    <row r="105" spans="9:22" hidden="1">
      <c r="I105" s="439"/>
      <c r="J105" s="439"/>
      <c r="K105" s="439"/>
      <c r="L105" s="439"/>
    </row>
    <row r="106" spans="9:22" hidden="1"/>
  </sheetData>
  <sheetProtection sheet="1" objects="1" scenarios="1"/>
  <mergeCells count="172">
    <mergeCell ref="A60:G60"/>
    <mergeCell ref="I60:K60"/>
    <mergeCell ref="M40:X40"/>
    <mergeCell ref="M41:U41"/>
    <mergeCell ref="V41:X41"/>
    <mergeCell ref="M42:U42"/>
    <mergeCell ref="V42:X42"/>
    <mergeCell ref="M43:U43"/>
    <mergeCell ref="V43:X43"/>
    <mergeCell ref="M44:U44"/>
    <mergeCell ref="V44:X44"/>
    <mergeCell ref="V50:X50"/>
    <mergeCell ref="A51:G52"/>
    <mergeCell ref="I51:K51"/>
    <mergeCell ref="M51:U51"/>
    <mergeCell ref="V51:X51"/>
    <mergeCell ref="I52:K52"/>
    <mergeCell ref="A53:G53"/>
    <mergeCell ref="I53:K53"/>
    <mergeCell ref="A48:H48"/>
    <mergeCell ref="I48:K48"/>
    <mergeCell ref="I49:K49"/>
    <mergeCell ref="A45:G45"/>
    <mergeCell ref="A47:H47"/>
    <mergeCell ref="A65:C65"/>
    <mergeCell ref="A63:C63"/>
    <mergeCell ref="A54:K54"/>
    <mergeCell ref="A55:B55"/>
    <mergeCell ref="C55:D55"/>
    <mergeCell ref="E55:G55"/>
    <mergeCell ref="H55:K55"/>
    <mergeCell ref="A56:B56"/>
    <mergeCell ref="C56:D56"/>
    <mergeCell ref="E56:G56"/>
    <mergeCell ref="I56:K56"/>
    <mergeCell ref="A57:B57"/>
    <mergeCell ref="C57:D57"/>
    <mergeCell ref="E57:G57"/>
    <mergeCell ref="I57:K57"/>
    <mergeCell ref="A58:B58"/>
    <mergeCell ref="A64:C64"/>
    <mergeCell ref="C58:D58"/>
    <mergeCell ref="E58:G58"/>
    <mergeCell ref="I58:K58"/>
    <mergeCell ref="A59:B59"/>
    <mergeCell ref="C59:D59"/>
    <mergeCell ref="E59:G59"/>
    <mergeCell ref="I59:K59"/>
    <mergeCell ref="I47:K47"/>
    <mergeCell ref="M50:U50"/>
    <mergeCell ref="M45:X45"/>
    <mergeCell ref="M46:U46"/>
    <mergeCell ref="V46:X46"/>
    <mergeCell ref="M47:U47"/>
    <mergeCell ref="V47:X47"/>
    <mergeCell ref="M48:U48"/>
    <mergeCell ref="V48:X48"/>
    <mergeCell ref="M49:U49"/>
    <mergeCell ref="V49:X49"/>
    <mergeCell ref="A43:G43"/>
    <mergeCell ref="I43:K43"/>
    <mergeCell ref="A44:G44"/>
    <mergeCell ref="I44:K44"/>
    <mergeCell ref="A41:G41"/>
    <mergeCell ref="I41:K41"/>
    <mergeCell ref="A42:G42"/>
    <mergeCell ref="I42:K42"/>
    <mergeCell ref="A46:H46"/>
    <mergeCell ref="I46:K46"/>
    <mergeCell ref="I45:K45"/>
    <mergeCell ref="E36:G36"/>
    <mergeCell ref="A38:I38"/>
    <mergeCell ref="A40:G40"/>
    <mergeCell ref="I40:K40"/>
    <mergeCell ref="E29:G29"/>
    <mergeCell ref="E30:G30"/>
    <mergeCell ref="E31:G31"/>
    <mergeCell ref="E33:G33"/>
    <mergeCell ref="E34:G34"/>
    <mergeCell ref="E35:G35"/>
    <mergeCell ref="E32:G32"/>
    <mergeCell ref="E37:G37"/>
    <mergeCell ref="E23:G23"/>
    <mergeCell ref="E24:G24"/>
    <mergeCell ref="E25:G25"/>
    <mergeCell ref="E26:G26"/>
    <mergeCell ref="E27:G27"/>
    <mergeCell ref="E28:G28"/>
    <mergeCell ref="E17:G17"/>
    <mergeCell ref="E18:G18"/>
    <mergeCell ref="E19:G19"/>
    <mergeCell ref="E20:G20"/>
    <mergeCell ref="E21:G21"/>
    <mergeCell ref="E22:G22"/>
    <mergeCell ref="E14:G14"/>
    <mergeCell ref="E15:G15"/>
    <mergeCell ref="E16:G16"/>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V8:X8"/>
    <mergeCell ref="A3:X3"/>
    <mergeCell ref="Q6:Q7"/>
    <mergeCell ref="R6:R7"/>
    <mergeCell ref="AA6:AE6"/>
    <mergeCell ref="AG6:AK6"/>
    <mergeCell ref="E11:G11"/>
    <mergeCell ref="E12:G12"/>
    <mergeCell ref="E13:G13"/>
    <mergeCell ref="EQ8:ER8"/>
    <mergeCell ref="EG8:EI8"/>
    <mergeCell ref="EM8:EN8"/>
    <mergeCell ref="DZ8:EB8"/>
    <mergeCell ref="FK8:FL8"/>
    <mergeCell ref="FQ8:FR8"/>
    <mergeCell ref="EU8:EV8"/>
    <mergeCell ref="EY8:EZ8"/>
    <mergeCell ref="FC8:FD8"/>
    <mergeCell ref="FE6:FH6"/>
    <mergeCell ref="FG8:FH8"/>
    <mergeCell ref="B2:E2"/>
    <mergeCell ref="E4:G4"/>
    <mergeCell ref="K4:L4"/>
    <mergeCell ref="A5:R5"/>
    <mergeCell ref="A4:D4"/>
    <mergeCell ref="I8:J8"/>
    <mergeCell ref="K8:R8"/>
    <mergeCell ref="I6:I7"/>
    <mergeCell ref="J6:J7"/>
    <mergeCell ref="E6:G8"/>
    <mergeCell ref="K6:L6"/>
    <mergeCell ref="N6:N7"/>
    <mergeCell ref="O6:O7"/>
    <mergeCell ref="S5:X5"/>
    <mergeCell ref="S6:X6"/>
    <mergeCell ref="S8:U8"/>
    <mergeCell ref="DS8:DV8"/>
    <mergeCell ref="FI3:GC3"/>
    <mergeCell ref="FI4:FL4"/>
    <mergeCell ref="FO4:FR4"/>
    <mergeCell ref="FI5:FR5"/>
    <mergeCell ref="DO6:DV6"/>
    <mergeCell ref="EK6:EN6"/>
    <mergeCell ref="EO6:ER6"/>
    <mergeCell ref="FI6:FL6"/>
    <mergeCell ref="FM6:FN6"/>
    <mergeCell ref="FO6:FR6"/>
    <mergeCell ref="FS6:FT6"/>
    <mergeCell ref="FV6:FW6"/>
    <mergeCell ref="FX6:FY6"/>
    <mergeCell ref="FZ6:GA6"/>
    <mergeCell ref="GB6:GC6"/>
    <mergeCell ref="EC6:EJ6"/>
    <mergeCell ref="ES6:EV6"/>
    <mergeCell ref="EW6:EZ6"/>
    <mergeCell ref="FA6:FD6"/>
    <mergeCell ref="DW6:EB6"/>
  </mergeCells>
  <phoneticPr fontId="5" type="noConversion"/>
  <conditionalFormatting sqref="A9:H9 D10:H31 A10:C36 D32:E32 H32 D33:H36 A37:H37">
    <cfRule type="expression" dxfId="631" priority="41">
      <formula>OR($C9="ekskursion")</formula>
    </cfRule>
    <cfRule type="expression" dxfId="630" priority="47" stopIfTrue="1">
      <formula>OR($C9="Orlov")</formula>
    </cfRule>
    <cfRule type="expression" dxfId="629" priority="46">
      <formula>OR($C9="weekend")</formula>
    </cfRule>
    <cfRule type="expression" dxfId="628" priority="45">
      <formula>OR($C9="feriedag")</formula>
    </cfRule>
    <cfRule type="expression" dxfId="627" priority="44">
      <formula>OR($C9="fagdag")</formula>
    </cfRule>
    <cfRule type="expression" dxfId="626" priority="43">
      <formula>OR($C9="emnedag")</formula>
    </cfRule>
    <cfRule type="expression" dxfId="625" priority="42">
      <formula>OR($C9="lejrskole")</formula>
    </cfRule>
    <cfRule type="expression" dxfId="624" priority="40">
      <formula>OR($C9="SH-dag")</formula>
    </cfRule>
    <cfRule type="expression" dxfId="623" priority="39">
      <formula>OR($C9="nul-dag")</formula>
    </cfRule>
    <cfRule type="expression" dxfId="622" priority="38">
      <formula>OR($C9="pæd.dag")</formula>
    </cfRule>
    <cfRule type="expression" dxfId="621" priority="37">
      <formula>OR($C9="Ikke relevant")</formula>
    </cfRule>
    <cfRule type="expression" dxfId="620" priority="33">
      <formula>OR($C9="Skema 1")</formula>
    </cfRule>
    <cfRule type="expression" dxfId="619" priority="34">
      <formula>OR($C9="skema 2")</formula>
    </cfRule>
    <cfRule type="expression" dxfId="618" priority="35">
      <formula>OR($C9="Skema 3")</formula>
    </cfRule>
    <cfRule type="expression" dxfId="617" priority="36">
      <formula>OR($C9="Skema 4")</formula>
    </cfRule>
  </conditionalFormatting>
  <conditionalFormatting sqref="E20">
    <cfRule type="expression" dxfId="616" priority="49">
      <formula>OR($D19="nul-dag")</formula>
    </cfRule>
    <cfRule type="expression" dxfId="615" priority="50">
      <formula>OR($D19="SH-dag")</formula>
    </cfRule>
    <cfRule type="expression" dxfId="614" priority="51">
      <formula>OR($D19="ekskursion")</formula>
    </cfRule>
    <cfRule type="expression" dxfId="613" priority="52">
      <formula>OR($D19="lejrskole")</formula>
    </cfRule>
    <cfRule type="expression" dxfId="612" priority="48">
      <formula>OR($D19="pæd.dag")</formula>
    </cfRule>
    <cfRule type="expression" dxfId="611" priority="53">
      <formula>OR($D19="emnedag")</formula>
    </cfRule>
    <cfRule type="expression" dxfId="610" priority="54">
      <formula>OR($D19="fagdag")</formula>
    </cfRule>
    <cfRule type="expression" dxfId="609" priority="55">
      <formula>OR($D19="feriedag")</formula>
    </cfRule>
    <cfRule type="expression" dxfId="608" priority="56">
      <formula>OR($D19="weekend")</formula>
    </cfRule>
    <cfRule type="expression" dxfId="607" priority="57" stopIfTrue="1">
      <formula>OR($D19="skoledag")</formula>
    </cfRule>
    <cfRule type="expression" dxfId="606" priority="58">
      <formula>OR($D19="Ikke relevant")</formula>
    </cfRule>
  </conditionalFormatting>
  <conditionalFormatting sqref="H56:H59">
    <cfRule type="expression" dxfId="605" priority="1">
      <formula>OR($A56&gt;0,)</formula>
    </cfRule>
  </conditionalFormatting>
  <conditionalFormatting sqref="I56:I59">
    <cfRule type="expression" dxfId="604" priority="2">
      <formula>OR($C56&gt;0,)</formula>
    </cfRule>
  </conditionalFormatting>
  <conditionalFormatting sqref="K9:K37">
    <cfRule type="expression" dxfId="603" priority="30">
      <formula>OR($C9="Pæd.dag",)</formula>
    </cfRule>
  </conditionalFormatting>
  <conditionalFormatting sqref="K9:L37">
    <cfRule type="expression" dxfId="602" priority="32">
      <formula>OR($C9="Ekskursion",)</formula>
    </cfRule>
    <cfRule type="expression" dxfId="601" priority="31">
      <formula>OR($C9="Lejrskole",)</formula>
    </cfRule>
  </conditionalFormatting>
  <conditionalFormatting sqref="K9:M37">
    <cfRule type="expression" dxfId="600" priority="29">
      <formula>OR($C9="emnedag",)</formula>
    </cfRule>
    <cfRule type="expression" dxfId="599" priority="28">
      <formula>OR($C9="fagdag",)</formula>
    </cfRule>
  </conditionalFormatting>
  <conditionalFormatting sqref="R9:R37">
    <cfRule type="expression" dxfId="598" priority="59">
      <formula>OR($H9&gt;"0",)</formula>
    </cfRule>
  </conditionalFormatting>
  <conditionalFormatting sqref="V9:V37">
    <cfRule type="expression" dxfId="597" priority="10">
      <formula>OR($S9="X",)</formula>
    </cfRule>
  </conditionalFormatting>
  <conditionalFormatting sqref="V47:X50">
    <cfRule type="expression" dxfId="596" priority="3">
      <formula>OR($M47&gt;0,)</formula>
    </cfRule>
  </conditionalFormatting>
  <conditionalFormatting sqref="W9:W37">
    <cfRule type="expression" dxfId="595" priority="8">
      <formula>OR($T9="x",)</formula>
    </cfRule>
  </conditionalFormatting>
  <conditionalFormatting sqref="X9:X37">
    <cfRule type="expression" dxfId="594" priority="9">
      <formula>OR($U9="X",)</formula>
    </cfRule>
  </conditionalFormatting>
  <dataValidations count="3">
    <dataValidation type="list" allowBlank="1" showInputMessage="1" showErrorMessage="1" sqref="S9:U38 A56:D59" xr:uid="{CCDC5417-EBBC-2A45-8AED-7B140D5306A6}">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30:I31 I16:I17 I23:I24 I9:I10" xr:uid="{39997E05-64E9-2E48-A8E7-636E6923A047}">
      <formula1>$W$1:$W$2</formula1>
    </dataValidation>
    <dataValidation type="list" allowBlank="1" showInputMessage="1" showErrorMessage="1" promptTitle="OBS:" prompt="Ved arrangementer med overnatning ydes istedet for ulempe- og weekendgodtgørelse på hhv. 25% og 50% faste tillæg pr. påbegyndt dag. " sqref="J9:J37" xr:uid="{DC11B7B6-EE68-8E49-8E02-43780E361383}">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August!$A$89:$A$103</xm:f>
          </x14:formula1>
          <xm:sqref>C9:C37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GC107"/>
  <sheetViews>
    <sheetView zoomScale="90" workbookViewId="0">
      <selection activeCell="GC19" sqref="Y1:GC104857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3</v>
      </c>
      <c r="B2" s="1101"/>
      <c r="C2" s="1101"/>
      <c r="D2" s="1101"/>
      <c r="E2" s="1101"/>
      <c r="F2" s="89"/>
      <c r="G2" s="89"/>
      <c r="H2" s="275"/>
      <c r="I2" s="274"/>
      <c r="J2" s="227"/>
      <c r="K2" s="227"/>
      <c r="L2" s="227"/>
      <c r="M2" s="227"/>
      <c r="N2" s="227"/>
      <c r="O2" s="227"/>
      <c r="P2" s="89"/>
      <c r="Q2" s="89"/>
      <c r="R2" s="89"/>
      <c r="S2" s="89"/>
      <c r="T2" s="89"/>
      <c r="U2" s="89"/>
      <c r="V2" s="89"/>
      <c r="W2" s="122" t="s">
        <v>31</v>
      </c>
      <c r="X2" s="122" t="s">
        <v>31</v>
      </c>
      <c r="Y2"/>
      <c r="Z2" s="89"/>
      <c r="AB2" s="89"/>
      <c r="AC2" s="89"/>
      <c r="AH2" s="89"/>
      <c r="AI2" s="89"/>
      <c r="CX2" s="244"/>
      <c r="CZ2"/>
    </row>
    <row r="3" spans="1:185" ht="17" thickBot="1">
      <c r="A3" s="1130" t="s">
        <v>309</v>
      </c>
      <c r="B3" s="1131"/>
      <c r="C3" s="1131"/>
      <c r="D3" s="1131"/>
      <c r="E3" s="1131"/>
      <c r="F3" s="1131"/>
      <c r="G3" s="1131"/>
      <c r="H3" s="1131"/>
      <c r="I3" s="1131"/>
      <c r="J3" s="1131"/>
      <c r="K3" s="1131"/>
      <c r="L3" s="1131"/>
      <c r="M3" s="1131"/>
      <c r="N3" s="1131"/>
      <c r="O3" s="1131"/>
      <c r="P3" s="1131"/>
      <c r="Q3" s="1131"/>
      <c r="R3" s="1131"/>
      <c r="S3" s="1131"/>
      <c r="T3" s="1131"/>
      <c r="U3" s="1131"/>
      <c r="V3" s="1131"/>
      <c r="W3" s="1131"/>
      <c r="X3" s="1132"/>
      <c r="Y3"/>
      <c r="Z3"/>
      <c r="AB3" s="89"/>
      <c r="AC3" s="89"/>
      <c r="AF3" s="89"/>
      <c r="CS3" s="244"/>
      <c r="CT3" s="244"/>
      <c r="CY3"/>
      <c r="CZ3"/>
      <c r="FI3" s="893" t="s">
        <v>623</v>
      </c>
      <c r="FJ3" s="894"/>
      <c r="FK3" s="894"/>
      <c r="FL3" s="894"/>
      <c r="FM3" s="894"/>
      <c r="FN3" s="894"/>
      <c r="FO3" s="894"/>
      <c r="FP3" s="894"/>
      <c r="FQ3" s="894"/>
      <c r="FR3" s="894"/>
      <c r="FS3" s="894"/>
      <c r="FT3" s="894"/>
      <c r="FU3" s="894"/>
      <c r="FV3" s="894"/>
      <c r="FW3" s="894"/>
      <c r="FX3" s="894"/>
      <c r="FY3" s="894"/>
      <c r="FZ3" s="894"/>
      <c r="GA3" s="894"/>
      <c r="GB3" s="894"/>
      <c r="GC3" s="895"/>
    </row>
    <row r="4" spans="1:185" ht="254" customHeight="1" thickBot="1">
      <c r="A4" s="930" t="s">
        <v>431</v>
      </c>
      <c r="B4" s="931"/>
      <c r="C4" s="931"/>
      <c r="D4" s="931"/>
      <c r="E4" s="935" t="s">
        <v>310</v>
      </c>
      <c r="F4" s="935"/>
      <c r="G4" s="935"/>
      <c r="H4" s="276" t="s">
        <v>413</v>
      </c>
      <c r="I4" s="432" t="s">
        <v>466</v>
      </c>
      <c r="J4" s="432" t="s">
        <v>467</v>
      </c>
      <c r="K4" s="946" t="s">
        <v>514</v>
      </c>
      <c r="L4" s="946"/>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5" t="s">
        <v>621</v>
      </c>
      <c r="FJ4" s="745"/>
      <c r="FK4" s="745"/>
      <c r="FL4" s="745"/>
      <c r="FM4" t="s">
        <v>614</v>
      </c>
      <c r="FO4" s="745" t="s">
        <v>620</v>
      </c>
      <c r="FP4" s="745"/>
      <c r="FQ4" s="745"/>
      <c r="FR4" s="745"/>
    </row>
    <row r="5" spans="1:185" ht="26" customHeight="1" thickBot="1">
      <c r="A5" s="947" t="str">
        <f>""&amp;A7&amp;" måneds kalender for: "&amp;Stamoplysninger!E8&amp;". Måneden vedr. normperioden: "&amp;Stamoplysninger!E11&amp;" - "&amp;Stamoplysninger!G11&amp;"."</f>
        <v>Marts måneds kalender for: . Måneden vedr. normperioden:  - .</v>
      </c>
      <c r="B5" s="948"/>
      <c r="C5" s="948"/>
      <c r="D5" s="948"/>
      <c r="E5" s="948"/>
      <c r="F5" s="948"/>
      <c r="G5" s="948"/>
      <c r="H5" s="948"/>
      <c r="I5" s="948"/>
      <c r="J5" s="948"/>
      <c r="K5" s="948"/>
      <c r="L5" s="948"/>
      <c r="M5" s="948"/>
      <c r="N5" s="948"/>
      <c r="O5" s="948"/>
      <c r="P5" s="948"/>
      <c r="Q5" s="948"/>
      <c r="R5" s="948"/>
      <c r="S5" s="940" t="s">
        <v>305</v>
      </c>
      <c r="T5" s="941"/>
      <c r="U5" s="941"/>
      <c r="V5" s="941"/>
      <c r="W5" s="941"/>
      <c r="X5" s="942"/>
      <c r="Y5" s="242"/>
      <c r="Z5" s="89"/>
      <c r="AB5" s="89"/>
      <c r="AC5" s="89"/>
      <c r="AH5" s="89"/>
      <c r="AI5" s="89"/>
      <c r="CX5" s="244"/>
      <c r="CZ5"/>
      <c r="FI5" s="896" t="s">
        <v>607</v>
      </c>
      <c r="FJ5" s="896"/>
      <c r="FK5" s="896"/>
      <c r="FL5" s="896"/>
      <c r="FM5" s="896"/>
      <c r="FN5" s="896"/>
      <c r="FO5" s="896"/>
      <c r="FP5" s="896"/>
      <c r="FQ5" s="896"/>
      <c r="FR5" s="896"/>
      <c r="FU5" t="s">
        <v>622</v>
      </c>
      <c r="FV5" t="s">
        <v>615</v>
      </c>
      <c r="FX5" t="s">
        <v>616</v>
      </c>
      <c r="FZ5" t="s">
        <v>617</v>
      </c>
      <c r="GB5" s="518" t="s">
        <v>618</v>
      </c>
    </row>
    <row r="6" spans="1:185" ht="47" customHeight="1">
      <c r="A6" s="324">
        <f>Januar!A6</f>
        <v>2025</v>
      </c>
      <c r="B6" s="238"/>
      <c r="C6" s="239"/>
      <c r="D6" s="240"/>
      <c r="E6" s="955" t="s">
        <v>470</v>
      </c>
      <c r="F6" s="956"/>
      <c r="G6" s="957"/>
      <c r="H6" s="321" t="s">
        <v>323</v>
      </c>
      <c r="I6" s="903" t="s">
        <v>465</v>
      </c>
      <c r="J6" s="953" t="s">
        <v>486</v>
      </c>
      <c r="K6" s="949" t="s">
        <v>302</v>
      </c>
      <c r="L6" s="950"/>
      <c r="M6" s="322" t="s">
        <v>303</v>
      </c>
      <c r="N6" s="903" t="s">
        <v>446</v>
      </c>
      <c r="O6" s="903" t="s">
        <v>307</v>
      </c>
      <c r="P6" s="903" t="s">
        <v>455</v>
      </c>
      <c r="Q6" s="903" t="s">
        <v>386</v>
      </c>
      <c r="R6" s="906" t="s">
        <v>515</v>
      </c>
      <c r="S6" s="968" t="s">
        <v>304</v>
      </c>
      <c r="T6" s="969"/>
      <c r="U6" s="969"/>
      <c r="V6" s="969"/>
      <c r="W6" s="969"/>
      <c r="X6" s="970"/>
      <c r="Y6" s="211"/>
      <c r="Z6" s="211"/>
      <c r="AA6" s="905" t="s">
        <v>261</v>
      </c>
      <c r="AB6" s="905"/>
      <c r="AC6" s="905"/>
      <c r="AD6" s="905"/>
      <c r="AE6" s="905"/>
      <c r="AF6" s="208"/>
      <c r="AG6" s="905" t="s">
        <v>222</v>
      </c>
      <c r="AH6" s="905"/>
      <c r="AI6" s="905"/>
      <c r="AJ6" s="905"/>
      <c r="AK6" s="905"/>
      <c r="AL6" s="905" t="s">
        <v>223</v>
      </c>
      <c r="AM6" s="905"/>
      <c r="AN6" s="905"/>
      <c r="AO6" s="905"/>
      <c r="AP6" s="905"/>
      <c r="AQ6" s="905" t="s">
        <v>224</v>
      </c>
      <c r="AR6" s="905"/>
      <c r="AS6" s="905"/>
      <c r="AT6" s="905"/>
      <c r="AU6" s="905"/>
      <c r="AV6" s="905" t="s">
        <v>225</v>
      </c>
      <c r="AW6" s="905"/>
      <c r="AX6" s="905"/>
      <c r="AY6" s="905"/>
      <c r="AZ6" s="905"/>
      <c r="BA6" s="295"/>
      <c r="BB6" s="208"/>
      <c r="BC6" s="905" t="s">
        <v>264</v>
      </c>
      <c r="BD6" s="905"/>
      <c r="BE6" s="905"/>
      <c r="BF6" s="905"/>
      <c r="BG6" s="905" t="s">
        <v>227</v>
      </c>
      <c r="BH6" s="905"/>
      <c r="BI6" s="905"/>
      <c r="BJ6" s="905"/>
      <c r="BK6" s="905"/>
      <c r="BL6" s="905" t="s">
        <v>228</v>
      </c>
      <c r="BM6" s="905"/>
      <c r="BN6" s="905"/>
      <c r="BO6" s="905"/>
      <c r="BP6" s="905"/>
      <c r="BQ6" s="905" t="s">
        <v>229</v>
      </c>
      <c r="BR6" s="905"/>
      <c r="BS6" s="905"/>
      <c r="BT6" s="905"/>
      <c r="BU6" s="905"/>
      <c r="BV6" s="905" t="s">
        <v>230</v>
      </c>
      <c r="BW6" s="905"/>
      <c r="BX6" s="905"/>
      <c r="BY6" s="905"/>
      <c r="BZ6" s="905"/>
      <c r="CD6" s="905" t="s">
        <v>265</v>
      </c>
      <c r="CE6" s="905"/>
      <c r="CF6" s="905"/>
      <c r="CG6" s="905"/>
      <c r="CH6" s="905"/>
      <c r="CI6" s="905" t="s">
        <v>267</v>
      </c>
      <c r="CJ6" s="905"/>
      <c r="CK6" s="905"/>
      <c r="CL6" s="905"/>
      <c r="CM6" s="905"/>
      <c r="CN6" s="905" t="s">
        <v>266</v>
      </c>
      <c r="CO6" s="905"/>
      <c r="CP6" s="905"/>
      <c r="CQ6" s="905"/>
      <c r="CR6" s="905"/>
      <c r="CS6" s="905" t="s">
        <v>268</v>
      </c>
      <c r="CT6" s="905"/>
      <c r="CU6" s="905"/>
      <c r="CV6" s="905"/>
      <c r="CW6" s="905"/>
      <c r="CX6" s="244"/>
      <c r="CZ6"/>
      <c r="DA6" s="745" t="s">
        <v>212</v>
      </c>
      <c r="DB6" s="745"/>
      <c r="DC6" s="745"/>
      <c r="DD6" s="745"/>
      <c r="DE6" s="745"/>
      <c r="DO6" s="1064" t="s">
        <v>319</v>
      </c>
      <c r="DP6" s="1065"/>
      <c r="DQ6" s="1065"/>
      <c r="DR6" s="1065"/>
      <c r="DS6" s="1065"/>
      <c r="DT6" s="1065"/>
      <c r="DU6" s="1065"/>
      <c r="DV6" s="1066"/>
      <c r="DW6" s="1067" t="s">
        <v>319</v>
      </c>
      <c r="DX6" s="1068"/>
      <c r="DY6" s="1068"/>
      <c r="DZ6" s="1068"/>
      <c r="EA6" s="1068"/>
      <c r="EB6" s="1069"/>
      <c r="EC6" s="1070" t="s">
        <v>375</v>
      </c>
      <c r="ED6" s="1071"/>
      <c r="EE6" s="1071"/>
      <c r="EF6" s="1071"/>
      <c r="EG6" s="1071"/>
      <c r="EH6" s="1071"/>
      <c r="EI6" s="1071"/>
      <c r="EJ6" s="1072"/>
      <c r="EK6" s="1073" t="s">
        <v>320</v>
      </c>
      <c r="EL6" s="1074"/>
      <c r="EM6" s="1074"/>
      <c r="EN6" s="1075"/>
      <c r="EO6" s="1073" t="s">
        <v>324</v>
      </c>
      <c r="EP6" s="1074"/>
      <c r="EQ6" s="1074"/>
      <c r="ER6" s="1075"/>
      <c r="ES6" s="888" t="s">
        <v>378</v>
      </c>
      <c r="ET6" s="889"/>
      <c r="EU6" s="889"/>
      <c r="EV6" s="890"/>
      <c r="EW6" s="888" t="s">
        <v>379</v>
      </c>
      <c r="EX6" s="889"/>
      <c r="EY6" s="889"/>
      <c r="EZ6" s="890"/>
      <c r="FA6" s="888" t="s">
        <v>380</v>
      </c>
      <c r="FB6" s="889"/>
      <c r="FC6" s="889"/>
      <c r="FD6" s="890"/>
      <c r="FE6" s="888" t="s">
        <v>381</v>
      </c>
      <c r="FF6" s="889"/>
      <c r="FG6" s="889"/>
      <c r="FH6" s="890"/>
      <c r="FI6" s="898" t="s">
        <v>592</v>
      </c>
      <c r="FJ6" s="899"/>
      <c r="FK6" s="899"/>
      <c r="FL6" s="1076"/>
      <c r="FM6" s="897" t="s">
        <v>380</v>
      </c>
      <c r="FN6" s="897"/>
      <c r="FO6" s="898" t="s">
        <v>619</v>
      </c>
      <c r="FP6" s="899"/>
      <c r="FQ6" s="899"/>
      <c r="FR6" s="900"/>
      <c r="FS6" s="901" t="s">
        <v>609</v>
      </c>
      <c r="FT6" s="902"/>
      <c r="FU6" t="s">
        <v>612</v>
      </c>
      <c r="FV6" s="897" t="s">
        <v>378</v>
      </c>
      <c r="FW6" s="897"/>
      <c r="FX6" s="897" t="s">
        <v>379</v>
      </c>
      <c r="FY6" s="897"/>
      <c r="FZ6" s="897" t="s">
        <v>381</v>
      </c>
      <c r="GA6" s="897"/>
      <c r="GB6" s="897" t="s">
        <v>377</v>
      </c>
      <c r="GC6" s="897"/>
    </row>
    <row r="7" spans="1:185" ht="199" customHeight="1">
      <c r="A7" s="1012" t="s">
        <v>285</v>
      </c>
      <c r="B7" s="1013"/>
      <c r="C7" s="1013"/>
      <c r="D7" s="1014"/>
      <c r="E7" s="958"/>
      <c r="F7" s="959"/>
      <c r="G7" s="960"/>
      <c r="H7" s="967" t="s">
        <v>485</v>
      </c>
      <c r="I7" s="952"/>
      <c r="J7" s="954"/>
      <c r="K7" s="323" t="s">
        <v>516</v>
      </c>
      <c r="L7" s="323" t="s">
        <v>517</v>
      </c>
      <c r="M7" s="323" t="s">
        <v>518</v>
      </c>
      <c r="N7" s="904"/>
      <c r="O7" s="904"/>
      <c r="P7" s="904"/>
      <c r="Q7" s="904"/>
      <c r="R7" s="907"/>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1015"/>
      <c r="B8" s="1016"/>
      <c r="C8" s="1016"/>
      <c r="D8" s="1017"/>
      <c r="E8" s="961"/>
      <c r="F8" s="962"/>
      <c r="G8" s="963"/>
      <c r="H8" s="904"/>
      <c r="I8" s="943" t="s">
        <v>382</v>
      </c>
      <c r="J8" s="951"/>
      <c r="K8" s="943" t="s">
        <v>325</v>
      </c>
      <c r="L8" s="944"/>
      <c r="M8" s="944"/>
      <c r="N8" s="944"/>
      <c r="O8" s="944"/>
      <c r="P8" s="944"/>
      <c r="Q8" s="944"/>
      <c r="R8" s="944"/>
      <c r="S8" s="971" t="s">
        <v>382</v>
      </c>
      <c r="T8" s="944"/>
      <c r="U8" s="951"/>
      <c r="V8" s="943" t="s">
        <v>383</v>
      </c>
      <c r="W8" s="944"/>
      <c r="X8" s="945"/>
      <c r="Y8" s="211"/>
      <c r="Z8" s="211"/>
      <c r="AA8" s="296"/>
      <c r="BB8" s="225"/>
      <c r="CA8" s="111"/>
      <c r="CB8" s="230"/>
      <c r="CC8" s="296"/>
      <c r="CX8" s="244"/>
      <c r="DA8" s="244"/>
      <c r="DB8" s="244"/>
      <c r="DC8" s="244"/>
      <c r="DD8" s="244"/>
      <c r="DE8" s="244"/>
      <c r="DF8" s="244"/>
      <c r="DG8" s="244"/>
      <c r="DH8" t="s">
        <v>492</v>
      </c>
      <c r="DI8" t="s">
        <v>493</v>
      </c>
      <c r="DJ8" t="s">
        <v>494</v>
      </c>
      <c r="DO8" s="643"/>
      <c r="DS8" s="1078" t="s">
        <v>162</v>
      </c>
      <c r="DT8" s="1078"/>
      <c r="DU8" s="1078"/>
      <c r="DV8" s="1079"/>
      <c r="DW8" s="643"/>
      <c r="DZ8" s="1080" t="s">
        <v>162</v>
      </c>
      <c r="EA8" s="1080"/>
      <c r="EB8" s="1081"/>
      <c r="EG8" s="1080" t="s">
        <v>162</v>
      </c>
      <c r="EH8" s="1080"/>
      <c r="EI8" s="1080"/>
      <c r="EJ8" s="644"/>
      <c r="EK8" s="279"/>
      <c r="EL8" s="247"/>
      <c r="EM8" s="891" t="s">
        <v>162</v>
      </c>
      <c r="EN8" s="892"/>
      <c r="EO8" s="279"/>
      <c r="EP8" s="247"/>
      <c r="EQ8" s="891" t="s">
        <v>162</v>
      </c>
      <c r="ER8" s="892"/>
      <c r="ES8" s="279"/>
      <c r="ET8" s="247"/>
      <c r="EU8" s="891" t="s">
        <v>162</v>
      </c>
      <c r="EV8" s="892"/>
      <c r="EW8" s="279"/>
      <c r="EX8" s="247"/>
      <c r="EY8" s="891" t="s">
        <v>162</v>
      </c>
      <c r="EZ8" s="892"/>
      <c r="FA8" s="279"/>
      <c r="FB8" s="247"/>
      <c r="FC8" s="891" t="s">
        <v>162</v>
      </c>
      <c r="FD8" s="892"/>
      <c r="FE8" s="279"/>
      <c r="FF8" s="247"/>
      <c r="FG8" s="891" t="s">
        <v>162</v>
      </c>
      <c r="FH8" s="892"/>
      <c r="FI8" s="279"/>
      <c r="FJ8" s="247"/>
      <c r="FK8" s="891" t="s">
        <v>162</v>
      </c>
      <c r="FL8" s="892"/>
      <c r="FN8" s="636" t="s">
        <v>160</v>
      </c>
      <c r="FO8" s="279"/>
      <c r="FP8" s="247"/>
      <c r="FQ8" s="891" t="s">
        <v>162</v>
      </c>
      <c r="FR8" s="1077"/>
      <c r="FS8" s="279"/>
      <c r="FT8" s="683" t="s">
        <v>160</v>
      </c>
      <c r="FW8" s="636" t="s">
        <v>160</v>
      </c>
      <c r="FY8" s="636" t="s">
        <v>160</v>
      </c>
      <c r="GA8" s="636" t="s">
        <v>160</v>
      </c>
      <c r="GC8" s="636" t="s">
        <v>160</v>
      </c>
    </row>
    <row r="9" spans="1:185">
      <c r="A9" s="241">
        <f>IF(ISNUMBER(A7),A7+1,1)</f>
        <v>1</v>
      </c>
      <c r="B9" s="127" t="str">
        <f t="shared" ref="B9:B39" si="0">CHOOSE(MOD(WEEKDAY(DATE(A$6,A$2,A9)),7)+1,"lø","sø","ma","ti","on","to","fr",)</f>
        <v>lø</v>
      </c>
      <c r="C9" s="128" t="s">
        <v>120</v>
      </c>
      <c r="D9" s="129" t="str">
        <f t="shared" ref="D9:D39" si="1">IF(B9="ma",(DATE(A$6,A$2,A9)-DATE(A$6,1,1)+7)/7,"")</f>
        <v/>
      </c>
      <c r="E9" s="932"/>
      <c r="F9" s="933"/>
      <c r="G9" s="934"/>
      <c r="H9" s="294"/>
      <c r="I9" s="407"/>
      <c r="J9" s="407"/>
      <c r="K9" s="374"/>
      <c r="L9" s="374"/>
      <c r="M9" s="374"/>
      <c r="N9" s="313">
        <f>BA9</f>
        <v>0</v>
      </c>
      <c r="O9" s="313">
        <f>CA9</f>
        <v>0</v>
      </c>
      <c r="P9" s="313">
        <f>IF(Stamoplysninger!$H$29="JA",Marts!DG9,CX9)</f>
        <v>0</v>
      </c>
      <c r="Q9" s="313">
        <f>IF(OR(C9="Lejrskole",C9="Ekskursion"),0,N9-O9-P9)</f>
        <v>0</v>
      </c>
      <c r="R9" s="314"/>
      <c r="S9" s="319"/>
      <c r="T9" s="320"/>
      <c r="U9" s="320"/>
      <c r="V9" s="429"/>
      <c r="W9" s="406"/>
      <c r="X9" s="633"/>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9" si="8">SUM(AG9:AK9)*24</f>
        <v>0</v>
      </c>
      <c r="BC9" s="1">
        <f>IF($C$9="Lejrskole",$L$9,0)</f>
        <v>0</v>
      </c>
      <c r="BD9" s="1">
        <f t="shared" ref="BD9:BD39" si="9">IF(C9="Ekskursion",L9,0)</f>
        <v>0</v>
      </c>
      <c r="BE9" s="1">
        <f t="shared" ref="BE9:BE39" si="10">IF(C9="fagdag",L9,0)</f>
        <v>0</v>
      </c>
      <c r="BF9" s="1">
        <f t="shared" ref="BF9:BF39" si="11">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9" si="12">IF(C9="fagdag",M9,0)</f>
        <v>0</v>
      </c>
      <c r="CC9" s="1">
        <f t="shared" ref="CC9:CC39" si="13">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4">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5">IF(AND(I9="X",S9="X"),V9,0)</f>
        <v>0</v>
      </c>
      <c r="FT9" s="649">
        <f t="shared" ref="FT9:FT37"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sø</v>
      </c>
      <c r="C10" s="128" t="s">
        <v>120</v>
      </c>
      <c r="D10" s="129" t="str">
        <f t="shared" si="1"/>
        <v/>
      </c>
      <c r="E10" s="932"/>
      <c r="F10" s="933"/>
      <c r="G10" s="934"/>
      <c r="H10" s="294"/>
      <c r="I10" s="407"/>
      <c r="J10" s="407"/>
      <c r="K10" s="374"/>
      <c r="L10" s="374"/>
      <c r="M10" s="374"/>
      <c r="N10" s="313">
        <f t="shared" ref="N10:N39" si="19">BA10</f>
        <v>0</v>
      </c>
      <c r="O10" s="313">
        <f t="shared" ref="O10:O39" si="20">CA10</f>
        <v>0</v>
      </c>
      <c r="P10" s="313">
        <f>IF(Stamoplysninger!$H$29="JA",Marts!DG10,CX10)</f>
        <v>0</v>
      </c>
      <c r="Q10" s="313">
        <f t="shared" ref="Q10:Q39" si="21">IF(OR(C10="Lejrskole",C10="Ekskursion"),0,N10-O10-P10)</f>
        <v>0</v>
      </c>
      <c r="R10" s="314"/>
      <c r="S10" s="319"/>
      <c r="T10" s="320"/>
      <c r="U10" s="320"/>
      <c r="V10" s="429"/>
      <c r="W10" s="406"/>
      <c r="X10" s="633"/>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6">
        <f t="shared" si="8"/>
        <v>0</v>
      </c>
      <c r="BC10" s="1">
        <f t="shared" ref="BC10:BC39" si="24">IF(C10="Lejrskole",L10,0)</f>
        <v>0</v>
      </c>
      <c r="BD10" s="1">
        <f t="shared" si="9"/>
        <v>0</v>
      </c>
      <c r="BE10" s="1">
        <f t="shared" si="10"/>
        <v>0</v>
      </c>
      <c r="BF10" s="1">
        <f t="shared" si="11"/>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9" si="25">SUM(BG10:BZ10)*24+SUM(BC10:BF10)</f>
        <v>0</v>
      </c>
      <c r="CB10" s="1">
        <f t="shared" si="12"/>
        <v>0</v>
      </c>
      <c r="CC10" s="1">
        <f t="shared" si="13"/>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ma</v>
      </c>
      <c r="C11" s="128" t="s">
        <v>206</v>
      </c>
      <c r="D11" s="129">
        <f t="shared" si="1"/>
        <v>9.7142857142857135</v>
      </c>
      <c r="E11" s="932"/>
      <c r="F11" s="933"/>
      <c r="G11" s="934"/>
      <c r="H11" s="294"/>
      <c r="I11" s="519"/>
      <c r="J11" s="407"/>
      <c r="K11" s="374"/>
      <c r="L11" s="374"/>
      <c r="M11" s="374"/>
      <c r="N11" s="313">
        <f t="shared" si="19"/>
        <v>0</v>
      </c>
      <c r="O11" s="313">
        <f t="shared" si="20"/>
        <v>0</v>
      </c>
      <c r="P11" s="313">
        <f>IF(Stamoplysninger!$H$29="JA",Marts!DG11,CX11)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f>IF(AND(C11="Skema 1",B11="ma"),Arbejdstidsoversigt!$E$72,"")</f>
        <v>0</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f>IF(AND(C11="Skema 1",B11="ma"),Skemaoplysninger!$E$30,"")</f>
        <v>0</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f>IF(AND(C11="Skema 1",B11="ma"),Skemaoplysninger!$E$31,"")</f>
        <v>0</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ti</v>
      </c>
      <c r="C12" s="128" t="s">
        <v>206</v>
      </c>
      <c r="D12" s="129" t="str">
        <f t="shared" si="1"/>
        <v/>
      </c>
      <c r="E12" s="932"/>
      <c r="F12" s="933"/>
      <c r="G12" s="934"/>
      <c r="H12" s="294"/>
      <c r="I12" s="519"/>
      <c r="J12" s="407"/>
      <c r="K12" s="374"/>
      <c r="L12" s="374"/>
      <c r="M12" s="374"/>
      <c r="N12" s="313">
        <f t="shared" si="19"/>
        <v>0</v>
      </c>
      <c r="O12" s="313">
        <f t="shared" si="20"/>
        <v>0</v>
      </c>
      <c r="P12" s="313">
        <f>IF(Stamoplysninger!$H$29="JA",Marts!DG12,CX12)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f>IF(AND(C12="Skema 1",B12="ti"),Arbejdstidsoversigt!$E$73,"")</f>
        <v>0</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f>IF(AND(C12="Skema 1",B12="ti"),Skemaoplysninger!$G$30,"")</f>
        <v>0</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f>IF(AND(C12="Skema 1",B12="ti"),Skemaoplysninger!$G$31,"")</f>
        <v>0</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on</v>
      </c>
      <c r="C13" s="128" t="s">
        <v>206</v>
      </c>
      <c r="D13" s="129" t="str">
        <f t="shared" si="1"/>
        <v/>
      </c>
      <c r="E13" s="932"/>
      <c r="F13" s="933"/>
      <c r="G13" s="934"/>
      <c r="H13" s="294"/>
      <c r="I13" s="519"/>
      <c r="J13" s="407"/>
      <c r="K13" s="374"/>
      <c r="L13" s="374"/>
      <c r="M13" s="374"/>
      <c r="N13" s="313">
        <f t="shared" si="19"/>
        <v>0</v>
      </c>
      <c r="O13" s="313">
        <f t="shared" si="20"/>
        <v>0</v>
      </c>
      <c r="P13" s="313">
        <f>IF(Stamoplysninger!$H$29="JA",Marts!DG13,CX13)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f>IF(AND(C13="Skema 1",B13="on"),Arbejdstidsoversigt!$E$74,"")</f>
        <v>0</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t="str">
        <f>IF(AND(C13="Skema 1",B13="ma"),Skemaoplysninger!$E$30,"")</f>
        <v/>
      </c>
      <c r="BH13" s="209" t="str">
        <f>IF(AND(C13="Skema 1",B13="ti"),Skemaoplysninger!$G$30,"")</f>
        <v/>
      </c>
      <c r="BI13" s="209">
        <f>IF(AND(C13="Skema 1",B13="on"),Skemaoplysninger!$I$30,"")</f>
        <v>0</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t="str">
        <f>IF(AND(C13="Skema 1",B13="ma"),Skemaoplysninger!$E$31,"")</f>
        <v/>
      </c>
      <c r="CE13" s="209" t="str">
        <f>IF(AND(C13="Skema 1",B13="ti"),Skemaoplysninger!$G$31,"")</f>
        <v/>
      </c>
      <c r="CF13" s="209">
        <f>IF(AND(C13="Skema 1",B13="on"),Skemaoplysninger!$I$31,"")</f>
        <v>0</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to</v>
      </c>
      <c r="C14" s="128" t="s">
        <v>206</v>
      </c>
      <c r="D14" s="129" t="str">
        <f t="shared" si="1"/>
        <v/>
      </c>
      <c r="E14" s="932"/>
      <c r="F14" s="933"/>
      <c r="G14" s="934"/>
      <c r="H14" s="294"/>
      <c r="I14" s="519"/>
      <c r="J14" s="407"/>
      <c r="K14" s="374"/>
      <c r="L14" s="374"/>
      <c r="M14" s="374"/>
      <c r="N14" s="313">
        <f t="shared" si="19"/>
        <v>0</v>
      </c>
      <c r="O14" s="313">
        <f t="shared" si="20"/>
        <v>0</v>
      </c>
      <c r="P14" s="313">
        <f>IF(Stamoplysninger!$H$29="JA",Marts!DG14,CX14)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f>IF(AND(C14="Skema 1",B14="to"),Arbejdstidsoversigt!$E$75,"")</f>
        <v>0</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t="str">
        <f>IF(AND(C14="Skema 1",B14="ma"),Skemaoplysninger!$E$30,"")</f>
        <v/>
      </c>
      <c r="BH14" s="209" t="str">
        <f>IF(AND(C14="Skema 1",B14="ti"),Skemaoplysninger!$G$30,"")</f>
        <v/>
      </c>
      <c r="BI14" s="209" t="str">
        <f>IF(AND(C14="Skema 1",B14="on"),Skemaoplysninger!$I$30,"")</f>
        <v/>
      </c>
      <c r="BJ14" s="209">
        <f>IF(AND(C14="Skema 1",B14="to"),Skemaoplysninger!$K$30,"")</f>
        <v>0</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t="str">
        <f>IF(AND(C14="Skema 1",B14="ma"),Skemaoplysninger!$E$31,"")</f>
        <v/>
      </c>
      <c r="CE14" s="209" t="str">
        <f>IF(AND(C14="Skema 1",B14="ti"),Skemaoplysninger!$G$31,"")</f>
        <v/>
      </c>
      <c r="CF14" s="209" t="str">
        <f>IF(AND(C14="Skema 1",B14="on"),Skemaoplysninger!$I$31,"")</f>
        <v/>
      </c>
      <c r="CG14" s="209">
        <f>IF(AND(C14="Skema 1",B14="to"),Skemaoplysninger!$K$31,"")</f>
        <v>0</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fr</v>
      </c>
      <c r="C15" s="128" t="s">
        <v>206</v>
      </c>
      <c r="D15" s="129" t="str">
        <f t="shared" si="1"/>
        <v/>
      </c>
      <c r="E15" s="932"/>
      <c r="F15" s="933"/>
      <c r="G15" s="934"/>
      <c r="H15" s="294"/>
      <c r="I15" s="519"/>
      <c r="J15" s="407"/>
      <c r="K15" s="374"/>
      <c r="L15" s="374"/>
      <c r="M15" s="374"/>
      <c r="N15" s="313">
        <f t="shared" si="19"/>
        <v>0</v>
      </c>
      <c r="O15" s="313">
        <f t="shared" si="20"/>
        <v>0</v>
      </c>
      <c r="P15" s="313">
        <f>IF(Stamoplysninger!$H$29="JA",Marts!DG15,CX15)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f>IF(AND(C15="Skema 1",B15="fr"),Arbejdstidsoversigt!$E$76,"")</f>
        <v>0</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t="str">
        <f>IF(AND(C15="Skema 1",B15="ma"),Skemaoplysninger!$E$30,"")</f>
        <v/>
      </c>
      <c r="BH15" s="209" t="str">
        <f>IF(AND(C15="Skema 1",B15="ti"),Skemaoplysninger!$G$30,"")</f>
        <v/>
      </c>
      <c r="BI15" s="209" t="str">
        <f>IF(AND(C15="Skema 1",B15="on"),Skemaoplysninger!$I$30,"")</f>
        <v/>
      </c>
      <c r="BJ15" s="209" t="str">
        <f>IF(AND(C15="Skema 1",B15="to"),Skemaoplysninger!$K$30,"")</f>
        <v/>
      </c>
      <c r="BK15" s="209">
        <f>IF(AND(C15="Skema 1",B15="fr"),Skemaoplysninger!$M$30,"")</f>
        <v>0</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t="str">
        <f>IF(AND(C15="Skema 1",B15="ma"),Skemaoplysninger!$E$31,"")</f>
        <v/>
      </c>
      <c r="CE15" s="209" t="str">
        <f>IF(AND(C15="Skema 1",B15="ti"),Skemaoplysninger!$G$31,"")</f>
        <v/>
      </c>
      <c r="CF15" s="209" t="str">
        <f>IF(AND(C15="Skema 1",B15="on"),Skemaoplysninger!$I$31,"")</f>
        <v/>
      </c>
      <c r="CG15" s="209" t="str">
        <f>IF(AND(C15="Skema 1",B15="to"),Skemaoplysninger!$K$31,"")</f>
        <v/>
      </c>
      <c r="CH15" s="209">
        <f>IF(AND(C15="Skema 1",B15="fr"),Skemaoplysninger!$M$31,"")</f>
        <v>0</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lø</v>
      </c>
      <c r="C16" s="128" t="s">
        <v>120</v>
      </c>
      <c r="D16" s="129" t="str">
        <f t="shared" si="1"/>
        <v/>
      </c>
      <c r="E16" s="932"/>
      <c r="F16" s="933"/>
      <c r="G16" s="934"/>
      <c r="H16" s="294"/>
      <c r="I16" s="407"/>
      <c r="J16" s="407"/>
      <c r="K16" s="374"/>
      <c r="L16" s="374"/>
      <c r="M16" s="374"/>
      <c r="N16" s="313">
        <f t="shared" si="19"/>
        <v>0</v>
      </c>
      <c r="O16" s="313">
        <f t="shared" si="20"/>
        <v>0</v>
      </c>
      <c r="P16" s="313">
        <f>IF(Stamoplysninger!$H$29="JA",Marts!DG16,CX16)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4"/>
        <v/>
      </c>
      <c r="DL16" t="str">
        <f t="shared" si="14"/>
        <v/>
      </c>
      <c r="DM16" t="str">
        <f t="shared" si="14"/>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sø</v>
      </c>
      <c r="C17" s="128" t="s">
        <v>120</v>
      </c>
      <c r="D17" s="129" t="str">
        <f t="shared" si="1"/>
        <v/>
      </c>
      <c r="E17" s="932"/>
      <c r="F17" s="933"/>
      <c r="G17" s="934"/>
      <c r="H17" s="294"/>
      <c r="I17" s="407"/>
      <c r="J17" s="407"/>
      <c r="K17" s="374"/>
      <c r="L17" s="374"/>
      <c r="M17" s="374"/>
      <c r="N17" s="313">
        <f t="shared" si="19"/>
        <v>0</v>
      </c>
      <c r="O17" s="313">
        <f t="shared" si="20"/>
        <v>0</v>
      </c>
      <c r="P17" s="313">
        <f>IF(Stamoplysninger!$H$29="JA",Marts!DG17,CX17)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4"/>
        <v/>
      </c>
      <c r="DL17" t="str">
        <f t="shared" si="14"/>
        <v/>
      </c>
      <c r="DM17" t="str">
        <f t="shared" si="14"/>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ma</v>
      </c>
      <c r="C18" s="128" t="s">
        <v>206</v>
      </c>
      <c r="D18" s="129">
        <f t="shared" si="1"/>
        <v>10.714285714285714</v>
      </c>
      <c r="E18" s="932"/>
      <c r="F18" s="933"/>
      <c r="G18" s="934"/>
      <c r="H18" s="294"/>
      <c r="I18" s="519"/>
      <c r="J18" s="407"/>
      <c r="K18" s="374"/>
      <c r="L18" s="374"/>
      <c r="M18" s="374"/>
      <c r="N18" s="313">
        <f t="shared" si="19"/>
        <v>0</v>
      </c>
      <c r="O18" s="313">
        <f t="shared" si="20"/>
        <v>0</v>
      </c>
      <c r="P18" s="313">
        <f>IF(Stamoplysninger!$H$29="JA",Marts!DG18,CX18)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f>IF(AND(C18="Skema 1",B18="ma"),Arbejdstidsoversigt!$E$72,"")</f>
        <v>0</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f>IF(AND(C18="Skema 1",B18="ma"),Skemaoplysninger!$E$30,"")</f>
        <v>0</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f>IF(AND(C18="Skema 1",B18="ma"),Skemaoplysninger!$E$31,"")</f>
        <v>0</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4"/>
        <v/>
      </c>
      <c r="DL18" t="str">
        <f t="shared" si="14"/>
        <v/>
      </c>
      <c r="DM18" t="str">
        <f t="shared" si="14"/>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ti</v>
      </c>
      <c r="C19" s="128" t="s">
        <v>206</v>
      </c>
      <c r="D19" s="129" t="str">
        <f t="shared" si="1"/>
        <v/>
      </c>
      <c r="E19" s="932"/>
      <c r="F19" s="933"/>
      <c r="G19" s="934"/>
      <c r="H19" s="294"/>
      <c r="I19" s="519"/>
      <c r="J19" s="407"/>
      <c r="K19" s="374"/>
      <c r="L19" s="374"/>
      <c r="M19" s="374"/>
      <c r="N19" s="313">
        <f t="shared" si="19"/>
        <v>0</v>
      </c>
      <c r="O19" s="313">
        <f t="shared" si="20"/>
        <v>0</v>
      </c>
      <c r="P19" s="313">
        <f>IF(Stamoplysninger!$H$29="JA",Marts!DG19,CX19)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f>IF(AND(C19="Skema 1",B19="ti"),Arbejdstidsoversigt!$E$73,"")</f>
        <v>0</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f>IF(AND(C19="Skema 1",B19="ti"),Skemaoplysninger!$G$30,"")</f>
        <v>0</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f>IF(AND(C19="Skema 1",B19="ti"),Skemaoplysninger!$G$31,"")</f>
        <v>0</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4"/>
        <v/>
      </c>
      <c r="DL19" t="str">
        <f t="shared" si="14"/>
        <v/>
      </c>
      <c r="DM19" t="str">
        <f t="shared" si="14"/>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on</v>
      </c>
      <c r="C20" s="128" t="s">
        <v>206</v>
      </c>
      <c r="D20" s="129" t="str">
        <f t="shared" si="1"/>
        <v/>
      </c>
      <c r="E20" s="932"/>
      <c r="F20" s="933"/>
      <c r="G20" s="934"/>
      <c r="H20" s="294"/>
      <c r="I20" s="519"/>
      <c r="J20" s="407"/>
      <c r="K20" s="374"/>
      <c r="L20" s="374"/>
      <c r="M20" s="374"/>
      <c r="N20" s="313">
        <f t="shared" si="19"/>
        <v>0</v>
      </c>
      <c r="O20" s="313">
        <f t="shared" si="20"/>
        <v>0</v>
      </c>
      <c r="P20" s="313">
        <f>IF(Stamoplysninger!$H$29="JA",Marts!DG20,CX20)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f>IF(AND(C20="Skema 1",B20="on"),Arbejdstidsoversigt!$E$74,"")</f>
        <v>0</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t="str">
        <f>IF(AND(C20="Skema 1",B20="ma"),Skemaoplysninger!$E$30,"")</f>
        <v/>
      </c>
      <c r="BH20" s="209" t="str">
        <f>IF(AND(C20="Skema 1",B20="ti"),Skemaoplysninger!$G$30,"")</f>
        <v/>
      </c>
      <c r="BI20" s="209">
        <f>IF(AND(C20="Skema 1",B20="on"),Skemaoplysninger!$I$30,"")</f>
        <v>0</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t="str">
        <f>IF(AND(C20="Skema 1",B20="ma"),Skemaoplysninger!$E$31,"")</f>
        <v/>
      </c>
      <c r="CE20" s="209" t="str">
        <f>IF(AND(C20="Skema 1",B20="ti"),Skemaoplysninger!$G$31,"")</f>
        <v/>
      </c>
      <c r="CF20" s="209">
        <f>IF(AND(C20="Skema 1",B20="on"),Skemaoplysninger!$I$31,"")</f>
        <v>0</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to</v>
      </c>
      <c r="C21" s="128" t="s">
        <v>206</v>
      </c>
      <c r="D21" s="129" t="str">
        <f t="shared" si="1"/>
        <v/>
      </c>
      <c r="E21" s="964"/>
      <c r="F21" s="965"/>
      <c r="G21" s="966"/>
      <c r="H21" s="293"/>
      <c r="I21" s="519"/>
      <c r="J21" s="407"/>
      <c r="K21" s="374"/>
      <c r="L21" s="374"/>
      <c r="M21" s="374"/>
      <c r="N21" s="313">
        <f t="shared" si="19"/>
        <v>0</v>
      </c>
      <c r="O21" s="313">
        <f t="shared" si="20"/>
        <v>0</v>
      </c>
      <c r="P21" s="313">
        <f>IF(Stamoplysninger!$H$29="JA",Marts!DG21,CX21)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f>IF(AND(C21="Skema 1",B21="to"),Arbejdstidsoversigt!$E$75,"")</f>
        <v>0</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t="str">
        <f>IF(AND(C21="Skema 1",B21="ma"),Skemaoplysninger!$E$30,"")</f>
        <v/>
      </c>
      <c r="BH21" s="209" t="str">
        <f>IF(AND(C21="Skema 1",B21="ti"),Skemaoplysninger!$G$30,"")</f>
        <v/>
      </c>
      <c r="BI21" s="209" t="str">
        <f>IF(AND(C21="Skema 1",B21="on"),Skemaoplysninger!$I$30,"")</f>
        <v/>
      </c>
      <c r="BJ21" s="209">
        <f>IF(AND(C21="Skema 1",B21="to"),Skemaoplysninger!$K$30,"")</f>
        <v>0</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t="str">
        <f>IF(AND(C21="Skema 1",B21="ma"),Skemaoplysninger!$E$31,"")</f>
        <v/>
      </c>
      <c r="CE21" s="209" t="str">
        <f>IF(AND(C21="Skema 1",B21="ti"),Skemaoplysninger!$G$31,"")</f>
        <v/>
      </c>
      <c r="CF21" s="209" t="str">
        <f>IF(AND(C21="Skema 1",B21="on"),Skemaoplysninger!$I$31,"")</f>
        <v/>
      </c>
      <c r="CG21" s="209">
        <f>IF(AND(C21="Skema 1",B21="to"),Skemaoplysninger!$K$31,"")</f>
        <v>0</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fr</v>
      </c>
      <c r="C22" s="128" t="s">
        <v>206</v>
      </c>
      <c r="D22" s="129" t="str">
        <f t="shared" si="1"/>
        <v/>
      </c>
      <c r="E22" s="964"/>
      <c r="F22" s="965"/>
      <c r="G22" s="966"/>
      <c r="H22" s="293"/>
      <c r="I22" s="519"/>
      <c r="J22" s="407"/>
      <c r="K22" s="374"/>
      <c r="L22" s="374"/>
      <c r="M22" s="374"/>
      <c r="N22" s="313">
        <f t="shared" si="19"/>
        <v>0</v>
      </c>
      <c r="O22" s="313">
        <f t="shared" si="20"/>
        <v>0</v>
      </c>
      <c r="P22" s="313">
        <f>IF(Stamoplysninger!$H$29="JA",Marts!DG22,CX22)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f>IF(AND(C22="Skema 1",B22="fr"),Arbejdstidsoversigt!$E$76,"")</f>
        <v>0</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t="str">
        <f>IF(AND(C22="Skema 1",B22="ti"),Skemaoplysninger!$G$30,"")</f>
        <v/>
      </c>
      <c r="BI22" s="209" t="str">
        <f>IF(AND(C22="Skema 1",B22="on"),Skemaoplysninger!$I$30,"")</f>
        <v/>
      </c>
      <c r="BJ22" s="209" t="str">
        <f>IF(AND(C22="Skema 1",B22="to"),Skemaoplysninger!$K$30,"")</f>
        <v/>
      </c>
      <c r="BK22" s="209">
        <f>IF(AND(C22="Skema 1",B22="fr"),Skemaoplysninger!$M$30,"")</f>
        <v>0</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t="str">
        <f>IF(AND(C22="Skema 1",B22="ti"),Skemaoplysninger!$G$31,"")</f>
        <v/>
      </c>
      <c r="CF22" s="209" t="str">
        <f>IF(AND(C22="Skema 1",B22="on"),Skemaoplysninger!$I$31,"")</f>
        <v/>
      </c>
      <c r="CG22" s="209" t="str">
        <f>IF(AND(C22="Skema 1",B22="to"),Skemaoplysninger!$K$31,"")</f>
        <v/>
      </c>
      <c r="CH22" s="209">
        <f>IF(AND(C22="Skema 1",B22="fr"),Skemaoplysninger!$M$31,"")</f>
        <v>0</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4"/>
        <v/>
      </c>
      <c r="DL22" t="str">
        <f t="shared" si="14"/>
        <v/>
      </c>
      <c r="DM22" t="str">
        <f t="shared" si="14"/>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lø</v>
      </c>
      <c r="C23" s="128" t="s">
        <v>120</v>
      </c>
      <c r="D23" s="129" t="str">
        <f t="shared" si="1"/>
        <v/>
      </c>
      <c r="E23" s="964"/>
      <c r="F23" s="965"/>
      <c r="G23" s="966"/>
      <c r="H23" s="293"/>
      <c r="I23" s="407"/>
      <c r="J23" s="407"/>
      <c r="K23" s="374"/>
      <c r="L23" s="374"/>
      <c r="M23" s="374"/>
      <c r="N23" s="313">
        <f t="shared" si="19"/>
        <v>0</v>
      </c>
      <c r="O23" s="313">
        <f t="shared" si="20"/>
        <v>0</v>
      </c>
      <c r="P23" s="313">
        <f>IF(Stamoplysninger!$H$29="JA",Marts!DG23,CX23)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4"/>
        <v/>
      </c>
      <c r="DL23" t="str">
        <f t="shared" si="14"/>
        <v/>
      </c>
      <c r="DM23" t="str">
        <f t="shared" si="14"/>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sø</v>
      </c>
      <c r="C24" s="128" t="s">
        <v>120</v>
      </c>
      <c r="D24" s="129" t="str">
        <f t="shared" si="1"/>
        <v/>
      </c>
      <c r="E24" s="932"/>
      <c r="F24" s="933"/>
      <c r="G24" s="934"/>
      <c r="H24" s="294"/>
      <c r="I24" s="407"/>
      <c r="J24" s="407"/>
      <c r="K24" s="374"/>
      <c r="L24" s="374"/>
      <c r="M24" s="374"/>
      <c r="N24" s="313">
        <f t="shared" si="19"/>
        <v>0</v>
      </c>
      <c r="O24" s="313">
        <f t="shared" si="20"/>
        <v>0</v>
      </c>
      <c r="P24" s="313">
        <f>IF(Stamoplysninger!$H$29="JA",Marts!DG24,CX24)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4"/>
        <v/>
      </c>
      <c r="DL24" t="str">
        <f t="shared" si="14"/>
        <v/>
      </c>
      <c r="DM24" t="str">
        <f t="shared" si="14"/>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ma</v>
      </c>
      <c r="C25" s="128" t="s">
        <v>206</v>
      </c>
      <c r="D25" s="129">
        <f t="shared" si="1"/>
        <v>11.714285714285714</v>
      </c>
      <c r="E25" s="932"/>
      <c r="F25" s="933"/>
      <c r="G25" s="934"/>
      <c r="H25" s="294"/>
      <c r="I25" s="519"/>
      <c r="J25" s="407"/>
      <c r="K25" s="374"/>
      <c r="L25" s="374"/>
      <c r="M25" s="374"/>
      <c r="N25" s="313">
        <f t="shared" si="19"/>
        <v>0</v>
      </c>
      <c r="O25" s="313">
        <f t="shared" si="20"/>
        <v>0</v>
      </c>
      <c r="P25" s="313">
        <f>IF(Stamoplysninger!$H$29="JA",Marts!DG25,CX25)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f>IF(AND(C25="Skema 1",B25="ma"),Arbejdstidsoversigt!$E$72,"")</f>
        <v>0</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f>IF(AND(C25="Skema 1",B25="ma"),Skemaoplysninger!$E$30,"")</f>
        <v>0</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f>IF(AND(C25="Skema 1",B25="ma"),Skemaoplysninger!$E$31,"")</f>
        <v>0</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4"/>
        <v/>
      </c>
      <c r="DL25" t="str">
        <f t="shared" si="14"/>
        <v/>
      </c>
      <c r="DM25" t="str">
        <f t="shared" si="14"/>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ti</v>
      </c>
      <c r="C26" s="128" t="s">
        <v>206</v>
      </c>
      <c r="D26" s="129" t="str">
        <f t="shared" si="1"/>
        <v/>
      </c>
      <c r="E26" s="932"/>
      <c r="F26" s="933"/>
      <c r="G26" s="934"/>
      <c r="H26" s="294"/>
      <c r="I26" s="519"/>
      <c r="J26" s="407"/>
      <c r="K26" s="374"/>
      <c r="L26" s="374"/>
      <c r="M26" s="374"/>
      <c r="N26" s="313">
        <f t="shared" si="19"/>
        <v>0</v>
      </c>
      <c r="O26" s="313">
        <f t="shared" si="20"/>
        <v>0</v>
      </c>
      <c r="P26" s="313">
        <f>IF(Stamoplysninger!$H$29="JA",Marts!DG26,CX26)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f>IF(AND(C26="Skema 1",B26="ti"),Arbejdstidsoversigt!$E$73,"")</f>
        <v>0</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f>IF(AND(C26="Skema 1",B26="ti"),Skemaoplysninger!$G$30,"")</f>
        <v>0</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f>IF(AND(C26="Skema 1",B26="ti"),Skemaoplysninger!$G$31,"")</f>
        <v>0</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4"/>
        <v/>
      </c>
      <c r="DL26" t="str">
        <f t="shared" si="14"/>
        <v/>
      </c>
      <c r="DM26" t="str">
        <f t="shared" si="14"/>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on</v>
      </c>
      <c r="C27" s="128" t="s">
        <v>206</v>
      </c>
      <c r="D27" s="129" t="str">
        <f t="shared" si="1"/>
        <v/>
      </c>
      <c r="E27" s="932"/>
      <c r="F27" s="933"/>
      <c r="G27" s="934"/>
      <c r="H27" s="294"/>
      <c r="I27" s="519"/>
      <c r="J27" s="407"/>
      <c r="K27" s="374"/>
      <c r="L27" s="374"/>
      <c r="M27" s="374"/>
      <c r="N27" s="313">
        <f t="shared" si="19"/>
        <v>0</v>
      </c>
      <c r="O27" s="313">
        <f t="shared" si="20"/>
        <v>0</v>
      </c>
      <c r="P27" s="313">
        <f>IF(Stamoplysninger!$H$29="JA",Marts!DG27,CX27)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f>IF(AND(C27="Skema 1",B27="on"),Arbejdstidsoversigt!$E$74,"")</f>
        <v>0</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t="str">
        <f>IF(AND(C27="Skema 1",B27="ma"),Skemaoplysninger!$E$30,"")</f>
        <v/>
      </c>
      <c r="BH27" s="209" t="str">
        <f>IF(AND(C27="Skema 1",B27="ti"),Skemaoplysninger!$G$30,"")</f>
        <v/>
      </c>
      <c r="BI27" s="209">
        <f>IF(AND(C27="Skema 1",B27="on"),Skemaoplysninger!$I$30,"")</f>
        <v>0</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t="str">
        <f>IF(AND(C27="Skema 1",B27="ma"),Skemaoplysninger!$E$31,"")</f>
        <v/>
      </c>
      <c r="CE27" s="209" t="str">
        <f>IF(AND(C27="Skema 1",B27="ti"),Skemaoplysninger!$G$31,"")</f>
        <v/>
      </c>
      <c r="CF27" s="209">
        <f>IF(AND(C27="Skema 1",B27="on"),Skemaoplysninger!$I$31,"")</f>
        <v>0</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to</v>
      </c>
      <c r="C28" s="128" t="s">
        <v>206</v>
      </c>
      <c r="D28" s="129" t="str">
        <f t="shared" si="1"/>
        <v/>
      </c>
      <c r="E28" s="932"/>
      <c r="F28" s="933"/>
      <c r="G28" s="934"/>
      <c r="H28" s="294"/>
      <c r="I28" s="519"/>
      <c r="J28" s="407"/>
      <c r="K28" s="374"/>
      <c r="L28" s="374"/>
      <c r="M28" s="374"/>
      <c r="N28" s="313">
        <f t="shared" si="19"/>
        <v>0</v>
      </c>
      <c r="O28" s="313">
        <f t="shared" si="20"/>
        <v>0</v>
      </c>
      <c r="P28" s="313">
        <f>IF(Stamoplysninger!$H$29="JA",Marts!DG28,CX28)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f>IF(AND(C28="Skema 1",B28="to"),Arbejdstidsoversigt!$E$75,"")</f>
        <v>0</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t="str">
        <f>IF(AND(C28="Skema 1",B28="ma"),Skemaoplysninger!$E$30,"")</f>
        <v/>
      </c>
      <c r="BH28" s="209" t="str">
        <f>IF(AND(C28="Skema 1",B28="ti"),Skemaoplysninger!$G$30,"")</f>
        <v/>
      </c>
      <c r="BI28" s="209" t="str">
        <f>IF(AND(C28="Skema 1",B28="on"),Skemaoplysninger!$I$30,"")</f>
        <v/>
      </c>
      <c r="BJ28" s="209">
        <f>IF(AND(C28="Skema 1",B28="to"),Skemaoplysninger!$K$30,"")</f>
        <v>0</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t="str">
        <f>IF(AND(C28="Skema 1",B28="ma"),Skemaoplysninger!$E$31,"")</f>
        <v/>
      </c>
      <c r="CE28" s="209" t="str">
        <f>IF(AND(C28="Skema 1",B28="ti"),Skemaoplysninger!$G$31,"")</f>
        <v/>
      </c>
      <c r="CF28" s="209" t="str">
        <f>IF(AND(C28="Skema 1",B28="on"),Skemaoplysninger!$I$31,"")</f>
        <v/>
      </c>
      <c r="CG28" s="209">
        <f>IF(AND(C28="Skema 1",B28="to"),Skemaoplysninger!$K$31,"")</f>
        <v>0</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fr</v>
      </c>
      <c r="C29" s="128" t="s">
        <v>206</v>
      </c>
      <c r="D29" s="129" t="str">
        <f t="shared" si="1"/>
        <v/>
      </c>
      <c r="E29" s="932"/>
      <c r="F29" s="933"/>
      <c r="G29" s="934"/>
      <c r="H29" s="294"/>
      <c r="I29" s="519"/>
      <c r="J29" s="407"/>
      <c r="K29" s="374"/>
      <c r="L29" s="374"/>
      <c r="M29" s="374"/>
      <c r="N29" s="313">
        <f t="shared" si="19"/>
        <v>0</v>
      </c>
      <c r="O29" s="313">
        <f t="shared" si="20"/>
        <v>0</v>
      </c>
      <c r="P29" s="313">
        <f>IF(Stamoplysninger!$H$29="JA",Marts!DG29,CX29)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f>IF(AND(C29="Skema 1",B29="fr"),Arbejdstidsoversigt!$E$76,"")</f>
        <v>0</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t="str">
        <f>IF(AND(C29="Skema 1",B29="ma"),Skemaoplysninger!$E$30,"")</f>
        <v/>
      </c>
      <c r="BH29" s="209" t="str">
        <f>IF(AND(C29="Skema 1",B29="ti"),Skemaoplysninger!$G$30,"")</f>
        <v/>
      </c>
      <c r="BI29" s="209" t="str">
        <f>IF(AND(C29="Skema 1",B29="on"),Skemaoplysninger!$I$30,"")</f>
        <v/>
      </c>
      <c r="BJ29" s="209" t="str">
        <f>IF(AND(C29="Skema 1",B29="to"),Skemaoplysninger!$K$30,"")</f>
        <v/>
      </c>
      <c r="BK29" s="209">
        <f>IF(AND(C29="Skema 1",B29="fr"),Skemaoplysninger!$M$30,"")</f>
        <v>0</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t="str">
        <f>IF(AND(C29="Skema 1",B29="ma"),Skemaoplysninger!$E$31,"")</f>
        <v/>
      </c>
      <c r="CE29" s="209" t="str">
        <f>IF(AND(C29="Skema 1",B29="ti"),Skemaoplysninger!$G$31,"")</f>
        <v/>
      </c>
      <c r="CF29" s="209" t="str">
        <f>IF(AND(C29="Skema 1",B29="on"),Skemaoplysninger!$I$31,"")</f>
        <v/>
      </c>
      <c r="CG29" s="209" t="str">
        <f>IF(AND(C29="Skema 1",B29="to"),Skemaoplysninger!$K$31,"")</f>
        <v/>
      </c>
      <c r="CH29" s="209">
        <f>IF(AND(C29="Skema 1",B29="fr"),Skemaoplysninger!$M$31,"")</f>
        <v>0</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4"/>
        <v/>
      </c>
      <c r="DL29" t="str">
        <f t="shared" si="14"/>
        <v/>
      </c>
      <c r="DM29" t="str">
        <f t="shared" si="14"/>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lø</v>
      </c>
      <c r="C30" s="128" t="s">
        <v>120</v>
      </c>
      <c r="D30" s="129" t="str">
        <f t="shared" si="1"/>
        <v/>
      </c>
      <c r="E30" s="932"/>
      <c r="F30" s="933"/>
      <c r="G30" s="934"/>
      <c r="H30" s="294"/>
      <c r="I30" s="407"/>
      <c r="J30" s="407"/>
      <c r="K30" s="374"/>
      <c r="L30" s="374"/>
      <c r="M30" s="374"/>
      <c r="N30" s="313">
        <f t="shared" si="19"/>
        <v>0</v>
      </c>
      <c r="O30" s="313">
        <f t="shared" si="20"/>
        <v>0</v>
      </c>
      <c r="P30" s="313">
        <f>IF(Stamoplysninger!$H$29="JA",Marts!DG30,CX30)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4"/>
        <v/>
      </c>
      <c r="DL30" t="str">
        <f t="shared" si="14"/>
        <v/>
      </c>
      <c r="DM30" t="str">
        <f t="shared" si="14"/>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9"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sø</v>
      </c>
      <c r="C31" s="128" t="s">
        <v>120</v>
      </c>
      <c r="D31" s="129" t="str">
        <f t="shared" si="1"/>
        <v/>
      </c>
      <c r="E31" s="932"/>
      <c r="F31" s="933"/>
      <c r="G31" s="934"/>
      <c r="H31" s="294"/>
      <c r="I31" s="407"/>
      <c r="J31" s="407"/>
      <c r="K31" s="374"/>
      <c r="L31" s="374"/>
      <c r="M31" s="374"/>
      <c r="N31" s="313">
        <f t="shared" si="19"/>
        <v>0</v>
      </c>
      <c r="O31" s="313">
        <f t="shared" si="20"/>
        <v>0</v>
      </c>
      <c r="P31" s="313">
        <f>IF(Stamoplysninger!$H$29="JA",Marts!DG31,CX31)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4"/>
        <v/>
      </c>
      <c r="DL31" t="str">
        <f t="shared" si="14"/>
        <v/>
      </c>
      <c r="DM31" t="str">
        <f t="shared" si="14"/>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ma</v>
      </c>
      <c r="C32" s="128" t="s">
        <v>206</v>
      </c>
      <c r="D32" s="129">
        <f t="shared" si="1"/>
        <v>12.714285714285714</v>
      </c>
      <c r="E32" s="964"/>
      <c r="F32" s="965"/>
      <c r="G32" s="966"/>
      <c r="H32" s="294"/>
      <c r="I32" s="519"/>
      <c r="J32" s="407"/>
      <c r="K32" s="374"/>
      <c r="L32" s="374"/>
      <c r="M32" s="374"/>
      <c r="N32" s="313">
        <f t="shared" si="19"/>
        <v>0</v>
      </c>
      <c r="O32" s="313">
        <f t="shared" si="20"/>
        <v>0</v>
      </c>
      <c r="P32" s="313">
        <f>IF(Stamoplysninger!$H$29="JA",Marts!DG32,CX32)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f>IF(AND(C32="Skema 1",B32="ma"),Arbejdstidsoversigt!$E$72,"")</f>
        <v>0</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f>IF(AND(C32="Skema 1",B32="ma"),Skemaoplysninger!$E$30,"")</f>
        <v>0</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f>IF(AND(C32="Skema 1",B32="ma"),Skemaoplysninger!$E$31,"")</f>
        <v>0</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4"/>
        <v/>
      </c>
      <c r="DL32" t="str">
        <f t="shared" si="14"/>
        <v/>
      </c>
      <c r="DM32" t="str">
        <f t="shared" si="14"/>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ti</v>
      </c>
      <c r="C33" s="128" t="s">
        <v>206</v>
      </c>
      <c r="D33" s="129" t="str">
        <f t="shared" si="1"/>
        <v/>
      </c>
      <c r="E33" s="932"/>
      <c r="F33" s="933"/>
      <c r="G33" s="934"/>
      <c r="H33" s="294"/>
      <c r="I33" s="519"/>
      <c r="J33" s="407"/>
      <c r="K33" s="374"/>
      <c r="L33" s="374"/>
      <c r="M33" s="374"/>
      <c r="N33" s="313">
        <f t="shared" si="19"/>
        <v>0</v>
      </c>
      <c r="O33" s="313">
        <f t="shared" si="20"/>
        <v>0</v>
      </c>
      <c r="P33" s="313">
        <f>IF(Stamoplysninger!$H$29="JA",Marts!DG33,CX33)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f>IF(AND(C33="Skema 1",B33="ti"),Arbejdstidsoversigt!$E$73,"")</f>
        <v>0</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f>IF(AND(C33="Skema 1",B33="ti"),Skemaoplysninger!$G$30,"")</f>
        <v>0</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f>IF(AND(C33="Skema 1",B33="ti"),Skemaoplysninger!$G$31,"")</f>
        <v>0</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4"/>
        <v/>
      </c>
      <c r="DL33" t="str">
        <f t="shared" si="14"/>
        <v/>
      </c>
      <c r="DM33" t="str">
        <f t="shared" si="14"/>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on</v>
      </c>
      <c r="C34" s="128" t="s">
        <v>206</v>
      </c>
      <c r="D34" s="129" t="str">
        <f t="shared" si="1"/>
        <v/>
      </c>
      <c r="E34" s="932"/>
      <c r="F34" s="933"/>
      <c r="G34" s="934"/>
      <c r="H34" s="294"/>
      <c r="I34" s="519"/>
      <c r="J34" s="407"/>
      <c r="K34" s="374"/>
      <c r="L34" s="374"/>
      <c r="M34" s="374"/>
      <c r="N34" s="313">
        <f t="shared" si="19"/>
        <v>0</v>
      </c>
      <c r="O34" s="313">
        <f t="shared" si="20"/>
        <v>0</v>
      </c>
      <c r="P34" s="313">
        <f>IF(Stamoplysninger!$H$29="JA",Marts!DG34,CX34)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f>IF(AND(C34="Skema 1",B34="on"),Arbejdstidsoversigt!$E$74,"")</f>
        <v>0</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t="str">
        <f>IF(AND(C34="Skema 1",B34="ma"),Skemaoplysninger!$E$30,"")</f>
        <v/>
      </c>
      <c r="BH34" s="209" t="str">
        <f>IF(AND(C34="Skema 1",B34="ti"),Skemaoplysninger!$G$30,"")</f>
        <v/>
      </c>
      <c r="BI34" s="209">
        <f>IF(AND(C34="Skema 1",B34="on"),Skemaoplysninger!$I$30,"")</f>
        <v>0</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t="str">
        <f>IF(AND(C34="Skema 1",B34="ma"),Skemaoplysninger!$E$31,"")</f>
        <v/>
      </c>
      <c r="CE34" s="209" t="str">
        <f>IF(AND(C34="Skema 1",B34="ti"),Skemaoplysninger!$G$31,"")</f>
        <v/>
      </c>
      <c r="CF34" s="209">
        <f>IF(AND(C34="Skema 1",B34="on"),Skemaoplysninger!$I$31,"")</f>
        <v>0</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4"/>
        <v/>
      </c>
      <c r="DL34" t="str">
        <f t="shared" si="14"/>
        <v/>
      </c>
      <c r="DM34" t="str">
        <f t="shared" si="14"/>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to</v>
      </c>
      <c r="C35" s="128" t="s">
        <v>206</v>
      </c>
      <c r="D35" s="129" t="str">
        <f t="shared" si="1"/>
        <v/>
      </c>
      <c r="E35" s="932"/>
      <c r="F35" s="933"/>
      <c r="G35" s="934"/>
      <c r="H35" s="294"/>
      <c r="I35" s="519"/>
      <c r="J35" s="407"/>
      <c r="K35" s="374"/>
      <c r="L35" s="374"/>
      <c r="M35" s="374"/>
      <c r="N35" s="313">
        <f t="shared" si="19"/>
        <v>0</v>
      </c>
      <c r="O35" s="313">
        <f t="shared" si="20"/>
        <v>0</v>
      </c>
      <c r="P35" s="313">
        <f>IF(Stamoplysninger!$H$29="JA",Marts!DG35,CX35)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f>IF(AND(C35="Skema 1",B35="to"),Arbejdstidsoversigt!$E$75,"")</f>
        <v>0</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t="str">
        <f>IF(AND(C35="Skema 1",B35="ma"),Skemaoplysninger!$E$30,"")</f>
        <v/>
      </c>
      <c r="BH35" s="209" t="str">
        <f>IF(AND(C35="Skema 1",B35="ti"),Skemaoplysninger!$G$30,"")</f>
        <v/>
      </c>
      <c r="BI35" s="209" t="str">
        <f>IF(AND(C35="Skema 1",B35="on"),Skemaoplysninger!$I$30,"")</f>
        <v/>
      </c>
      <c r="BJ35" s="209">
        <f>IF(AND(C35="Skema 1",B35="to"),Skemaoplysninger!$K$30,"")</f>
        <v>0</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t="str">
        <f>IF(AND(C35="Skema 1",B35="ma"),Skemaoplysninger!$E$31,"")</f>
        <v/>
      </c>
      <c r="CE35" s="209" t="str">
        <f>IF(AND(C35="Skema 1",B35="ti"),Skemaoplysninger!$G$31,"")</f>
        <v/>
      </c>
      <c r="CF35" s="209" t="str">
        <f>IF(AND(C35="Skema 1",B35="on"),Skemaoplysninger!$I$31,"")</f>
        <v/>
      </c>
      <c r="CG35" s="209">
        <f>IF(AND(C35="Skema 1",B35="to"),Skemaoplysninger!$K$31,"")</f>
        <v>0</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fr</v>
      </c>
      <c r="C36" s="128" t="s">
        <v>206</v>
      </c>
      <c r="D36" s="129" t="str">
        <f t="shared" si="1"/>
        <v/>
      </c>
      <c r="E36" s="932"/>
      <c r="F36" s="933"/>
      <c r="G36" s="934"/>
      <c r="H36" s="294"/>
      <c r="I36" s="519"/>
      <c r="J36" s="407"/>
      <c r="K36" s="374"/>
      <c r="L36" s="374"/>
      <c r="M36" s="374"/>
      <c r="N36" s="313">
        <f t="shared" si="19"/>
        <v>0</v>
      </c>
      <c r="O36" s="313">
        <f t="shared" si="20"/>
        <v>0</v>
      </c>
      <c r="P36" s="313">
        <f>IF(Stamoplysninger!$H$29="JA",Marts!DG36,CX36)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f>IF(AND(C36="Skema 1",B36="fr"),Arbejdstidsoversigt!$E$76,"")</f>
        <v>0</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t="str">
        <f>IF(AND(C36="Skema 1",B36="ma"),Skemaoplysninger!$E$30,"")</f>
        <v/>
      </c>
      <c r="BH36" s="209" t="str">
        <f>IF(AND(C36="Skema 1",B36="ti"),Skemaoplysninger!$G$30,"")</f>
        <v/>
      </c>
      <c r="BI36" s="209" t="str">
        <f>IF(AND(C36="Skema 1",B36="on"),Skemaoplysninger!$I$30,"")</f>
        <v/>
      </c>
      <c r="BJ36" s="209" t="str">
        <f>IF(AND(C36="Skema 1",B36="to"),Skemaoplysninger!$K$30,"")</f>
        <v/>
      </c>
      <c r="BK36" s="209">
        <f>IF(AND(C36="Skema 1",B36="fr"),Skemaoplysninger!$M$30,"")</f>
        <v>0</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t="str">
        <f>IF(AND(C36="Skema 1",B36="ma"),Skemaoplysninger!$E$31,"")</f>
        <v/>
      </c>
      <c r="CE36" s="209" t="str">
        <f>IF(AND(C36="Skema 1",B36="ti"),Skemaoplysninger!$G$31,"")</f>
        <v/>
      </c>
      <c r="CF36" s="209" t="str">
        <f>IF(AND(C36="Skema 1",B36="on"),Skemaoplysninger!$I$31,"")</f>
        <v/>
      </c>
      <c r="CG36" s="209" t="str">
        <f>IF(AND(C36="Skema 1",B36="to"),Skemaoplysninger!$K$31,"")</f>
        <v/>
      </c>
      <c r="CH36" s="209">
        <f>IF(AND(C36="Skema 1",B36="fr"),Skemaoplysninger!$M$31,"")</f>
        <v>0</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4"/>
        <v/>
      </c>
      <c r="DL36" t="str">
        <f t="shared" si="14"/>
        <v/>
      </c>
      <c r="DM36" t="str">
        <f t="shared" si="14"/>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lø</v>
      </c>
      <c r="C37" s="128" t="s">
        <v>120</v>
      </c>
      <c r="D37" s="129" t="str">
        <f t="shared" si="1"/>
        <v/>
      </c>
      <c r="E37" s="932"/>
      <c r="F37" s="933"/>
      <c r="G37" s="934"/>
      <c r="H37" s="294"/>
      <c r="I37" s="407"/>
      <c r="J37" s="407"/>
      <c r="K37" s="374"/>
      <c r="L37" s="374"/>
      <c r="M37" s="374"/>
      <c r="N37" s="313">
        <f t="shared" si="19"/>
        <v>0</v>
      </c>
      <c r="O37" s="313">
        <f t="shared" si="20"/>
        <v>0</v>
      </c>
      <c r="P37" s="313">
        <f>IF(Stamoplysninger!$H$29="JA",Marts!DG37,CX37)</f>
        <v>0</v>
      </c>
      <c r="Q37" s="313">
        <f t="shared" si="21"/>
        <v>0</v>
      </c>
      <c r="R37" s="314"/>
      <c r="S37" s="319"/>
      <c r="T37" s="320"/>
      <c r="U37" s="320"/>
      <c r="V37" s="429"/>
      <c r="W37" s="406"/>
      <c r="X37" s="633"/>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8"/>
        <v>0</v>
      </c>
      <c r="BC37" s="1">
        <f t="shared" si="24"/>
        <v>0</v>
      </c>
      <c r="BD37" s="1">
        <f t="shared" si="9"/>
        <v>0</v>
      </c>
      <c r="BE37" s="1">
        <f t="shared" si="10"/>
        <v>0</v>
      </c>
      <c r="BF37" s="1">
        <f t="shared" si="11"/>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2"/>
        <v>0</v>
      </c>
      <c r="CC37" s="1">
        <f t="shared" si="13"/>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4"/>
        <v/>
      </c>
      <c r="DL37" t="str">
        <f t="shared" si="14"/>
        <v/>
      </c>
      <c r="DM37" t="str">
        <f t="shared" si="14"/>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32">IF(AND(I37="X",S37="X"),V37,0)</f>
        <v>0</v>
      </c>
      <c r="FT37" s="649">
        <f t="shared" ref="FT37:FT39" si="33">IF(AND(AND(C37="ikke relevant",I37="X",S37="X")),V37,0)</f>
        <v>0</v>
      </c>
      <c r="FU37">
        <f t="shared" ref="FU37:FU39"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sø</v>
      </c>
      <c r="C38" s="128" t="s">
        <v>120</v>
      </c>
      <c r="D38" s="129" t="str">
        <f t="shared" si="1"/>
        <v/>
      </c>
      <c r="E38" s="932"/>
      <c r="F38" s="933"/>
      <c r="G38" s="934"/>
      <c r="H38" s="294"/>
      <c r="I38" s="407"/>
      <c r="J38" s="407"/>
      <c r="K38" s="374"/>
      <c r="L38" s="374"/>
      <c r="M38" s="374"/>
      <c r="N38" s="313">
        <f t="shared" si="19"/>
        <v>0</v>
      </c>
      <c r="O38" s="313">
        <f t="shared" si="20"/>
        <v>0</v>
      </c>
      <c r="P38" s="313">
        <f>IF(Stamoplysninger!$H$29="JA",Marts!DG38,CX38)</f>
        <v>0</v>
      </c>
      <c r="Q38" s="313">
        <f t="shared" si="21"/>
        <v>0</v>
      </c>
      <c r="R38" s="314"/>
      <c r="S38" s="319"/>
      <c r="T38" s="320"/>
      <c r="U38" s="435"/>
      <c r="V38" s="429"/>
      <c r="W38" s="406"/>
      <c r="X38" s="633"/>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8"/>
        <v>0</v>
      </c>
      <c r="BC38" s="1">
        <f t="shared" si="24"/>
        <v>0</v>
      </c>
      <c r="BD38" s="1">
        <f t="shared" si="9"/>
        <v>0</v>
      </c>
      <c r="BE38" s="1">
        <f t="shared" si="10"/>
        <v>0</v>
      </c>
      <c r="BF38" s="1">
        <f t="shared" si="11"/>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2"/>
        <v>0</v>
      </c>
      <c r="CC38" s="1">
        <f t="shared" si="13"/>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4"/>
        <v/>
      </c>
      <c r="DL38" t="str">
        <f t="shared" si="14"/>
        <v/>
      </c>
      <c r="DM38" t="str">
        <f t="shared" si="14"/>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ma</v>
      </c>
      <c r="C39" s="128" t="s">
        <v>206</v>
      </c>
      <c r="D39" s="129">
        <f t="shared" si="1"/>
        <v>13.714285714285714</v>
      </c>
      <c r="E39" s="964"/>
      <c r="F39" s="965"/>
      <c r="G39" s="966"/>
      <c r="H39" s="293"/>
      <c r="I39" s="519"/>
      <c r="J39" s="407"/>
      <c r="K39" s="374"/>
      <c r="L39" s="374"/>
      <c r="M39" s="374"/>
      <c r="N39" s="313">
        <f t="shared" si="19"/>
        <v>0</v>
      </c>
      <c r="O39" s="313">
        <f t="shared" si="20"/>
        <v>0</v>
      </c>
      <c r="P39" s="313">
        <f>IF(Stamoplysninger!$H$29="JA",Marts!DG39,CX39)</f>
        <v>0</v>
      </c>
      <c r="Q39" s="313">
        <f t="shared" si="21"/>
        <v>0</v>
      </c>
      <c r="R39" s="314"/>
      <c r="S39" s="319"/>
      <c r="T39" s="320"/>
      <c r="U39" s="213"/>
      <c r="V39" s="429"/>
      <c r="W39" s="406"/>
      <c r="X39" s="634"/>
      <c r="Y39">
        <f t="shared" si="22"/>
        <v>0</v>
      </c>
      <c r="Z39">
        <f t="shared" si="2"/>
        <v>0</v>
      </c>
      <c r="AA39" s="1">
        <f t="shared" si="3"/>
        <v>0</v>
      </c>
      <c r="AB39" s="1">
        <f t="shared" si="4"/>
        <v>0</v>
      </c>
      <c r="AC39" s="1">
        <f t="shared" si="5"/>
        <v>0</v>
      </c>
      <c r="AD39" s="1">
        <f t="shared" si="6"/>
        <v>0</v>
      </c>
      <c r="AE39" s="1">
        <f t="shared" si="7"/>
        <v>0</v>
      </c>
      <c r="AF39" s="1">
        <f>IF(C39="Orlov",7.4*Stamoplysninger!$E$15,0)</f>
        <v>0</v>
      </c>
      <c r="AG39">
        <f>IF(AND(C39="Skema 1",B39="ma"),Arbejdstidsoversigt!$E$72,"")</f>
        <v>0</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6">
        <f t="shared" si="8"/>
        <v>0</v>
      </c>
      <c r="BC39" s="1">
        <f t="shared" si="24"/>
        <v>0</v>
      </c>
      <c r="BD39" s="1">
        <f t="shared" si="9"/>
        <v>0</v>
      </c>
      <c r="BE39" s="1">
        <f t="shared" si="10"/>
        <v>0</v>
      </c>
      <c r="BF39" s="1">
        <f t="shared" si="11"/>
        <v>0</v>
      </c>
      <c r="BG39" s="209">
        <f>IF(AND(C39="Skema 1",B39="ma"),Skemaoplysninger!$E$30,"")</f>
        <v>0</v>
      </c>
      <c r="BH39" s="209" t="str">
        <f>IF(AND(C39="Skema 1",B39="ti"),Skemaoplysninger!$G$30,"")</f>
        <v/>
      </c>
      <c r="BI39" s="209" t="str">
        <f>IF(AND(C39="Skema 1",B39="on"),Skemaoplysninger!$I$30,"")</f>
        <v/>
      </c>
      <c r="BJ39" s="209" t="str">
        <f>IF(AND(C39="Skema 1",B39="to"),Skemaoplysninger!$K$30,"")</f>
        <v/>
      </c>
      <c r="BK39" s="209" t="str">
        <f>IF(AND(C39="Skema 1",B39="fr"),Skemaoplysninger!$M$30,"")</f>
        <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2"/>
        <v>0</v>
      </c>
      <c r="CC39" s="1">
        <f t="shared" si="13"/>
        <v>0</v>
      </c>
      <c r="CD39" s="209">
        <f>IF(AND(C39="Skema 1",B39="ma"),Skemaoplysninger!$E$31,"")</f>
        <v>0</v>
      </c>
      <c r="CE39" s="209" t="str">
        <f>IF(AND(C39="Skema 1",B39="ti"),Skemaoplysninger!$G$31,"")</f>
        <v/>
      </c>
      <c r="CF39" s="209" t="str">
        <f>IF(AND(C39="Skema 1",B39="on"),Skemaoplysninger!$I$31,"")</f>
        <v/>
      </c>
      <c r="CG39" s="209" t="str">
        <f>IF(AND(C39="Skema 1",B39="to"),Skemaoplysninger!$K$31,"")</f>
        <v/>
      </c>
      <c r="CH39" s="209" t="str">
        <f>IF(AND(C39="Skema 1",B39="fr"),Skemaoplysninger!$M$31,"")</f>
        <v/>
      </c>
      <c r="CI39" s="209" t="str">
        <f>IF(AND(C39="Skema 2",B39="ma"),Skemaoplysninger!$S$31,"")</f>
        <v/>
      </c>
      <c r="CJ39" s="209" t="str">
        <f>IF(AND(C39="Skema 2",B39="ti"),Skemaoplysninger!$U$31,"")</f>
        <v/>
      </c>
      <c r="CK39" s="209" t="str">
        <f>IF(AND(C39="Skema 2",B39="on"),Skemaoplysninger!$W$31,"")</f>
        <v/>
      </c>
      <c r="CL39" s="209" t="str">
        <f>IF(AND(C39="Skema 2",B39="to"),Skemaoplysninger!$Y$32,"")</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 t="shared" si="27"/>
        <v/>
      </c>
      <c r="DI39">
        <f t="shared" si="28"/>
        <v>0</v>
      </c>
      <c r="DJ39">
        <f t="shared" si="29"/>
        <v>0</v>
      </c>
      <c r="DK39" t="str">
        <f>IF(DH39=0,"",DH39)</f>
        <v/>
      </c>
      <c r="DL39" t="str">
        <f>IF(DI39=0,"",DI39)</f>
        <v/>
      </c>
      <c r="DM39" t="str">
        <f>IF(DJ39=0,"",DJ39)</f>
        <v/>
      </c>
      <c r="DN39" t="str">
        <f t="shared" si="30"/>
        <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2"/>
        <v>0</v>
      </c>
      <c r="FT39" s="649">
        <f t="shared" si="33"/>
        <v>0</v>
      </c>
      <c r="FU39">
        <f t="shared" si="34"/>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7" t="s">
        <v>260</v>
      </c>
      <c r="B40" s="988"/>
      <c r="C40" s="988"/>
      <c r="D40" s="988"/>
      <c r="E40" s="988"/>
      <c r="F40" s="988"/>
      <c r="G40" s="988"/>
      <c r="H40" s="988"/>
      <c r="I40" s="989"/>
      <c r="J40" s="308"/>
      <c r="K40" s="316"/>
      <c r="L40" s="316"/>
      <c r="M40" s="316"/>
      <c r="N40" s="317">
        <f>SUM(N9:N39)</f>
        <v>0</v>
      </c>
      <c r="O40" s="317">
        <f>SUM(O9:O39)</f>
        <v>0</v>
      </c>
      <c r="P40" s="317">
        <f>SUM(P9:P39)</f>
        <v>0</v>
      </c>
      <c r="Q40" s="317">
        <f>SUM(Q9:Q39)</f>
        <v>0</v>
      </c>
      <c r="R40"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35">SUM(AA9:AA39)</f>
        <v>0</v>
      </c>
      <c r="AB40" s="231">
        <f t="shared" si="35"/>
        <v>0</v>
      </c>
      <c r="AC40" s="231">
        <f t="shared" si="35"/>
        <v>0</v>
      </c>
      <c r="AD40" s="231">
        <f t="shared" si="35"/>
        <v>0</v>
      </c>
      <c r="AE40" s="231">
        <f t="shared" si="35"/>
        <v>0</v>
      </c>
      <c r="AF40" s="231">
        <f t="shared" si="35"/>
        <v>0</v>
      </c>
      <c r="BA40" s="1">
        <f>SUM(BA9:BA39)</f>
        <v>0</v>
      </c>
      <c r="BB40" s="111"/>
      <c r="BC40" s="231">
        <f>SUM(BC9:BC39)</f>
        <v>0</v>
      </c>
      <c r="BD40" s="231">
        <f>SUM(BD9:BD39)</f>
        <v>0</v>
      </c>
      <c r="BE40" s="231">
        <f>SUM(BE9:BE39)</f>
        <v>0</v>
      </c>
      <c r="BF40" s="231">
        <f>SUM(BF9:BF39)</f>
        <v>0</v>
      </c>
      <c r="CA40" s="231">
        <f>SUM(CA9:CA39)</f>
        <v>0</v>
      </c>
      <c r="CB40" s="231">
        <f>SUM(CB9:CB39)</f>
        <v>0</v>
      </c>
      <c r="CC40" s="231">
        <f>SUM(CC9:CC39)</f>
        <v>0</v>
      </c>
      <c r="CX40" s="245"/>
      <c r="CY40" s="245">
        <f t="shared" ref="CY40:DG40" si="36">SUM(CY9:CY39)</f>
        <v>0</v>
      </c>
      <c r="CZ40" s="245">
        <f t="shared" si="36"/>
        <v>0</v>
      </c>
      <c r="DA40" s="245">
        <f t="shared" si="36"/>
        <v>0</v>
      </c>
      <c r="DB40" s="245">
        <f t="shared" si="36"/>
        <v>0</v>
      </c>
      <c r="DC40" s="245">
        <f t="shared" si="36"/>
        <v>0</v>
      </c>
      <c r="DD40" s="245">
        <f t="shared" si="36"/>
        <v>0</v>
      </c>
      <c r="DE40" s="245">
        <f t="shared" si="36"/>
        <v>0</v>
      </c>
      <c r="DF40" s="245">
        <f t="shared" si="36"/>
        <v>0</v>
      </c>
      <c r="DG40" s="245">
        <f t="shared" si="36"/>
        <v>0</v>
      </c>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31"/>
      <c r="AB41" s="210"/>
      <c r="AC41" s="210"/>
      <c r="AD41" s="231"/>
      <c r="AE41" s="231"/>
      <c r="AG41" s="231"/>
      <c r="BC41" s="231"/>
      <c r="BD41" s="231"/>
      <c r="BE41" s="231"/>
      <c r="BF41" s="231"/>
      <c r="BG41" s="111"/>
      <c r="CB41" s="231"/>
      <c r="CC41" s="231"/>
      <c r="CD41" s="111"/>
      <c r="CX41" s="244"/>
      <c r="CZ41"/>
    </row>
    <row r="42" spans="1:185" ht="70" customHeight="1">
      <c r="A42" s="973" t="str">
        <f>"Arbejdstid for "&amp;A7&amp;" måned:"</f>
        <v>Arbejdstid for Marts måned:</v>
      </c>
      <c r="B42" s="974"/>
      <c r="C42" s="974"/>
      <c r="D42" s="974"/>
      <c r="E42" s="974"/>
      <c r="F42" s="974"/>
      <c r="G42" s="974"/>
      <c r="H42" s="325" t="s">
        <v>255</v>
      </c>
      <c r="I42" s="974" t="s">
        <v>221</v>
      </c>
      <c r="J42" s="975"/>
      <c r="K42" s="976"/>
      <c r="L42" s="258"/>
      <c r="M42" s="1026" t="str">
        <f>"Ulempetimer og weekendtimer i "&amp;A5&amp;""</f>
        <v>Ulempetimer og weekendtimer i Marts måneds kalender for: . Måneden vedr. normperioden:  - .</v>
      </c>
      <c r="N42" s="1004"/>
      <c r="O42" s="1004"/>
      <c r="P42" s="1004"/>
      <c r="Q42" s="1004"/>
      <c r="R42" s="1004"/>
      <c r="S42" s="1004"/>
      <c r="T42" s="1004"/>
      <c r="U42" s="1004"/>
      <c r="V42" s="1004"/>
      <c r="W42" s="1004"/>
      <c r="X42" s="1005"/>
      <c r="Y42" s="235"/>
      <c r="Z42" s="235"/>
      <c r="AD42" s="89"/>
      <c r="AE42" s="89"/>
      <c r="BM42" s="1"/>
      <c r="CJ42" s="1"/>
      <c r="CU42" s="244"/>
      <c r="CV42" s="244"/>
      <c r="CY42"/>
      <c r="CZ42"/>
    </row>
    <row r="43" spans="1:185">
      <c r="A43" s="977" t="s">
        <v>528</v>
      </c>
      <c r="B43" s="978"/>
      <c r="C43" s="978"/>
      <c r="D43" s="978"/>
      <c r="E43" s="978"/>
      <c r="F43" s="978"/>
      <c r="G43" s="978"/>
      <c r="H43" s="252">
        <f>D78</f>
        <v>21</v>
      </c>
      <c r="I43" s="990">
        <f>IF(Stamoplysninger!$E$12="Ja",1924/Arbejdstidsoversigt!$K$9*Stamoplysninger!$E$15*H43,H43*7.4*Stamoplysninger!$E$15)</f>
        <v>154.80459770114942</v>
      </c>
      <c r="J43" s="991"/>
      <c r="K43" s="992"/>
      <c r="L43" s="254"/>
      <c r="M43" s="1027" t="s">
        <v>311</v>
      </c>
      <c r="N43" s="1028"/>
      <c r="O43" s="1028"/>
      <c r="P43" s="1028"/>
      <c r="Q43" s="1028"/>
      <c r="R43" s="1028"/>
      <c r="S43" s="1028"/>
      <c r="T43" s="1028"/>
      <c r="U43" s="1029"/>
      <c r="V43" s="1108">
        <f>P65+P69+P72+P74</f>
        <v>0</v>
      </c>
      <c r="W43" s="1108"/>
      <c r="X43" s="1109"/>
      <c r="Y43" s="235"/>
      <c r="Z43" s="235"/>
      <c r="AD43" s="89"/>
      <c r="AE43" s="89"/>
      <c r="BM43" s="1"/>
      <c r="CJ43" s="1"/>
      <c r="CU43" s="244"/>
      <c r="CV43" s="244"/>
      <c r="CY43"/>
      <c r="CZ43"/>
    </row>
    <row r="44" spans="1:185">
      <c r="A44" s="977" t="str">
        <f>"Ferie "&amp;A7&amp;" måned"</f>
        <v>Ferie Marts måned</v>
      </c>
      <c r="B44" s="978"/>
      <c r="C44" s="978"/>
      <c r="D44" s="978"/>
      <c r="E44" s="978"/>
      <c r="F44" s="978"/>
      <c r="G44" s="978"/>
      <c r="H44" s="253" t="str">
        <f>IF(D73&gt;0,$D$73,"0")</f>
        <v>0</v>
      </c>
      <c r="I44" s="979">
        <f>H44*7.4*Stamoplysninger!$E$15</f>
        <v>0</v>
      </c>
      <c r="J44" s="980"/>
      <c r="K44" s="981"/>
      <c r="L44" s="254"/>
      <c r="M44" s="1033" t="s">
        <v>259</v>
      </c>
      <c r="N44" s="1034"/>
      <c r="O44" s="1034"/>
      <c r="P44" s="1034"/>
      <c r="Q44" s="1034"/>
      <c r="R44" s="1034"/>
      <c r="S44" s="1034"/>
      <c r="T44" s="1034"/>
      <c r="U44" s="1035"/>
      <c r="V44" s="1110">
        <f>Q66+Q68+Q71+Q73</f>
        <v>0</v>
      </c>
      <c r="W44" s="1110"/>
      <c r="X44" s="1111"/>
      <c r="Y44" s="235"/>
      <c r="Z44" s="235"/>
      <c r="AD44" s="89"/>
      <c r="AE44" s="89"/>
      <c r="BM44" s="1"/>
      <c r="CJ44" s="1"/>
      <c r="CU44" s="244"/>
      <c r="CV44" s="244"/>
      <c r="CY44"/>
      <c r="CZ44"/>
    </row>
    <row r="45" spans="1:185">
      <c r="A45" s="977" t="str">
        <f>"Søgnehelligdage i "&amp;A7&amp;" måned"</f>
        <v>Søgnehelligdage i Marts måned</v>
      </c>
      <c r="B45" s="978"/>
      <c r="C45" s="978"/>
      <c r="D45" s="978"/>
      <c r="E45" s="978"/>
      <c r="F45" s="978"/>
      <c r="G45" s="978"/>
      <c r="H45" s="253">
        <f>IF(D72&gt;0,D72,0)</f>
        <v>0</v>
      </c>
      <c r="I45" s="979">
        <f>H45*7.4*Stamoplysninger!$E$15</f>
        <v>0</v>
      </c>
      <c r="J45" s="980"/>
      <c r="K45" s="981"/>
      <c r="L45" s="255"/>
      <c r="M45" s="1143" t="s">
        <v>295</v>
      </c>
      <c r="N45" s="1144"/>
      <c r="O45" s="1144"/>
      <c r="P45" s="1144"/>
      <c r="Q45" s="1144"/>
      <c r="R45" s="1144"/>
      <c r="S45" s="1144"/>
      <c r="T45" s="1144"/>
      <c r="U45" s="1145"/>
      <c r="V45" s="1148">
        <f>Februar!V51</f>
        <v>0</v>
      </c>
      <c r="W45" s="1149"/>
      <c r="X45" s="1150"/>
      <c r="Y45" s="235"/>
      <c r="Z45" s="235"/>
      <c r="AD45" s="89"/>
      <c r="AE45" s="89"/>
      <c r="BM45" s="1"/>
      <c r="CJ45" s="1"/>
      <c r="CU45" s="244"/>
      <c r="CV45" s="244"/>
      <c r="CY45"/>
      <c r="CZ45"/>
    </row>
    <row r="46" spans="1:185">
      <c r="A46" s="977" t="str">
        <f>"Nettoarbejdstid ialt i "&amp;A7&amp;" måned"</f>
        <v>Nettoarbejdstid ialt i Marts måned</v>
      </c>
      <c r="B46" s="978"/>
      <c r="C46" s="978"/>
      <c r="D46" s="978"/>
      <c r="E46" s="978"/>
      <c r="F46" s="978"/>
      <c r="G46" s="978"/>
      <c r="H46" s="256">
        <f>H43-H44-H45</f>
        <v>21</v>
      </c>
      <c r="I46" s="979">
        <f>I43-I44-I45</f>
        <v>154.80459770114942</v>
      </c>
      <c r="J46" s="980"/>
      <c r="K46" s="981"/>
      <c r="L46" s="255"/>
      <c r="M46" s="1041" t="s">
        <v>301</v>
      </c>
      <c r="N46" s="1042"/>
      <c r="O46" s="1042"/>
      <c r="P46" s="1042"/>
      <c r="Q46" s="1042"/>
      <c r="R46" s="1042"/>
      <c r="S46" s="1042"/>
      <c r="T46" s="1042"/>
      <c r="U46" s="1043"/>
      <c r="V46" s="1044">
        <f>V44+V45</f>
        <v>0</v>
      </c>
      <c r="W46" s="1045"/>
      <c r="X46" s="1151"/>
      <c r="Y46" s="235"/>
      <c r="Z46" s="235"/>
      <c r="AD46" s="89"/>
      <c r="AE46" s="89"/>
      <c r="BM46" s="1"/>
      <c r="CJ46" s="1"/>
      <c r="CU46" s="244"/>
      <c r="CV46" s="244"/>
      <c r="CY46"/>
      <c r="CZ46"/>
    </row>
    <row r="47" spans="1:185">
      <c r="A47" s="993" t="str">
        <f>"Planlagt arbejdstid efter ovennstående "&amp;A7&amp;" måned kalender"</f>
        <v>Planlagt arbejdstid efter ovennstående Marts måned kalender</v>
      </c>
      <c r="B47" s="994"/>
      <c r="C47" s="994"/>
      <c r="D47" s="994"/>
      <c r="E47" s="994"/>
      <c r="F47" s="994"/>
      <c r="G47" s="994"/>
      <c r="H47" s="468">
        <f>D64+D65+D66+D67+D68+D69+D70</f>
        <v>21</v>
      </c>
      <c r="I47" s="995">
        <f>N40+R40+V106</f>
        <v>0</v>
      </c>
      <c r="J47" s="996"/>
      <c r="K47" s="997"/>
      <c r="L47" s="381"/>
      <c r="M47" s="1053" t="s">
        <v>293</v>
      </c>
      <c r="N47" s="1054"/>
      <c r="O47" s="1054"/>
      <c r="P47" s="1054"/>
      <c r="Q47" s="1054"/>
      <c r="R47" s="1054"/>
      <c r="S47" s="1054"/>
      <c r="T47" s="1054"/>
      <c r="U47" s="1054"/>
      <c r="V47" s="1054"/>
      <c r="W47" s="1054"/>
      <c r="X47" s="1146"/>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1056" t="s">
        <v>462</v>
      </c>
      <c r="N48" s="1057"/>
      <c r="O48" s="1057"/>
      <c r="P48" s="1057"/>
      <c r="Q48" s="1057"/>
      <c r="R48" s="1057"/>
      <c r="S48" s="1057"/>
      <c r="T48" s="1057"/>
      <c r="U48" s="1058"/>
      <c r="V48" s="1059" t="s">
        <v>221</v>
      </c>
      <c r="W48" s="1060"/>
      <c r="X48" s="1147"/>
      <c r="Y48" s="235"/>
      <c r="Z48" s="235"/>
      <c r="AD48" s="89"/>
      <c r="AE48" s="89"/>
      <c r="BM48" s="1"/>
      <c r="CJ48" s="1"/>
      <c r="CU48" s="244"/>
      <c r="CV48" s="244"/>
      <c r="CY48"/>
      <c r="CZ48"/>
    </row>
    <row r="49" spans="1:110">
      <c r="A49" s="1020" t="str">
        <f>"Arbejde særligt planlagt for "&amp;A7&amp;" måned efter fanen skemaoplysninger"</f>
        <v>Arbejde særligt planlagt for Marts måned efter fanen skemaoplysninger</v>
      </c>
      <c r="B49" s="1021"/>
      <c r="C49" s="1021"/>
      <c r="D49" s="1021"/>
      <c r="E49" s="1021"/>
      <c r="F49" s="1021"/>
      <c r="G49" s="1021"/>
      <c r="H49" s="1022"/>
      <c r="I49" s="996">
        <f>Skemaoplysninger!R91</f>
        <v>0</v>
      </c>
      <c r="J49" s="1018"/>
      <c r="K49" s="1019"/>
      <c r="L49" s="237"/>
      <c r="M49" s="882"/>
      <c r="N49" s="883"/>
      <c r="O49" s="883"/>
      <c r="P49" s="883"/>
      <c r="Q49" s="883"/>
      <c r="R49" s="883"/>
      <c r="S49" s="883"/>
      <c r="T49" s="883"/>
      <c r="U49" s="884"/>
      <c r="V49" s="1062"/>
      <c r="W49" s="1062"/>
      <c r="X49" s="1063"/>
      <c r="Y49"/>
      <c r="Z49" s="235"/>
      <c r="AA49" s="235"/>
      <c r="AG49" s="89"/>
      <c r="AH49" s="89"/>
      <c r="BA49" s="235"/>
      <c r="BO49" s="1"/>
      <c r="CL49" s="1"/>
      <c r="CV49" s="244"/>
      <c r="CW49" s="244"/>
      <c r="CY49"/>
      <c r="CZ49"/>
    </row>
    <row r="50" spans="1:110">
      <c r="A50" s="982" t="s">
        <v>291</v>
      </c>
      <c r="B50" s="983"/>
      <c r="C50" s="983"/>
      <c r="D50" s="983"/>
      <c r="E50" s="983"/>
      <c r="F50" s="983"/>
      <c r="G50" s="983"/>
      <c r="H50" s="983"/>
      <c r="I50" s="984">
        <f>V40+X40-FA40+R106</f>
        <v>0</v>
      </c>
      <c r="J50" s="985"/>
      <c r="K50" s="986"/>
      <c r="L50" s="237"/>
      <c r="M50" s="882"/>
      <c r="N50" s="883"/>
      <c r="O50" s="883"/>
      <c r="P50" s="883"/>
      <c r="Q50" s="883"/>
      <c r="R50" s="883"/>
      <c r="S50" s="883"/>
      <c r="T50" s="883"/>
      <c r="U50" s="884"/>
      <c r="V50" s="885"/>
      <c r="W50" s="886"/>
      <c r="X50" s="887"/>
      <c r="Y50"/>
      <c r="Z50" s="235"/>
      <c r="AA50" s="235"/>
      <c r="AE50" s="89"/>
      <c r="AF50" s="243"/>
      <c r="AG50" s="89"/>
      <c r="BN50" s="1"/>
      <c r="CK50" s="1"/>
      <c r="CV50" s="244"/>
      <c r="CW50" s="244"/>
      <c r="CY50"/>
      <c r="CZ50"/>
    </row>
    <row r="51" spans="1:110" ht="17" thickBot="1">
      <c r="A51" s="257" t="str">
        <f>"Faktisk arbejdstid ialt i "&amp;A7&amp;" måned"</f>
        <v>Faktisk arbejdstid ialt i Marts måned</v>
      </c>
      <c r="B51" s="309"/>
      <c r="C51" s="310"/>
      <c r="D51" s="310"/>
      <c r="E51" s="310"/>
      <c r="F51" s="310"/>
      <c r="G51" s="310"/>
      <c r="H51" s="311"/>
      <c r="I51" s="1023">
        <f>I47+I50+I49+I48</f>
        <v>0</v>
      </c>
      <c r="J51" s="1024"/>
      <c r="K51" s="1025"/>
      <c r="L51" s="237"/>
      <c r="M51" s="882"/>
      <c r="N51" s="883"/>
      <c r="O51" s="883"/>
      <c r="P51" s="883"/>
      <c r="Q51" s="883"/>
      <c r="R51" s="883"/>
      <c r="S51" s="883"/>
      <c r="T51" s="883"/>
      <c r="U51" s="884"/>
      <c r="V51" s="885"/>
      <c r="W51" s="886"/>
      <c r="X51" s="887"/>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882"/>
      <c r="N52" s="883"/>
      <c r="O52" s="883"/>
      <c r="P52" s="883"/>
      <c r="Q52" s="883"/>
      <c r="R52" s="883"/>
      <c r="S52" s="883"/>
      <c r="T52" s="883"/>
      <c r="U52" s="884"/>
      <c r="V52" s="885"/>
      <c r="W52" s="886"/>
      <c r="X52" s="887"/>
      <c r="Y52" s="235"/>
      <c r="Z52" s="235"/>
      <c r="AA52" s="235"/>
      <c r="AB52" s="235"/>
      <c r="AC52" s="213"/>
      <c r="AD52" s="243"/>
      <c r="AE52" s="243"/>
      <c r="AF52" s="243"/>
      <c r="AG52" s="243"/>
      <c r="AH52" s="235"/>
      <c r="AJ52" s="235"/>
      <c r="AK52" s="235"/>
      <c r="AO52" s="89"/>
      <c r="AP52" s="89"/>
      <c r="BW52" s="1"/>
      <c r="CT52" s="1"/>
      <c r="CY52"/>
      <c r="CZ52"/>
      <c r="DE52" s="244"/>
      <c r="DF52" s="244"/>
    </row>
    <row r="53" spans="1:110" ht="25" thickBot="1">
      <c r="A53" s="973" t="s">
        <v>478</v>
      </c>
      <c r="B53" s="974"/>
      <c r="C53" s="974"/>
      <c r="D53" s="974"/>
      <c r="E53" s="974"/>
      <c r="F53" s="974"/>
      <c r="G53" s="974"/>
      <c r="H53" s="698" t="s">
        <v>669</v>
      </c>
      <c r="I53" s="1133" t="s">
        <v>477</v>
      </c>
      <c r="J53" s="1133"/>
      <c r="K53" s="1134"/>
      <c r="L53" s="492"/>
      <c r="M53" s="1047" t="s">
        <v>294</v>
      </c>
      <c r="N53" s="1048"/>
      <c r="O53" s="1048"/>
      <c r="P53" s="1048"/>
      <c r="Q53" s="1048"/>
      <c r="R53" s="1048"/>
      <c r="S53" s="1048"/>
      <c r="T53" s="1048"/>
      <c r="U53" s="1049"/>
      <c r="V53" s="1096">
        <f>V46-SUM(V49:X52)</f>
        <v>0</v>
      </c>
      <c r="W53" s="1097"/>
      <c r="X53" s="1098"/>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08"/>
      <c r="B54" s="1009"/>
      <c r="C54" s="1009"/>
      <c r="D54" s="1009"/>
      <c r="E54" s="1009"/>
      <c r="F54" s="1009"/>
      <c r="G54" s="1009"/>
      <c r="H54" s="597">
        <f>Februar!H60</f>
        <v>0</v>
      </c>
      <c r="I54" s="1099">
        <f>Februar!I60</f>
        <v>0</v>
      </c>
      <c r="J54" s="1099"/>
      <c r="K54" s="1100"/>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16" customHeight="1">
      <c r="A55" s="1084" t="s">
        <v>481</v>
      </c>
      <c r="B55" s="1085"/>
      <c r="C55" s="1085"/>
      <c r="D55" s="1085"/>
      <c r="E55" s="1085"/>
      <c r="F55" s="1085"/>
      <c r="G55" s="1086"/>
      <c r="H55" s="595"/>
      <c r="I55" s="1087"/>
      <c r="J55" s="1088"/>
      <c r="K55" s="1089"/>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7" customHeight="1">
      <c r="A56" s="879" t="s">
        <v>670</v>
      </c>
      <c r="B56" s="880"/>
      <c r="C56" s="880"/>
      <c r="D56" s="880"/>
      <c r="E56" s="880"/>
      <c r="F56" s="880"/>
      <c r="G56" s="880"/>
      <c r="H56" s="880"/>
      <c r="I56" s="880"/>
      <c r="J56" s="880"/>
      <c r="K56" s="881"/>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10" t="s">
        <v>671</v>
      </c>
      <c r="B57" s="1011"/>
      <c r="C57" s="913" t="s">
        <v>509</v>
      </c>
      <c r="D57" s="914"/>
      <c r="E57" s="915" t="s">
        <v>510</v>
      </c>
      <c r="F57" s="880"/>
      <c r="G57" s="916"/>
      <c r="H57" s="925" t="s">
        <v>479</v>
      </c>
      <c r="I57" s="925"/>
      <c r="J57" s="925"/>
      <c r="K57" s="92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917"/>
      <c r="B58" s="918"/>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919"/>
      <c r="B60" s="920"/>
      <c r="C60" s="921"/>
      <c r="D60" s="920"/>
      <c r="E60" s="922"/>
      <c r="F60" s="923"/>
      <c r="G60" s="924"/>
      <c r="H60" s="596"/>
      <c r="I60" s="911"/>
      <c r="J60" s="911"/>
      <c r="K60" s="912"/>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919"/>
      <c r="B61" s="920"/>
      <c r="C61" s="921"/>
      <c r="D61" s="920"/>
      <c r="E61" s="922"/>
      <c r="F61" s="923"/>
      <c r="G61" s="924"/>
      <c r="H61" s="596"/>
      <c r="I61" s="911"/>
      <c r="J61" s="911"/>
      <c r="K61" s="912"/>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7" thickBot="1">
      <c r="A62" s="908" t="s">
        <v>480</v>
      </c>
      <c r="B62" s="909"/>
      <c r="C62" s="910"/>
      <c r="D62" s="910"/>
      <c r="E62" s="910"/>
      <c r="F62" s="910"/>
      <c r="G62" s="910"/>
      <c r="H62" s="598">
        <f>H55+H54-SUM(H58:H61)</f>
        <v>0</v>
      </c>
      <c r="I62" s="927">
        <f>I54+I55-SUM(I58:K61)</f>
        <v>0</v>
      </c>
      <c r="J62" s="928"/>
      <c r="K62" s="9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idden="1">
      <c r="A63" s="251"/>
      <c r="B63" s="251"/>
      <c r="C63" s="251"/>
      <c r="D63" s="251"/>
      <c r="E63" s="251"/>
      <c r="F63" s="251"/>
      <c r="G63" s="251"/>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122" t="s">
        <v>206</v>
      </c>
      <c r="B64" s="122"/>
      <c r="C64" s="122"/>
      <c r="D64" s="122">
        <f>COUNTIF([0]!Marts,"Skema 1")</f>
        <v>21</v>
      </c>
      <c r="E64" s="389"/>
      <c r="F64" s="122" t="s">
        <v>186</v>
      </c>
      <c r="G64" s="122">
        <f>COUNTIFS($B$9:$B$39,"ma",[0]!Marts,"Skema 1")</f>
        <v>5</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09" hidden="1">
      <c r="A65" s="1128" t="s">
        <v>207</v>
      </c>
      <c r="B65" s="1128"/>
      <c r="C65" s="1128"/>
      <c r="D65" s="490">
        <f>COUNTIF([0]!Marts,"Skema 2")</f>
        <v>0</v>
      </c>
      <c r="E65" s="491"/>
      <c r="F65" s="490" t="s">
        <v>187</v>
      </c>
      <c r="G65" s="490">
        <f>COUNTIFS($B$9:$B$39,"ti",[0]!Marts,"Skema 1")</f>
        <v>4</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09" hidden="1">
      <c r="A66" s="1128" t="s">
        <v>208</v>
      </c>
      <c r="B66" s="1128"/>
      <c r="C66" s="1128"/>
      <c r="D66" s="490">
        <f>COUNTIF([0]!Marts,"Skema 3")</f>
        <v>0</v>
      </c>
      <c r="E66" s="491"/>
      <c r="F66" s="490" t="s">
        <v>188</v>
      </c>
      <c r="G66" s="490">
        <f>COUNTIFS($B$9:$B$39,"on",[0]!Marts,"Skema 1")</f>
        <v>4</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Y66"/>
      <c r="Z66"/>
      <c r="AA66" s="89"/>
      <c r="AB66" s="89"/>
      <c r="BI66" s="1"/>
      <c r="CF66" s="1"/>
      <c r="CQ66" s="244"/>
      <c r="CR66" s="244"/>
      <c r="CY66"/>
      <c r="CZ66"/>
    </row>
    <row r="67" spans="1:109" hidden="1">
      <c r="A67" s="1128" t="s">
        <v>209</v>
      </c>
      <c r="B67" s="1128"/>
      <c r="C67" s="1128"/>
      <c r="D67" s="490">
        <f>COUNTIF([0]!Marts,"Skema 4")</f>
        <v>0</v>
      </c>
      <c r="E67" s="491"/>
      <c r="F67" s="490" t="s">
        <v>190</v>
      </c>
      <c r="G67" s="490">
        <f>COUNTIFS($B$9:$B$39,"to",[0]!Marts,"Skema 1")</f>
        <v>4</v>
      </c>
      <c r="H67" s="490"/>
      <c r="I67" s="668" t="s">
        <v>591</v>
      </c>
      <c r="J67" s="650"/>
      <c r="K67" s="503"/>
      <c r="L67" s="653"/>
      <c r="M67" s="656"/>
      <c r="N67" s="656"/>
      <c r="O67" s="4"/>
      <c r="P67" s="669"/>
      <c r="Q67" s="671"/>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0" t="s">
        <v>112</v>
      </c>
      <c r="B68" s="490"/>
      <c r="C68" s="490"/>
      <c r="D68" s="490">
        <f>COUNTIF([0]!Marts,"Fagdag")+COUNTIF([0]!Marts,"emnedag")</f>
        <v>0</v>
      </c>
      <c r="E68" s="491"/>
      <c r="F68" s="490" t="s">
        <v>189</v>
      </c>
      <c r="G68" s="490">
        <f>COUNTIFS($B$9:$B$39,"fr",[0]!Marts,"Skema 1")</f>
        <v>4</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4" t="s">
        <v>111</v>
      </c>
      <c r="B69" s="490"/>
      <c r="C69" s="490"/>
      <c r="D69" s="490">
        <f>COUNTIF([0]!Marts,"Lejrskole")+COUNTIF([0]!Marts,"Ekskursion")</f>
        <v>0</v>
      </c>
      <c r="E69" s="491"/>
      <c r="F69" s="490"/>
      <c r="G69" s="490"/>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110</v>
      </c>
      <c r="B70" s="490"/>
      <c r="C70" s="490"/>
      <c r="D70" s="490">
        <f>COUNTIF([0]!Marts,"Pæd.dag")</f>
        <v>0</v>
      </c>
      <c r="E70" s="491"/>
      <c r="F70" s="490" t="s">
        <v>191</v>
      </c>
      <c r="G70" s="490">
        <f>COUNTIFS($B$9:$B$39,"ma",[0]!Marts,"Skema 2")</f>
        <v>0</v>
      </c>
      <c r="H70" s="490"/>
      <c r="I70" s="653" t="s">
        <v>594</v>
      </c>
      <c r="J70" s="653"/>
      <c r="K70" s="653"/>
      <c r="L70" s="653"/>
      <c r="M70" s="657"/>
      <c r="N70" s="657"/>
      <c r="O70" s="4"/>
      <c r="P70" s="669"/>
      <c r="Q70" s="671"/>
      <c r="R70" s="227"/>
      <c r="S70" s="227"/>
      <c r="T70" s="227"/>
      <c r="U70" s="227"/>
      <c r="V70" s="227"/>
      <c r="W70" s="117"/>
      <c r="X70" s="117"/>
      <c r="Y70" s="235"/>
      <c r="Z70" s="235"/>
      <c r="AA70" s="235"/>
      <c r="AB70" s="213"/>
      <c r="AC70" s="243"/>
      <c r="AD70" s="243"/>
      <c r="AE70" s="243"/>
      <c r="AG70" s="235"/>
      <c r="AI70" s="235"/>
      <c r="AJ70" s="235"/>
      <c r="AN70" s="89"/>
      <c r="AO70" s="89"/>
      <c r="BV70" s="1"/>
      <c r="CS70" s="1"/>
      <c r="CY70"/>
      <c r="CZ70"/>
      <c r="DD70" s="244"/>
      <c r="DE70" s="244"/>
    </row>
    <row r="71" spans="1:109" hidden="1">
      <c r="A71" s="490" t="s">
        <v>120</v>
      </c>
      <c r="B71" s="490"/>
      <c r="C71" s="490"/>
      <c r="D71" s="490">
        <f>COUNTIF([0]!Marts,"Weekend")</f>
        <v>10</v>
      </c>
      <c r="E71" s="491"/>
      <c r="F71" s="490" t="s">
        <v>192</v>
      </c>
      <c r="G71" s="490">
        <f>COUNTIFS($B$9:$B$39,"ti",[0]!Marts,"Skema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Y71"/>
      <c r="Z71"/>
      <c r="AM71" s="1"/>
      <c r="BJ71" s="1"/>
      <c r="BU71" s="244"/>
      <c r="BV71" s="244"/>
      <c r="CY71"/>
      <c r="CZ71"/>
    </row>
    <row r="72" spans="1:109" hidden="1">
      <c r="A72" s="490" t="s">
        <v>127</v>
      </c>
      <c r="B72" s="490"/>
      <c r="C72" s="490"/>
      <c r="D72" s="490">
        <f>COUNTIF([0]!Marts,"SH-dag")</f>
        <v>0</v>
      </c>
      <c r="E72" s="491"/>
      <c r="F72" s="490" t="s">
        <v>193</v>
      </c>
      <c r="G72" s="490">
        <f>COUNTIFS($B$9:$B$39,"on",[0]!Marts,"Skema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Y72"/>
      <c r="Z72"/>
      <c r="AM72" s="1"/>
      <c r="BJ72" s="1"/>
      <c r="BU72" s="244"/>
      <c r="BV72" s="244"/>
      <c r="CY72"/>
      <c r="CZ72"/>
    </row>
    <row r="73" spans="1:109" hidden="1">
      <c r="A73" s="490" t="s">
        <v>109</v>
      </c>
      <c r="B73" s="490"/>
      <c r="C73" s="490"/>
      <c r="D73" s="490">
        <f>COUNTIF([0]!Marts,"Feriedag")</f>
        <v>0</v>
      </c>
      <c r="E73" s="491"/>
      <c r="F73" s="490" t="s">
        <v>194</v>
      </c>
      <c r="G73" s="490">
        <f>COUNTIFS($B$9:$B$39,"to",[0]!Marts,"Skema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Y73"/>
      <c r="Z73"/>
      <c r="AM73" s="1"/>
      <c r="BJ73" s="1"/>
      <c r="BU73" s="244"/>
      <c r="BV73" s="244"/>
      <c r="CY73"/>
      <c r="CZ73"/>
    </row>
    <row r="74" spans="1:109" hidden="1">
      <c r="A74" s="490" t="s">
        <v>178</v>
      </c>
      <c r="B74" s="490"/>
      <c r="C74" s="490"/>
      <c r="D74" s="490">
        <f>COUNTIF([0]!Marts,"Nul-dag")</f>
        <v>0</v>
      </c>
      <c r="E74" s="491"/>
      <c r="F74" s="490" t="s">
        <v>195</v>
      </c>
      <c r="G74" s="490">
        <f>COUNTIFS($B$9:$B$39,"fr",[0]!Marts,"Skema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V74" t="s">
        <v>605</v>
      </c>
      <c r="Y74"/>
      <c r="Z74"/>
      <c r="AM74" s="1"/>
      <c r="BJ74" s="1"/>
      <c r="BU74" s="244"/>
      <c r="BV74" s="244"/>
      <c r="CY74"/>
      <c r="CZ74"/>
    </row>
    <row r="75" spans="1:109" hidden="1">
      <c r="A75" s="490" t="s">
        <v>415</v>
      </c>
      <c r="B75" s="490"/>
      <c r="C75" s="490"/>
      <c r="D75" s="490">
        <f>COUNTIF([0]!Marts,"Orlov")</f>
        <v>0</v>
      </c>
      <c r="E75" s="491"/>
      <c r="F75" s="496"/>
      <c r="G75" s="496"/>
      <c r="H75" s="496"/>
      <c r="I75" s="653" t="s">
        <v>604</v>
      </c>
      <c r="J75" s="653"/>
      <c r="K75" s="653"/>
      <c r="L75" s="653"/>
      <c r="M75" s="659"/>
      <c r="N75" s="659"/>
      <c r="O75" s="4"/>
      <c r="P75" s="652"/>
      <c r="R75">
        <f>IF(C10="ikke relevant",V10*-1+X10*-1,0)</f>
        <v>0</v>
      </c>
      <c r="S75" t="s">
        <v>610</v>
      </c>
      <c r="V75">
        <f>IF(C10="ikke relevant",R10*-1,0)</f>
        <v>0</v>
      </c>
      <c r="Y75"/>
      <c r="Z75"/>
      <c r="AM75" s="1"/>
      <c r="BJ75" s="1"/>
      <c r="BU75" s="244"/>
      <c r="BV75" s="244"/>
      <c r="CY75"/>
      <c r="CZ75"/>
    </row>
    <row r="76" spans="1:109" hidden="1">
      <c r="A76" s="490" t="s">
        <v>160</v>
      </c>
      <c r="B76" s="490"/>
      <c r="C76" s="490"/>
      <c r="D76" s="490">
        <f>COUNTIF([0]!Marts,"Ikke relevant")</f>
        <v>0</v>
      </c>
      <c r="E76" s="491"/>
      <c r="F76" s="490" t="s">
        <v>196</v>
      </c>
      <c r="G76" s="490">
        <f>COUNTIFS($B$9:$B$39,"ma",[0]!Marts,"Skema 3")</f>
        <v>0</v>
      </c>
      <c r="H76" s="490"/>
      <c r="I76" s="653"/>
      <c r="J76" s="653"/>
      <c r="K76" s="653"/>
      <c r="L76" s="503"/>
      <c r="M76" s="659"/>
      <c r="N76" s="659"/>
      <c r="O76" s="4"/>
      <c r="P76" s="652"/>
      <c r="R76">
        <f>IF(C11="ikke relevant",V11*-1+X11*-1,0)</f>
        <v>0</v>
      </c>
      <c r="V76">
        <f>IF(C11="ikke relevant",R11*-1,0)</f>
        <v>0</v>
      </c>
      <c r="Y76"/>
      <c r="Z76"/>
      <c r="AM76" s="1"/>
      <c r="BJ76" s="1"/>
      <c r="BU76" s="244"/>
      <c r="BV76" s="244"/>
      <c r="CY76"/>
      <c r="CZ76"/>
    </row>
    <row r="77" spans="1:109" hidden="1">
      <c r="A77" s="490" t="s">
        <v>108</v>
      </c>
      <c r="B77" s="490"/>
      <c r="C77" s="490"/>
      <c r="D77" s="490">
        <f>SUM(D64:D76)</f>
        <v>31</v>
      </c>
      <c r="E77" s="490"/>
      <c r="F77" s="490" t="s">
        <v>197</v>
      </c>
      <c r="G77" s="490">
        <f>COUNTIFS($B$9:$B$39,"ti",[0]!Marts,"Skema 3")</f>
        <v>0</v>
      </c>
      <c r="H77" s="490"/>
      <c r="I77" s="653"/>
      <c r="J77" s="653"/>
      <c r="K77" s="653"/>
      <c r="L77" s="503"/>
      <c r="M77" s="659"/>
      <c r="N77" s="659"/>
      <c r="O77" s="4"/>
      <c r="P77" s="652"/>
      <c r="R77">
        <f t="shared" ref="R77:R105" si="39">IF(C12="ikke relevant",V12*-1+X12*-1,0)</f>
        <v>0</v>
      </c>
      <c r="V77">
        <f t="shared" ref="V77:V105" si="40">IF(C12="ikke relevant",R12*-1,0)</f>
        <v>0</v>
      </c>
      <c r="Y77"/>
      <c r="Z77" s="1"/>
      <c r="AX77" s="1"/>
      <c r="BI77" s="244"/>
      <c r="BJ77" s="244"/>
      <c r="CY77"/>
      <c r="CZ77"/>
    </row>
    <row r="78" spans="1:109" hidden="1">
      <c r="A78" s="490" t="s">
        <v>239</v>
      </c>
      <c r="B78" s="490"/>
      <c r="C78" s="490"/>
      <c r="D78" s="490">
        <f>D77-D71-A87-D76</f>
        <v>21</v>
      </c>
      <c r="E78" s="497"/>
      <c r="F78" s="490" t="s">
        <v>198</v>
      </c>
      <c r="G78" s="490">
        <f>COUNTIFS($B$9:$B$39,"on",[0]!Marts,"Skema 3")</f>
        <v>0</v>
      </c>
      <c r="H78" s="490"/>
      <c r="I78" s="653"/>
      <c r="J78" s="653"/>
      <c r="K78" s="653"/>
      <c r="L78" s="503"/>
      <c r="M78" s="659"/>
      <c r="N78" s="659"/>
      <c r="O78" s="4"/>
      <c r="P78" s="652"/>
      <c r="R78">
        <f t="shared" si="39"/>
        <v>0</v>
      </c>
      <c r="V78">
        <f t="shared" si="40"/>
        <v>0</v>
      </c>
      <c r="Y78"/>
      <c r="Z78" s="1"/>
      <c r="AX78" s="1"/>
      <c r="BI78" s="244"/>
      <c r="BJ78" s="244"/>
      <c r="CY78"/>
      <c r="CZ78"/>
    </row>
    <row r="79" spans="1:109" hidden="1">
      <c r="A79" s="490"/>
      <c r="B79" s="490"/>
      <c r="C79" s="490"/>
      <c r="D79" s="490"/>
      <c r="E79" s="490"/>
      <c r="F79" s="490" t="s">
        <v>199</v>
      </c>
      <c r="G79" s="490">
        <f>COUNTIFS($B$9:$B$39,"to",[0]!Marts,"Skema 3")</f>
        <v>0</v>
      </c>
      <c r="H79" s="490"/>
      <c r="I79" s="655"/>
      <c r="J79" s="653"/>
      <c r="K79" s="653"/>
      <c r="L79" s="503"/>
      <c r="M79" s="651"/>
      <c r="N79" s="651"/>
      <c r="O79" s="4"/>
      <c r="P79" s="652"/>
      <c r="R79">
        <f t="shared" si="39"/>
        <v>0</v>
      </c>
      <c r="V79">
        <f t="shared" si="40"/>
        <v>0</v>
      </c>
      <c r="Y79"/>
      <c r="Z79" s="1"/>
      <c r="AO79" s="1"/>
      <c r="BL79" s="1"/>
      <c r="BW79" s="244"/>
      <c r="BX79" s="244"/>
      <c r="CY79"/>
      <c r="CZ79"/>
    </row>
    <row r="80" spans="1:109" hidden="1">
      <c r="A80" s="490"/>
      <c r="B80" s="490"/>
      <c r="C80" s="490"/>
      <c r="D80" s="490"/>
      <c r="E80" s="490"/>
      <c r="F80" s="490" t="s">
        <v>200</v>
      </c>
      <c r="G80" s="490">
        <f>COUNTIFS($B$9:$B$39,"fr",[0]!Marts,"Skema 3")</f>
        <v>0</v>
      </c>
      <c r="H80" s="490"/>
      <c r="I80" s="498"/>
      <c r="J80" s="503"/>
      <c r="K80" s="503"/>
      <c r="L80" s="503"/>
      <c r="M80" s="4"/>
      <c r="N80" s="4"/>
      <c r="O80" s="4"/>
      <c r="P80" s="4"/>
      <c r="R80">
        <f t="shared" si="39"/>
        <v>0</v>
      </c>
      <c r="V80">
        <f t="shared" si="40"/>
        <v>0</v>
      </c>
      <c r="Y80"/>
      <c r="Z80" s="1"/>
      <c r="AO80" s="1"/>
      <c r="BL80" s="1"/>
      <c r="BW80" s="244"/>
      <c r="BX80" s="244"/>
      <c r="CY80"/>
      <c r="CZ80"/>
    </row>
    <row r="81" spans="1:111" hidden="1">
      <c r="A81" s="490" t="s">
        <v>292</v>
      </c>
      <c r="B81" s="490"/>
      <c r="C81" s="490"/>
      <c r="D81" s="490"/>
      <c r="E81" s="490"/>
      <c r="F81" s="490"/>
      <c r="G81" s="490"/>
      <c r="H81" s="490"/>
      <c r="I81" s="498"/>
      <c r="J81" s="503"/>
      <c r="K81" s="503"/>
      <c r="L81" s="503"/>
      <c r="M81" s="4"/>
      <c r="N81" s="4"/>
      <c r="O81" s="4"/>
      <c r="P81" s="4"/>
      <c r="R81">
        <f t="shared" si="39"/>
        <v>0</v>
      </c>
      <c r="V81">
        <f t="shared" si="40"/>
        <v>0</v>
      </c>
      <c r="Y81"/>
      <c r="Z81" s="1"/>
      <c r="AO81" s="1"/>
      <c r="BL81" s="1"/>
      <c r="BW81" s="244"/>
      <c r="BX81" s="244"/>
      <c r="CY81"/>
      <c r="CZ81"/>
    </row>
    <row r="82" spans="1:111" hidden="1">
      <c r="A82" s="490">
        <f>COUNTIF($C$9:$C$10,"Skema 1")+COUNTIF($C$9:$C$10,"Skema 2")+COUNTIF($C$9:$C$10,"Skema 3")+COUNTIF($C$9:$C$10,"Skema 4")+COUNTIF($C$9:$C$10,"Fagdag")+COUNTIF($C$9:$C$10,"Emnedag")+COUNTIF($C$9:$C$10,"Lejrskole")+COUNTIF($C$9:$C$10,"Ekskursion")+COUNTIF($C$9:$C$10,"Pæd.dag")</f>
        <v>0</v>
      </c>
      <c r="B82" s="490"/>
      <c r="C82" s="490"/>
      <c r="D82" s="490"/>
      <c r="E82" s="490"/>
      <c r="F82" s="490" t="s">
        <v>201</v>
      </c>
      <c r="G82" s="490">
        <f>COUNTIFS($B$9:$B$39,"ma",[0]!Marts,"Skema 4")</f>
        <v>0</v>
      </c>
      <c r="H82" s="490"/>
      <c r="I82" s="498"/>
      <c r="J82" s="503"/>
      <c r="K82" s="503"/>
      <c r="L82" s="503"/>
      <c r="M82" s="4"/>
      <c r="N82" s="4"/>
      <c r="O82" s="4"/>
      <c r="P82" s="4"/>
      <c r="R82">
        <f t="shared" si="39"/>
        <v>0</v>
      </c>
      <c r="V82">
        <f t="shared" si="40"/>
        <v>0</v>
      </c>
      <c r="Y82"/>
      <c r="Z82" s="1"/>
      <c r="AO82" s="1"/>
      <c r="BL82" s="1"/>
      <c r="BW82" s="244"/>
      <c r="BX82" s="244"/>
      <c r="CY82"/>
      <c r="CZ82"/>
    </row>
    <row r="83" spans="1:111" hidden="1">
      <c r="A83" s="490">
        <f>COUNTIF(C16:C17,"Skema 1")+COUNTIF(C16:C17,"Skema 2")+COUNTIF(C16:C17,"Skema 3")+COUNTIF(C16:C17,"Skema 4")+COUNTIF(C16:C17,"Fagdag")+COUNTIF(C16:C17,"Emnedag")+COUNTIF(C16:C17,"Lejrskole")+COUNTIF(C16:C17,"Ekskursion")+COUNTIF(C16:C17,"Pæd.dag")</f>
        <v>0</v>
      </c>
      <c r="B83" s="490"/>
      <c r="C83" s="490"/>
      <c r="D83" s="490"/>
      <c r="E83" s="490"/>
      <c r="F83" s="490" t="s">
        <v>202</v>
      </c>
      <c r="G83" s="490">
        <f>COUNTIFS($B$9:$B$39,"ti",[0]!Marts,"Skema 4")</f>
        <v>0</v>
      </c>
      <c r="H83" s="490"/>
      <c r="I83" s="498"/>
      <c r="J83" s="503"/>
      <c r="K83" s="503"/>
      <c r="L83" s="503"/>
      <c r="M83" s="4"/>
      <c r="N83" s="4"/>
      <c r="O83" s="4"/>
      <c r="P83" s="4"/>
      <c r="R83">
        <f t="shared" si="39"/>
        <v>0</v>
      </c>
      <c r="V83">
        <f t="shared" si="40"/>
        <v>0</v>
      </c>
      <c r="Y83"/>
      <c r="Z83" s="1"/>
      <c r="AO83" s="1"/>
      <c r="BL83" s="1"/>
      <c r="BW83" s="244"/>
      <c r="BX83" s="244"/>
      <c r="CY83"/>
      <c r="CZ83"/>
    </row>
    <row r="84" spans="1:111" hidden="1">
      <c r="A84" s="490">
        <f>COUNTIF($C$23:$C$24,"Skema 1")+COUNTIF($C$23:$C$24,"Skema 2")+COUNTIF($C$23:$C$24,"Skema 3")+COUNTIF($C$23:$C$24,"Skema 4")+COUNTIF($C$23:$C$24,"Fagdag")+COUNTIF($C$23:$C$24,"Emnedag")+COUNTIF($C$23:$C$24,"Lejrskole")+COUNTIF($C$23:$C$24,"Ekskursion")+COUNTIF($C$23:$C$24,"Pæd.dag")</f>
        <v>0</v>
      </c>
      <c r="B84" s="490"/>
      <c r="C84" s="490"/>
      <c r="D84" s="490"/>
      <c r="E84" s="490"/>
      <c r="F84" s="490" t="s">
        <v>203</v>
      </c>
      <c r="G84" s="490">
        <f>COUNTIFS($B$9:$B$39,"on",[0]!Marts,"Skema 4")</f>
        <v>0</v>
      </c>
      <c r="H84" s="490"/>
      <c r="I84" s="498"/>
      <c r="J84" s="503"/>
      <c r="K84" s="503"/>
      <c r="L84" s="503"/>
      <c r="M84" s="4"/>
      <c r="N84" s="4"/>
      <c r="O84" s="4"/>
      <c r="P84" s="4"/>
      <c r="R84">
        <f t="shared" si="39"/>
        <v>0</v>
      </c>
      <c r="V84">
        <f t="shared" si="40"/>
        <v>0</v>
      </c>
      <c r="Y84"/>
      <c r="Z84" s="1"/>
      <c r="AO84" s="1"/>
      <c r="BL84" s="1"/>
      <c r="BW84" s="244"/>
      <c r="BX84" s="244"/>
      <c r="CY84"/>
      <c r="CZ84"/>
    </row>
    <row r="85" spans="1:111" hidden="1">
      <c r="A85" s="490">
        <f>COUNTIF(C30:C31,"Skema 1")+COUNTIF(C30:C31,"Skema 2")+COUNTIF(C30:C31,"Skema 3")+COUNTIF(C30:C31,"Skema 4")+COUNTIF(C30:C31,"Fagdag")+COUNTIF(C30:C31,"Emnedag")+COUNTIF(C30:C31,"Lejrskole")+COUNTIF(C30:C31,"Ekskursion")+COUNTIF(C30:C31,"Pæd.dag")</f>
        <v>0</v>
      </c>
      <c r="B85" s="490"/>
      <c r="C85" s="490"/>
      <c r="D85" s="490"/>
      <c r="E85" s="490"/>
      <c r="F85" s="490" t="s">
        <v>204</v>
      </c>
      <c r="G85" s="490">
        <f>COUNTIFS($B$9:$B$39,"to",[0]!Marts,"Skema 4")</f>
        <v>0</v>
      </c>
      <c r="H85" s="490"/>
      <c r="I85" s="498"/>
      <c r="J85" s="503"/>
      <c r="K85" s="503"/>
      <c r="L85" s="503"/>
      <c r="M85" s="4"/>
      <c r="N85" s="4"/>
      <c r="O85" s="4"/>
      <c r="P85" s="4"/>
      <c r="R85">
        <f t="shared" si="39"/>
        <v>0</v>
      </c>
      <c r="V85">
        <f t="shared" si="40"/>
        <v>0</v>
      </c>
      <c r="Y85"/>
      <c r="Z85"/>
      <c r="AO85" s="1">
        <f>SUM(N85:AN85)</f>
        <v>0</v>
      </c>
      <c r="BL85" s="1">
        <f>SUM(AI85:BK85)</f>
        <v>0</v>
      </c>
      <c r="BW85" s="244"/>
      <c r="BX85" s="244"/>
      <c r="CY85"/>
      <c r="CZ85"/>
    </row>
    <row r="86" spans="1:111" hidden="1">
      <c r="A86" s="490">
        <f>COUNTIF(C37:C38,"Skema 1")+COUNTIF(C37:C38,"Skema 2")+COUNTIF(C37:C38,"Skema 3")+COUNTIF(C37:C38,"Skema 4")+COUNTIF(C37:C38,"Fagdag")+COUNTIF(C37:C38,"Emnedag")+COUNTIF(C37:C38,"Lejrskole")+COUNTIF(C37:C38,"Ekskursion")+COUNTIF(C37:C38,"Pæd.dag")</f>
        <v>0</v>
      </c>
      <c r="B86" s="490"/>
      <c r="C86" s="490"/>
      <c r="D86" s="490"/>
      <c r="E86" s="490"/>
      <c r="F86" s="490" t="s">
        <v>205</v>
      </c>
      <c r="G86" s="490">
        <f>COUNTIFS($B$9:$B$39,"fr",[0]!Marts,"Skema 4")</f>
        <v>0</v>
      </c>
      <c r="H86" s="490"/>
      <c r="I86" s="490"/>
      <c r="J86" s="493"/>
      <c r="K86" s="493"/>
      <c r="L86" s="40"/>
      <c r="R86">
        <f t="shared" si="39"/>
        <v>0</v>
      </c>
      <c r="V86">
        <f t="shared" si="40"/>
        <v>0</v>
      </c>
      <c r="Y86"/>
      <c r="Z86"/>
      <c r="AO86" s="1">
        <f>SUM(N86:AN86)</f>
        <v>0</v>
      </c>
      <c r="BL86" s="1">
        <f>SUM(AI86:BK86)</f>
        <v>0</v>
      </c>
      <c r="BW86" s="244"/>
      <c r="BX86" s="244"/>
      <c r="CY86"/>
      <c r="CZ86"/>
    </row>
    <row r="87" spans="1:111" hidden="1">
      <c r="A87" s="490">
        <f>SUM(A82:A86)</f>
        <v>0</v>
      </c>
      <c r="B87" s="490"/>
      <c r="C87" s="490"/>
      <c r="D87" s="490"/>
      <c r="E87" s="490"/>
      <c r="F87" s="490"/>
      <c r="G87" s="495">
        <f>SUM(G64:G86)</f>
        <v>21</v>
      </c>
      <c r="H87" s="493"/>
      <c r="I87" s="490"/>
      <c r="J87" s="493"/>
      <c r="K87" s="493"/>
      <c r="L87" s="40"/>
      <c r="R87">
        <f t="shared" si="39"/>
        <v>0</v>
      </c>
      <c r="V87">
        <f t="shared" si="40"/>
        <v>0</v>
      </c>
      <c r="Y87"/>
      <c r="Z87"/>
      <c r="AO87" s="1">
        <f>SUM(N87:AN87)</f>
        <v>0</v>
      </c>
      <c r="BL87" s="1">
        <f>SUM(AI87:BK87)</f>
        <v>0</v>
      </c>
      <c r="BW87" s="244"/>
      <c r="BX87" s="244"/>
      <c r="CY87"/>
      <c r="CZ87"/>
    </row>
    <row r="88" spans="1:111" hidden="1">
      <c r="A88" s="493"/>
      <c r="B88" s="493"/>
      <c r="C88" s="493"/>
      <c r="D88" s="493"/>
      <c r="E88" s="490"/>
      <c r="F88" s="490"/>
      <c r="G88" s="490"/>
      <c r="H88" s="40"/>
      <c r="I88" s="493"/>
      <c r="J88" s="493"/>
      <c r="K88" s="493"/>
      <c r="L88" s="40"/>
      <c r="R88">
        <f t="shared" si="39"/>
        <v>0</v>
      </c>
      <c r="V88">
        <f t="shared" si="40"/>
        <v>0</v>
      </c>
      <c r="Y88"/>
      <c r="Z88"/>
      <c r="AO88" s="1">
        <f>SUM(N88:AN88)</f>
        <v>0</v>
      </c>
      <c r="BL88" s="1">
        <f>SUM(AI88:BK88)</f>
        <v>0</v>
      </c>
      <c r="BW88" s="244"/>
      <c r="BX88" s="244"/>
      <c r="CY88"/>
      <c r="CZ88"/>
    </row>
    <row r="89" spans="1:111" hidden="1">
      <c r="A89" s="493"/>
      <c r="B89" s="493"/>
      <c r="C89" s="493"/>
      <c r="D89" s="493"/>
      <c r="E89" s="490"/>
      <c r="F89" s="490"/>
      <c r="G89" s="490"/>
      <c r="H89" s="40"/>
      <c r="I89" s="40"/>
      <c r="J89" s="493"/>
      <c r="K89" s="493"/>
      <c r="L89" s="40"/>
      <c r="R89">
        <f t="shared" si="39"/>
        <v>0</v>
      </c>
      <c r="V89">
        <f t="shared" si="40"/>
        <v>0</v>
      </c>
      <c r="Y89"/>
      <c r="Z89"/>
      <c r="BW89" s="244"/>
      <c r="BX89" s="244"/>
      <c r="CY89"/>
      <c r="CZ89"/>
    </row>
    <row r="90" spans="1:111" hidden="1">
      <c r="A90" s="493"/>
      <c r="B90" s="493"/>
      <c r="C90" s="493"/>
      <c r="D90" s="493"/>
      <c r="E90" s="490"/>
      <c r="F90" s="490"/>
      <c r="G90" s="490"/>
      <c r="H90" s="40"/>
      <c r="I90" s="40"/>
      <c r="J90" s="40"/>
      <c r="K90" s="40"/>
      <c r="L90" s="40"/>
      <c r="R90">
        <f t="shared" si="39"/>
        <v>0</v>
      </c>
      <c r="V90">
        <f t="shared" si="40"/>
        <v>0</v>
      </c>
      <c r="Y90"/>
      <c r="Z90"/>
      <c r="BW90" s="244"/>
      <c r="BX90" s="244"/>
      <c r="CY90"/>
      <c r="CZ90"/>
    </row>
    <row r="91" spans="1:111" hidden="1">
      <c r="A91" s="493"/>
      <c r="B91" s="493"/>
      <c r="C91" s="493"/>
      <c r="D91" s="493"/>
      <c r="E91" s="490"/>
      <c r="F91" s="490"/>
      <c r="G91" s="490"/>
      <c r="H91" s="40"/>
      <c r="I91" s="40"/>
      <c r="J91" s="40"/>
      <c r="K91" s="40"/>
      <c r="L91" s="40"/>
      <c r="R91">
        <f t="shared" si="39"/>
        <v>0</v>
      </c>
      <c r="V91">
        <f t="shared" si="40"/>
        <v>0</v>
      </c>
      <c r="Y91"/>
      <c r="Z91"/>
      <c r="BW91" s="244"/>
      <c r="BX91" s="244"/>
      <c r="CY91"/>
      <c r="CZ91"/>
    </row>
    <row r="92" spans="1:111" hidden="1">
      <c r="A92" s="493"/>
      <c r="B92" s="493"/>
      <c r="C92" s="493"/>
      <c r="D92" s="493"/>
      <c r="E92" s="490"/>
      <c r="F92" s="490"/>
      <c r="G92" s="490"/>
      <c r="I92" s="40"/>
      <c r="J92" s="40"/>
      <c r="K92" s="40"/>
      <c r="L92" s="40"/>
      <c r="R92">
        <f t="shared" si="39"/>
        <v>0</v>
      </c>
      <c r="V92">
        <f t="shared" si="40"/>
        <v>0</v>
      </c>
      <c r="Y92"/>
      <c r="Z92"/>
      <c r="BW92" s="244"/>
      <c r="BX92" s="244"/>
      <c r="CY92"/>
      <c r="CZ92"/>
    </row>
    <row r="93" spans="1:111" hidden="1">
      <c r="A93" s="493"/>
      <c r="B93" s="493"/>
      <c r="C93" s="493"/>
      <c r="D93" s="493"/>
      <c r="E93" s="490"/>
      <c r="F93" s="490"/>
      <c r="G93" s="490"/>
      <c r="I93" s="40"/>
      <c r="J93" s="40"/>
      <c r="K93" s="40"/>
      <c r="L93" s="40"/>
      <c r="R93">
        <f t="shared" si="39"/>
        <v>0</v>
      </c>
      <c r="V93">
        <f t="shared" si="40"/>
        <v>0</v>
      </c>
      <c r="Y93"/>
      <c r="Z93"/>
      <c r="AF93" s="228"/>
      <c r="BW93" s="244"/>
      <c r="BX93" s="244"/>
      <c r="CY93"/>
      <c r="CZ93"/>
    </row>
    <row r="94" spans="1:111" hidden="1">
      <c r="E94" s="89"/>
      <c r="F94" s="89"/>
      <c r="G94" s="89"/>
      <c r="I94" s="40"/>
      <c r="J94" s="40"/>
      <c r="K94" s="40"/>
      <c r="L94" s="40"/>
      <c r="R94">
        <f t="shared" si="39"/>
        <v>0</v>
      </c>
      <c r="V94">
        <f t="shared" si="40"/>
        <v>0</v>
      </c>
      <c r="Y94"/>
      <c r="Z94"/>
      <c r="AD94" s="4"/>
      <c r="AE94" s="228"/>
      <c r="AF94" s="228"/>
      <c r="AG94" s="228"/>
      <c r="AH94" s="228"/>
      <c r="CY94"/>
      <c r="CZ94"/>
      <c r="DF94" s="244"/>
      <c r="DG94" s="244"/>
    </row>
    <row r="95" spans="1:111" hidden="1">
      <c r="E95" s="89"/>
      <c r="F95" s="89"/>
      <c r="G95" s="89"/>
      <c r="I95" s="40"/>
      <c r="J95" s="40"/>
      <c r="K95" s="40"/>
      <c r="L95" s="40"/>
      <c r="R95">
        <f t="shared" si="39"/>
        <v>0</v>
      </c>
      <c r="V95">
        <f t="shared" si="40"/>
        <v>0</v>
      </c>
      <c r="Y95"/>
      <c r="Z95"/>
      <c r="AD95" s="4"/>
      <c r="AE95" s="228"/>
      <c r="AG95" s="228"/>
      <c r="AH95" s="228"/>
      <c r="CY95"/>
      <c r="CZ95"/>
      <c r="DF95" s="244"/>
      <c r="DG95" s="244"/>
    </row>
    <row r="96" spans="1:111" hidden="1">
      <c r="E96" s="89"/>
      <c r="F96" s="89"/>
      <c r="G96" s="89"/>
      <c r="I96" s="40"/>
      <c r="J96" s="40"/>
      <c r="K96" s="40"/>
      <c r="L96" s="40"/>
      <c r="R96">
        <f t="shared" si="39"/>
        <v>0</v>
      </c>
      <c r="V96">
        <f t="shared" si="40"/>
        <v>0</v>
      </c>
    </row>
    <row r="97" spans="5:22" hidden="1">
      <c r="E97" s="89"/>
      <c r="F97" s="89"/>
      <c r="G97" s="89"/>
      <c r="I97" s="40"/>
      <c r="J97" s="40"/>
      <c r="K97" s="40"/>
      <c r="L97" s="40"/>
      <c r="R97">
        <f t="shared" si="39"/>
        <v>0</v>
      </c>
      <c r="V97">
        <f t="shared" si="40"/>
        <v>0</v>
      </c>
    </row>
    <row r="98" spans="5:22" hidden="1">
      <c r="I98" s="40"/>
      <c r="J98" s="40"/>
      <c r="K98" s="40"/>
      <c r="L98" s="40"/>
      <c r="R98">
        <f t="shared" si="39"/>
        <v>0</v>
      </c>
      <c r="V98">
        <f t="shared" si="40"/>
        <v>0</v>
      </c>
    </row>
    <row r="99" spans="5:22" hidden="1">
      <c r="I99" s="40"/>
      <c r="J99" s="40"/>
      <c r="K99" s="40"/>
      <c r="L99" s="40"/>
      <c r="R99">
        <f t="shared" si="39"/>
        <v>0</v>
      </c>
      <c r="V99">
        <f t="shared" si="40"/>
        <v>0</v>
      </c>
    </row>
    <row r="100" spans="5:22" hidden="1">
      <c r="I100" s="40"/>
      <c r="J100" s="40"/>
      <c r="K100" s="40"/>
      <c r="L100" s="439"/>
      <c r="R100">
        <f t="shared" si="39"/>
        <v>0</v>
      </c>
      <c r="V100">
        <f t="shared" si="40"/>
        <v>0</v>
      </c>
    </row>
    <row r="101" spans="5:22" hidden="1">
      <c r="I101" s="40"/>
      <c r="J101" s="40"/>
      <c r="K101" s="40"/>
      <c r="L101" s="439"/>
      <c r="R101">
        <f t="shared" si="39"/>
        <v>0</v>
      </c>
      <c r="V101">
        <f t="shared" si="40"/>
        <v>0</v>
      </c>
    </row>
    <row r="102" spans="5:22" hidden="1">
      <c r="I102" s="40"/>
      <c r="J102" s="40"/>
      <c r="K102" s="40"/>
      <c r="L102" s="439"/>
      <c r="R102">
        <f t="shared" si="39"/>
        <v>0</v>
      </c>
      <c r="V102">
        <f t="shared" si="40"/>
        <v>0</v>
      </c>
    </row>
    <row r="103" spans="5:22" hidden="1">
      <c r="I103" s="439"/>
      <c r="J103" s="40"/>
      <c r="K103" s="40"/>
      <c r="L103" s="439"/>
      <c r="R103">
        <f t="shared" si="39"/>
        <v>0</v>
      </c>
      <c r="V103">
        <f t="shared" si="40"/>
        <v>0</v>
      </c>
    </row>
    <row r="104" spans="5:22" hidden="1">
      <c r="I104" s="439"/>
      <c r="J104" s="439"/>
      <c r="K104" s="439"/>
      <c r="L104" s="439"/>
      <c r="R104">
        <f t="shared" si="39"/>
        <v>0</v>
      </c>
      <c r="V104">
        <f t="shared" si="40"/>
        <v>0</v>
      </c>
    </row>
    <row r="105" spans="5:22" ht="17" hidden="1" thickBot="1">
      <c r="I105" s="439"/>
      <c r="J105" s="439"/>
      <c r="K105" s="439"/>
      <c r="L105" s="439"/>
      <c r="R105">
        <f t="shared" si="39"/>
        <v>0</v>
      </c>
      <c r="V105">
        <f t="shared" si="40"/>
        <v>0</v>
      </c>
    </row>
    <row r="106" spans="5:22" ht="17" hidden="1" thickBot="1">
      <c r="I106" s="439"/>
      <c r="J106" s="439"/>
      <c r="K106" s="439"/>
      <c r="L106" s="439"/>
      <c r="R106" s="684">
        <f>SUM(R75:R105)+FB40</f>
        <v>0</v>
      </c>
      <c r="V106">
        <f>SUM(V75:V105)</f>
        <v>0</v>
      </c>
    </row>
    <row r="107" spans="5:22" hidden="1">
      <c r="I107" s="439"/>
      <c r="J107" s="439"/>
      <c r="K107" s="439"/>
      <c r="L107" s="439"/>
    </row>
  </sheetData>
  <sheetProtection sheet="1" objects="1" scenarios="1"/>
  <mergeCells count="174">
    <mergeCell ref="FQ8:FR8"/>
    <mergeCell ref="DS8:DV8"/>
    <mergeCell ref="DZ8:EB8"/>
    <mergeCell ref="EG8:EI8"/>
    <mergeCell ref="EM8:EN8"/>
    <mergeCell ref="EQ8:ER8"/>
    <mergeCell ref="EU8:EV8"/>
    <mergeCell ref="FC8:FD8"/>
    <mergeCell ref="FG8:FH8"/>
    <mergeCell ref="FK8:FL8"/>
    <mergeCell ref="EY8:EZ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A61:B61"/>
    <mergeCell ref="C61:D61"/>
    <mergeCell ref="E61:G61"/>
    <mergeCell ref="I61:K61"/>
    <mergeCell ref="A62:G62"/>
    <mergeCell ref="I62:K62"/>
    <mergeCell ref="A58:B58"/>
    <mergeCell ref="C58:D58"/>
    <mergeCell ref="E58:G58"/>
    <mergeCell ref="I58:K58"/>
    <mergeCell ref="A59:B59"/>
    <mergeCell ref="C59:D59"/>
    <mergeCell ref="E59:G59"/>
    <mergeCell ref="I59:K59"/>
    <mergeCell ref="A60:B60"/>
    <mergeCell ref="C60:D60"/>
    <mergeCell ref="E60:G60"/>
    <mergeCell ref="I60:K60"/>
    <mergeCell ref="M53:U53"/>
    <mergeCell ref="V53:X53"/>
    <mergeCell ref="I54:K54"/>
    <mergeCell ref="A67:C67"/>
    <mergeCell ref="E32:G32"/>
    <mergeCell ref="A66:C66"/>
    <mergeCell ref="I51:K51"/>
    <mergeCell ref="M50:U50"/>
    <mergeCell ref="V50:X50"/>
    <mergeCell ref="M51:U51"/>
    <mergeCell ref="V51:X51"/>
    <mergeCell ref="A50:H50"/>
    <mergeCell ref="I50:K50"/>
    <mergeCell ref="A46:G46"/>
    <mergeCell ref="I46:K46"/>
    <mergeCell ref="A47:G47"/>
    <mergeCell ref="I47:K47"/>
    <mergeCell ref="M46:U46"/>
    <mergeCell ref="A48:H48"/>
    <mergeCell ref="A56:K56"/>
    <mergeCell ref="A57:B57"/>
    <mergeCell ref="C57:D57"/>
    <mergeCell ref="E57:G57"/>
    <mergeCell ref="H57:K57"/>
    <mergeCell ref="E31:G31"/>
    <mergeCell ref="E33:G33"/>
    <mergeCell ref="E34:G34"/>
    <mergeCell ref="E35:G35"/>
    <mergeCell ref="A65:C65"/>
    <mergeCell ref="V46:X46"/>
    <mergeCell ref="M47:X47"/>
    <mergeCell ref="M48:U48"/>
    <mergeCell ref="V48:X48"/>
    <mergeCell ref="M49:U49"/>
    <mergeCell ref="V49:X49"/>
    <mergeCell ref="A44:G44"/>
    <mergeCell ref="I44:K44"/>
    <mergeCell ref="A45:G45"/>
    <mergeCell ref="I45:K45"/>
    <mergeCell ref="M45:U45"/>
    <mergeCell ref="V45:X45"/>
    <mergeCell ref="A49:H49"/>
    <mergeCell ref="I49:K49"/>
    <mergeCell ref="I48:K48"/>
    <mergeCell ref="M52:U52"/>
    <mergeCell ref="V52:X52"/>
    <mergeCell ref="A53:G54"/>
    <mergeCell ref="I53:K53"/>
    <mergeCell ref="M42:X42"/>
    <mergeCell ref="M43:U43"/>
    <mergeCell ref="V43:X43"/>
    <mergeCell ref="M44:U44"/>
    <mergeCell ref="V44:X44"/>
    <mergeCell ref="E36:G36"/>
    <mergeCell ref="E37:G37"/>
    <mergeCell ref="E38:G38"/>
    <mergeCell ref="E39:G39"/>
    <mergeCell ref="A40:I40"/>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8:J8"/>
    <mergeCell ref="AA6:AE6"/>
    <mergeCell ref="S5:X5"/>
    <mergeCell ref="A3:X3"/>
    <mergeCell ref="AG6:AK6"/>
    <mergeCell ref="E6:G8"/>
    <mergeCell ref="K6:L6"/>
    <mergeCell ref="N6:N7"/>
    <mergeCell ref="O6:O7"/>
    <mergeCell ref="E11:G11"/>
    <mergeCell ref="K8:R8"/>
    <mergeCell ref="I6:I7"/>
    <mergeCell ref="J6:J7"/>
    <mergeCell ref="S6:X6"/>
    <mergeCell ref="S8:U8"/>
    <mergeCell ref="V8:X8"/>
    <mergeCell ref="B2:E2"/>
    <mergeCell ref="E4:G4"/>
    <mergeCell ref="K4:L4"/>
    <mergeCell ref="A5:R5"/>
    <mergeCell ref="P6:P7"/>
    <mergeCell ref="Q6:Q7"/>
    <mergeCell ref="R6:R7"/>
    <mergeCell ref="A4:D4"/>
    <mergeCell ref="E12:G12"/>
    <mergeCell ref="A55:G55"/>
    <mergeCell ref="I55:K55"/>
    <mergeCell ref="E13:G13"/>
    <mergeCell ref="E14:G14"/>
    <mergeCell ref="E15:G15"/>
    <mergeCell ref="E16:G16"/>
    <mergeCell ref="E23:G23"/>
    <mergeCell ref="E24:G24"/>
    <mergeCell ref="E25:G25"/>
    <mergeCell ref="E26:G26"/>
    <mergeCell ref="E27:G27"/>
    <mergeCell ref="E17:G17"/>
    <mergeCell ref="E18:G18"/>
    <mergeCell ref="E19:G19"/>
    <mergeCell ref="E20:G20"/>
    <mergeCell ref="E21:G21"/>
    <mergeCell ref="E22:G22"/>
    <mergeCell ref="E28:G28"/>
    <mergeCell ref="A42:G42"/>
    <mergeCell ref="I42:K42"/>
    <mergeCell ref="A43:G43"/>
    <mergeCell ref="I43:K43"/>
    <mergeCell ref="E29:G29"/>
    <mergeCell ref="E30:G30"/>
  </mergeCells>
  <phoneticPr fontId="5" type="noConversion"/>
  <conditionalFormatting sqref="A9:H9 D10:H31 A10:C39 D32:E32 H32 D33:H39">
    <cfRule type="expression" dxfId="593" priority="116">
      <formula>OR($C9="ekskursion")</formula>
    </cfRule>
    <cfRule type="expression" dxfId="592" priority="122" stopIfTrue="1">
      <formula>OR($C9="Orlov")</formula>
    </cfRule>
    <cfRule type="expression" dxfId="591" priority="121">
      <formula>OR($C9="weekend")</formula>
    </cfRule>
    <cfRule type="expression" dxfId="590" priority="120">
      <formula>OR($C9="feriedag")</formula>
    </cfRule>
    <cfRule type="expression" dxfId="589" priority="119">
      <formula>OR($C9="fagdag")</formula>
    </cfRule>
    <cfRule type="expression" dxfId="588" priority="118">
      <formula>OR($C9="emnedag")</formula>
    </cfRule>
    <cfRule type="expression" dxfId="587" priority="117">
      <formula>OR($C9="lejrskole")</formula>
    </cfRule>
    <cfRule type="expression" dxfId="586" priority="115">
      <formula>OR($C9="SH-dag")</formula>
    </cfRule>
    <cfRule type="expression" dxfId="585" priority="114">
      <formula>OR($C9="nul-dag")</formula>
    </cfRule>
    <cfRule type="expression" dxfId="584" priority="113">
      <formula>OR($C9="pæd.dag")</formula>
    </cfRule>
    <cfRule type="expression" dxfId="583" priority="112">
      <formula>OR($C9="Ikke relevant")</formula>
    </cfRule>
    <cfRule type="expression" dxfId="582" priority="108">
      <formula>OR($C9="Skema 1")</formula>
    </cfRule>
    <cfRule type="expression" dxfId="581" priority="109">
      <formula>OR($C9="skema 2")</formula>
    </cfRule>
    <cfRule type="expression" dxfId="580" priority="110">
      <formula>OR($C9="Skema 3")</formula>
    </cfRule>
    <cfRule type="expression" dxfId="579" priority="111">
      <formula>OR($C9="Skema 4")</formula>
    </cfRule>
  </conditionalFormatting>
  <conditionalFormatting sqref="E20">
    <cfRule type="expression" dxfId="578" priority="124">
      <formula>OR($D19="nul-dag")</formula>
    </cfRule>
    <cfRule type="expression" dxfId="577" priority="125">
      <formula>OR($D19="SH-dag")</formula>
    </cfRule>
    <cfRule type="expression" dxfId="576" priority="126">
      <formula>OR($D19="ekskursion")</formula>
    </cfRule>
    <cfRule type="expression" dxfId="575" priority="127">
      <formula>OR($D19="lejrskole")</formula>
    </cfRule>
    <cfRule type="expression" dxfId="574" priority="123">
      <formula>OR($D19="pæd.dag")</formula>
    </cfRule>
    <cfRule type="expression" dxfId="573" priority="128">
      <formula>OR($D19="emnedag")</formula>
    </cfRule>
    <cfRule type="expression" dxfId="572" priority="129">
      <formula>OR($D19="fagdag")</formula>
    </cfRule>
    <cfRule type="expression" dxfId="571" priority="130">
      <formula>OR($D19="feriedag")</formula>
    </cfRule>
    <cfRule type="expression" dxfId="570" priority="131">
      <formula>OR($D19="weekend")</formula>
    </cfRule>
    <cfRule type="expression" dxfId="569" priority="132" stopIfTrue="1">
      <formula>OR($D19="skoledag")</formula>
    </cfRule>
    <cfRule type="expression" dxfId="568" priority="133">
      <formula>OR($D19="Ikke relevant")</formula>
    </cfRule>
  </conditionalFormatting>
  <conditionalFormatting sqref="H58:H61">
    <cfRule type="expression" dxfId="567" priority="61">
      <formula>OR($A58&gt;0,)</formula>
    </cfRule>
  </conditionalFormatting>
  <conditionalFormatting sqref="I58:I61">
    <cfRule type="expression" dxfId="566" priority="62">
      <formula>OR($C58&gt;0,)</formula>
    </cfRule>
  </conditionalFormatting>
  <conditionalFormatting sqref="K9:K39">
    <cfRule type="expression" dxfId="565" priority="105">
      <formula>OR($C9="Pæd.dag",)</formula>
    </cfRule>
  </conditionalFormatting>
  <conditionalFormatting sqref="K9:L39">
    <cfRule type="expression" dxfId="564" priority="107">
      <formula>OR($C9="Ekskursion",)</formula>
    </cfRule>
    <cfRule type="expression" dxfId="563" priority="106">
      <formula>OR($C9="Lejrskole",)</formula>
    </cfRule>
  </conditionalFormatting>
  <conditionalFormatting sqref="K9:M39">
    <cfRule type="expression" dxfId="562" priority="104">
      <formula>OR($C9="emnedag",)</formula>
    </cfRule>
    <cfRule type="expression" dxfId="561" priority="103">
      <formula>OR($C9="fagdag",)</formula>
    </cfRule>
  </conditionalFormatting>
  <conditionalFormatting sqref="R9:R39">
    <cfRule type="expression" dxfId="560" priority="134">
      <formula>OR($H9&gt;"0",)</formula>
    </cfRule>
  </conditionalFormatting>
  <conditionalFormatting sqref="V9:V39">
    <cfRule type="expression" dxfId="559" priority="70">
      <formula>OR($S9="X",)</formula>
    </cfRule>
  </conditionalFormatting>
  <conditionalFormatting sqref="V49:X52">
    <cfRule type="expression" dxfId="558" priority="63">
      <formula>OR($M49&gt;0,)</formula>
    </cfRule>
  </conditionalFormatting>
  <conditionalFormatting sqref="W9:W39">
    <cfRule type="expression" dxfId="557" priority="69">
      <formula>OR($T9="X",)</formula>
    </cfRule>
  </conditionalFormatting>
  <conditionalFormatting sqref="X9:X39">
    <cfRule type="expression" dxfId="556" priority="68">
      <formula>OR($U9="X",)</formula>
    </cfRule>
  </conditionalFormatting>
  <dataValidations count="3">
    <dataValidation type="list" allowBlank="1" showInputMessage="1" showErrorMessage="1" sqref="S9:T39 U9:U37 A58:D61" xr:uid="{F4D63E90-AEB6-994C-9941-9168DC196939}">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3:I24 I30:I31 I16:I17 I9:I10 I37:I38" xr:uid="{C24FDA66-9E9E-4644-A0F5-51911EDF1903}">
      <formula1>$W$1:$W$2</formula1>
    </dataValidation>
    <dataValidation type="list" allowBlank="1" showInputMessage="1" showErrorMessage="1" promptTitle="OBS:" prompt="Ved arrangementer med overnatning ydes istedet for ulempe- og weekendgodtgørelse på hhv. 25% og 50% faste tillæg pr. påbegyndt dag. " sqref="J9:J39" xr:uid="{59B184ED-E1DB-2540-90DF-6BA7DFBEFA4B}">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August!$A$89:$A$103</xm:f>
          </x14:formula1>
          <xm:sqref>C9:C39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GC106"/>
  <sheetViews>
    <sheetView zoomScale="90" workbookViewId="0">
      <selection activeCell="E4" sqref="E4:G4"/>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89"/>
      <c r="Y1"/>
      <c r="Z1" s="89"/>
      <c r="AB1" s="89"/>
      <c r="AC1" s="89"/>
      <c r="AH1" s="89"/>
      <c r="AI1" s="89"/>
      <c r="CX1" s="244"/>
      <c r="CZ1"/>
    </row>
    <row r="2" spans="1:185" ht="21" thickBot="1">
      <c r="A2" s="91">
        <v>4</v>
      </c>
      <c r="B2" s="1101"/>
      <c r="C2" s="1101"/>
      <c r="D2" s="1101"/>
      <c r="E2" s="1101"/>
      <c r="F2" s="89"/>
      <c r="G2" s="89"/>
      <c r="H2" s="275"/>
      <c r="I2" s="274"/>
      <c r="J2" s="227"/>
      <c r="K2" s="227"/>
      <c r="L2" s="227"/>
      <c r="M2" s="227"/>
      <c r="N2" s="227"/>
      <c r="O2" s="227"/>
      <c r="P2" s="89"/>
      <c r="Q2" s="89"/>
      <c r="R2" s="89"/>
      <c r="S2" s="89"/>
      <c r="T2" s="89"/>
      <c r="U2" s="89"/>
      <c r="V2" s="89"/>
      <c r="W2" s="122" t="s">
        <v>31</v>
      </c>
      <c r="X2" s="122" t="s">
        <v>31</v>
      </c>
      <c r="Y2"/>
      <c r="Z2" s="89"/>
      <c r="AB2" s="89"/>
      <c r="AC2" s="89"/>
      <c r="AH2" s="89"/>
      <c r="AI2" s="89"/>
      <c r="CX2" s="244"/>
      <c r="CZ2"/>
    </row>
    <row r="3" spans="1:185" ht="17" thickBot="1">
      <c r="A3" s="1130" t="s">
        <v>309</v>
      </c>
      <c r="B3" s="1131"/>
      <c r="C3" s="1131"/>
      <c r="D3" s="1131"/>
      <c r="E3" s="1131"/>
      <c r="F3" s="1131"/>
      <c r="G3" s="1131"/>
      <c r="H3" s="1131"/>
      <c r="I3" s="1131"/>
      <c r="J3" s="1131"/>
      <c r="K3" s="1131"/>
      <c r="L3" s="1131"/>
      <c r="M3" s="1131"/>
      <c r="N3" s="1131"/>
      <c r="O3" s="1131"/>
      <c r="P3" s="1131"/>
      <c r="Q3" s="1131"/>
      <c r="R3" s="1131"/>
      <c r="S3" s="1131"/>
      <c r="T3" s="1131"/>
      <c r="U3" s="1131"/>
      <c r="V3" s="1131"/>
      <c r="W3" s="1131"/>
      <c r="X3" s="1132"/>
      <c r="Y3" s="89"/>
      <c r="Z3"/>
      <c r="AC3" s="89"/>
      <c r="AD3" s="89"/>
      <c r="AF3" s="89"/>
      <c r="CT3" s="244"/>
      <c r="CU3" s="244"/>
      <c r="CY3"/>
      <c r="CZ3"/>
      <c r="FI3" s="893" t="s">
        <v>623</v>
      </c>
      <c r="FJ3" s="894"/>
      <c r="FK3" s="894"/>
      <c r="FL3" s="894"/>
      <c r="FM3" s="894"/>
      <c r="FN3" s="894"/>
      <c r="FO3" s="894"/>
      <c r="FP3" s="894"/>
      <c r="FQ3" s="894"/>
      <c r="FR3" s="894"/>
      <c r="FS3" s="894"/>
      <c r="FT3" s="894"/>
      <c r="FU3" s="894"/>
      <c r="FV3" s="894"/>
      <c r="FW3" s="894"/>
      <c r="FX3" s="894"/>
      <c r="FY3" s="894"/>
      <c r="FZ3" s="894"/>
      <c r="GA3" s="894"/>
      <c r="GB3" s="894"/>
      <c r="GC3" s="895"/>
    </row>
    <row r="4" spans="1:185" ht="236" customHeight="1" thickBot="1">
      <c r="A4" s="930" t="s">
        <v>431</v>
      </c>
      <c r="B4" s="931"/>
      <c r="C4" s="931"/>
      <c r="D4" s="931"/>
      <c r="E4" s="935" t="s">
        <v>310</v>
      </c>
      <c r="F4" s="935"/>
      <c r="G4" s="935"/>
      <c r="H4" s="276" t="s">
        <v>413</v>
      </c>
      <c r="I4" s="432" t="s">
        <v>466</v>
      </c>
      <c r="J4" s="432" t="s">
        <v>467</v>
      </c>
      <c r="K4" s="946" t="s">
        <v>514</v>
      </c>
      <c r="L4" s="946"/>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5" t="s">
        <v>621</v>
      </c>
      <c r="FJ4" s="745"/>
      <c r="FK4" s="745"/>
      <c r="FL4" s="745"/>
      <c r="FM4" t="s">
        <v>614</v>
      </c>
      <c r="FO4" s="745" t="s">
        <v>620</v>
      </c>
      <c r="FP4" s="745"/>
      <c r="FQ4" s="745"/>
      <c r="FR4" s="745"/>
    </row>
    <row r="5" spans="1:185" ht="26" customHeight="1" thickBot="1">
      <c r="A5" s="947" t="str">
        <f>""&amp;A7&amp;" måneds kalender for: "&amp;Stamoplysninger!E8&amp;". Måneden vedr. normperioden: "&amp;Stamoplysninger!E11&amp;" - "&amp;Stamoplysninger!G11&amp;"."</f>
        <v>April måneds kalender for: . Måneden vedr. normperioden:  - .</v>
      </c>
      <c r="B5" s="948"/>
      <c r="C5" s="948"/>
      <c r="D5" s="948"/>
      <c r="E5" s="948"/>
      <c r="F5" s="948"/>
      <c r="G5" s="948"/>
      <c r="H5" s="948"/>
      <c r="I5" s="948"/>
      <c r="J5" s="948"/>
      <c r="K5" s="948"/>
      <c r="L5" s="948"/>
      <c r="M5" s="948"/>
      <c r="N5" s="948"/>
      <c r="O5" s="948"/>
      <c r="P5" s="948"/>
      <c r="Q5" s="948"/>
      <c r="R5" s="948"/>
      <c r="S5" s="940" t="s">
        <v>396</v>
      </c>
      <c r="T5" s="941"/>
      <c r="U5" s="941"/>
      <c r="V5" s="941"/>
      <c r="W5" s="941"/>
      <c r="X5" s="942"/>
      <c r="Y5" s="242"/>
      <c r="Z5" s="89"/>
      <c r="AB5" s="89"/>
      <c r="AC5" s="89"/>
      <c r="AH5" s="89"/>
      <c r="AI5" s="89"/>
      <c r="CX5" s="244"/>
      <c r="CZ5"/>
      <c r="FI5" s="896" t="s">
        <v>607</v>
      </c>
      <c r="FJ5" s="896"/>
      <c r="FK5" s="896"/>
      <c r="FL5" s="896"/>
      <c r="FM5" s="896"/>
      <c r="FN5" s="896"/>
      <c r="FO5" s="896"/>
      <c r="FP5" s="896"/>
      <c r="FQ5" s="896"/>
      <c r="FR5" s="896"/>
      <c r="FU5" t="s">
        <v>622</v>
      </c>
      <c r="FV5" t="s">
        <v>615</v>
      </c>
      <c r="FX5" t="s">
        <v>616</v>
      </c>
      <c r="FZ5" t="s">
        <v>617</v>
      </c>
      <c r="GB5" s="518" t="s">
        <v>618</v>
      </c>
    </row>
    <row r="6" spans="1:185" ht="47" customHeight="1">
      <c r="A6" s="324">
        <f>Januar!A6</f>
        <v>2025</v>
      </c>
      <c r="B6" s="238"/>
      <c r="C6" s="239"/>
      <c r="D6" s="240"/>
      <c r="E6" s="955" t="s">
        <v>470</v>
      </c>
      <c r="F6" s="956"/>
      <c r="G6" s="957"/>
      <c r="H6" s="321" t="s">
        <v>323</v>
      </c>
      <c r="I6" s="903" t="s">
        <v>465</v>
      </c>
      <c r="J6" s="953" t="s">
        <v>486</v>
      </c>
      <c r="K6" s="949" t="s">
        <v>302</v>
      </c>
      <c r="L6" s="950"/>
      <c r="M6" s="322" t="s">
        <v>303</v>
      </c>
      <c r="N6" s="903" t="s">
        <v>446</v>
      </c>
      <c r="O6" s="903" t="s">
        <v>307</v>
      </c>
      <c r="P6" s="903" t="s">
        <v>455</v>
      </c>
      <c r="Q6" s="903" t="s">
        <v>386</v>
      </c>
      <c r="R6" s="906" t="s">
        <v>515</v>
      </c>
      <c r="S6" s="968" t="s">
        <v>304</v>
      </c>
      <c r="T6" s="969"/>
      <c r="U6" s="969"/>
      <c r="V6" s="969"/>
      <c r="W6" s="969"/>
      <c r="X6" s="970"/>
      <c r="Y6" s="211"/>
      <c r="Z6" s="211"/>
      <c r="AA6" s="905" t="s">
        <v>261</v>
      </c>
      <c r="AB6" s="905"/>
      <c r="AC6" s="905"/>
      <c r="AD6" s="905"/>
      <c r="AE6" s="905"/>
      <c r="AF6" s="208"/>
      <c r="AG6" s="905" t="s">
        <v>222</v>
      </c>
      <c r="AH6" s="905"/>
      <c r="AI6" s="905"/>
      <c r="AJ6" s="905"/>
      <c r="AK6" s="905"/>
      <c r="AL6" s="905" t="s">
        <v>223</v>
      </c>
      <c r="AM6" s="905"/>
      <c r="AN6" s="905"/>
      <c r="AO6" s="905"/>
      <c r="AP6" s="905"/>
      <c r="AQ6" s="905" t="s">
        <v>224</v>
      </c>
      <c r="AR6" s="905"/>
      <c r="AS6" s="905"/>
      <c r="AT6" s="905"/>
      <c r="AU6" s="905"/>
      <c r="AV6" s="905" t="s">
        <v>225</v>
      </c>
      <c r="AW6" s="905"/>
      <c r="AX6" s="905"/>
      <c r="AY6" s="905"/>
      <c r="AZ6" s="905"/>
      <c r="BA6" s="295"/>
      <c r="BB6" s="208"/>
      <c r="BC6" s="905" t="s">
        <v>264</v>
      </c>
      <c r="BD6" s="905"/>
      <c r="BE6" s="905"/>
      <c r="BF6" s="905"/>
      <c r="BG6" s="905" t="s">
        <v>227</v>
      </c>
      <c r="BH6" s="905"/>
      <c r="BI6" s="905"/>
      <c r="BJ6" s="905"/>
      <c r="BK6" s="905"/>
      <c r="BL6" s="905" t="s">
        <v>228</v>
      </c>
      <c r="BM6" s="905"/>
      <c r="BN6" s="905"/>
      <c r="BO6" s="905"/>
      <c r="BP6" s="905"/>
      <c r="BQ6" s="905" t="s">
        <v>229</v>
      </c>
      <c r="BR6" s="905"/>
      <c r="BS6" s="905"/>
      <c r="BT6" s="905"/>
      <c r="BU6" s="905"/>
      <c r="BV6" s="905" t="s">
        <v>230</v>
      </c>
      <c r="BW6" s="905"/>
      <c r="BX6" s="905"/>
      <c r="BY6" s="905"/>
      <c r="BZ6" s="905"/>
      <c r="CD6" s="905" t="s">
        <v>265</v>
      </c>
      <c r="CE6" s="905"/>
      <c r="CF6" s="905"/>
      <c r="CG6" s="905"/>
      <c r="CH6" s="905"/>
      <c r="CI6" s="905" t="s">
        <v>267</v>
      </c>
      <c r="CJ6" s="905"/>
      <c r="CK6" s="905"/>
      <c r="CL6" s="905"/>
      <c r="CM6" s="905"/>
      <c r="CN6" s="905" t="s">
        <v>266</v>
      </c>
      <c r="CO6" s="905"/>
      <c r="CP6" s="905"/>
      <c r="CQ6" s="905"/>
      <c r="CR6" s="905"/>
      <c r="CS6" s="905" t="s">
        <v>268</v>
      </c>
      <c r="CT6" s="905"/>
      <c r="CU6" s="905"/>
      <c r="CV6" s="905"/>
      <c r="CW6" s="905"/>
      <c r="CX6" s="244"/>
      <c r="CZ6"/>
      <c r="DA6" s="745" t="s">
        <v>212</v>
      </c>
      <c r="DB6" s="745"/>
      <c r="DC6" s="745"/>
      <c r="DD6" s="745"/>
      <c r="DE6" s="745"/>
      <c r="DO6" s="1064" t="s">
        <v>319</v>
      </c>
      <c r="DP6" s="1065"/>
      <c r="DQ6" s="1065"/>
      <c r="DR6" s="1065"/>
      <c r="DS6" s="1065"/>
      <c r="DT6" s="1065"/>
      <c r="DU6" s="1065"/>
      <c r="DV6" s="1066"/>
      <c r="DW6" s="1067" t="s">
        <v>319</v>
      </c>
      <c r="DX6" s="1068"/>
      <c r="DY6" s="1068"/>
      <c r="DZ6" s="1068"/>
      <c r="EA6" s="1068"/>
      <c r="EB6" s="1069"/>
      <c r="EC6" s="1070" t="s">
        <v>375</v>
      </c>
      <c r="ED6" s="1071"/>
      <c r="EE6" s="1071"/>
      <c r="EF6" s="1071"/>
      <c r="EG6" s="1071"/>
      <c r="EH6" s="1071"/>
      <c r="EI6" s="1071"/>
      <c r="EJ6" s="1072"/>
      <c r="EK6" s="1073" t="s">
        <v>320</v>
      </c>
      <c r="EL6" s="1074"/>
      <c r="EM6" s="1074"/>
      <c r="EN6" s="1075"/>
      <c r="EO6" s="1073" t="s">
        <v>324</v>
      </c>
      <c r="EP6" s="1074"/>
      <c r="EQ6" s="1074"/>
      <c r="ER6" s="1075"/>
      <c r="ES6" s="888" t="s">
        <v>378</v>
      </c>
      <c r="ET6" s="889"/>
      <c r="EU6" s="889"/>
      <c r="EV6" s="890"/>
      <c r="EW6" s="888" t="s">
        <v>379</v>
      </c>
      <c r="EX6" s="889"/>
      <c r="EY6" s="889"/>
      <c r="EZ6" s="890"/>
      <c r="FA6" s="888" t="s">
        <v>380</v>
      </c>
      <c r="FB6" s="889"/>
      <c r="FC6" s="889"/>
      <c r="FD6" s="890"/>
      <c r="FE6" s="888" t="s">
        <v>381</v>
      </c>
      <c r="FF6" s="889"/>
      <c r="FG6" s="889"/>
      <c r="FH6" s="890"/>
      <c r="FI6" s="898" t="s">
        <v>592</v>
      </c>
      <c r="FJ6" s="899"/>
      <c r="FK6" s="899"/>
      <c r="FL6" s="1076"/>
      <c r="FM6" s="897" t="s">
        <v>380</v>
      </c>
      <c r="FN6" s="897"/>
      <c r="FO6" s="898" t="s">
        <v>619</v>
      </c>
      <c r="FP6" s="899"/>
      <c r="FQ6" s="899"/>
      <c r="FR6" s="900"/>
      <c r="FS6" s="901" t="s">
        <v>609</v>
      </c>
      <c r="FT6" s="902"/>
      <c r="FU6" t="s">
        <v>612</v>
      </c>
      <c r="FV6" s="897" t="s">
        <v>378</v>
      </c>
      <c r="FW6" s="897"/>
      <c r="FX6" s="897" t="s">
        <v>379</v>
      </c>
      <c r="FY6" s="897"/>
      <c r="FZ6" s="897" t="s">
        <v>381</v>
      </c>
      <c r="GA6" s="897"/>
      <c r="GB6" s="897" t="s">
        <v>377</v>
      </c>
      <c r="GC6" s="897"/>
    </row>
    <row r="7" spans="1:185" ht="201" customHeight="1">
      <c r="A7" s="1012" t="s">
        <v>286</v>
      </c>
      <c r="B7" s="1013"/>
      <c r="C7" s="1013"/>
      <c r="D7" s="1014"/>
      <c r="E7" s="958"/>
      <c r="F7" s="959"/>
      <c r="G7" s="960"/>
      <c r="H7" s="967" t="s">
        <v>485</v>
      </c>
      <c r="I7" s="952"/>
      <c r="J7" s="954"/>
      <c r="K7" s="323" t="s">
        <v>516</v>
      </c>
      <c r="L7" s="323" t="s">
        <v>517</v>
      </c>
      <c r="M7" s="323" t="s">
        <v>518</v>
      </c>
      <c r="N7" s="904"/>
      <c r="O7" s="904"/>
      <c r="P7" s="904"/>
      <c r="Q7" s="904"/>
      <c r="R7" s="907"/>
      <c r="S7" s="484" t="s">
        <v>668</v>
      </c>
      <c r="T7" s="322" t="s">
        <v>306</v>
      </c>
      <c r="U7" s="322" t="s">
        <v>400</v>
      </c>
      <c r="V7" s="437" t="s">
        <v>438</v>
      </c>
      <c r="W7" s="437" t="s">
        <v>437</v>
      </c>
      <c r="X7" s="438" t="s">
        <v>397</v>
      </c>
      <c r="Y7" s="211" t="s">
        <v>279</v>
      </c>
      <c r="Z7" s="430"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1015"/>
      <c r="B8" s="1016"/>
      <c r="C8" s="1016"/>
      <c r="D8" s="1017"/>
      <c r="E8" s="961"/>
      <c r="F8" s="962"/>
      <c r="G8" s="963"/>
      <c r="H8" s="904"/>
      <c r="I8" s="943" t="s">
        <v>382</v>
      </c>
      <c r="J8" s="951"/>
      <c r="K8" s="943" t="s">
        <v>325</v>
      </c>
      <c r="L8" s="944"/>
      <c r="M8" s="944"/>
      <c r="N8" s="944"/>
      <c r="O8" s="944"/>
      <c r="P8" s="944"/>
      <c r="Q8" s="944"/>
      <c r="R8" s="944"/>
      <c r="S8" s="971" t="s">
        <v>382</v>
      </c>
      <c r="T8" s="944"/>
      <c r="U8" s="951"/>
      <c r="V8" s="1105" t="s">
        <v>383</v>
      </c>
      <c r="W8" s="1106"/>
      <c r="X8" s="1107"/>
      <c r="Y8" s="211"/>
      <c r="Z8" s="430"/>
      <c r="AA8" s="296"/>
      <c r="BB8" s="225"/>
      <c r="CA8" s="111"/>
      <c r="CB8" s="230"/>
      <c r="CC8" s="296"/>
      <c r="CX8" s="244"/>
      <c r="DA8" s="244"/>
      <c r="DB8" s="244"/>
      <c r="DC8" s="244"/>
      <c r="DD8" s="244"/>
      <c r="DE8" s="244"/>
      <c r="DF8" s="244"/>
      <c r="DG8" s="244"/>
      <c r="DH8" t="s">
        <v>492</v>
      </c>
      <c r="DI8" t="s">
        <v>493</v>
      </c>
      <c r="DJ8" t="s">
        <v>494</v>
      </c>
      <c r="DO8" s="643"/>
      <c r="DS8" s="1078" t="s">
        <v>162</v>
      </c>
      <c r="DT8" s="1078"/>
      <c r="DU8" s="1078"/>
      <c r="DV8" s="1079"/>
      <c r="DW8" s="643"/>
      <c r="DZ8" s="1080" t="s">
        <v>162</v>
      </c>
      <c r="EA8" s="1080"/>
      <c r="EB8" s="1081"/>
      <c r="EG8" s="1080" t="s">
        <v>162</v>
      </c>
      <c r="EH8" s="1080"/>
      <c r="EI8" s="1080"/>
      <c r="EJ8" s="644"/>
      <c r="EK8" s="279"/>
      <c r="EL8" s="247"/>
      <c r="EM8" s="891" t="s">
        <v>162</v>
      </c>
      <c r="EN8" s="892"/>
      <c r="EO8" s="279"/>
      <c r="EP8" s="247"/>
      <c r="EQ8" s="891" t="s">
        <v>162</v>
      </c>
      <c r="ER8" s="892"/>
      <c r="ES8" s="279"/>
      <c r="ET8" s="247"/>
      <c r="EU8" s="891" t="s">
        <v>162</v>
      </c>
      <c r="EV8" s="892"/>
      <c r="EW8" s="279"/>
      <c r="EX8" s="247"/>
      <c r="EY8" s="891" t="s">
        <v>162</v>
      </c>
      <c r="EZ8" s="892"/>
      <c r="FA8" s="279"/>
      <c r="FB8" s="247"/>
      <c r="FC8" s="891" t="s">
        <v>162</v>
      </c>
      <c r="FD8" s="892"/>
      <c r="FE8" s="279"/>
      <c r="FF8" s="247"/>
      <c r="FG8" s="891" t="s">
        <v>162</v>
      </c>
      <c r="FH8" s="892"/>
      <c r="FI8" s="279"/>
      <c r="FJ8" s="247"/>
      <c r="FK8" s="891" t="s">
        <v>162</v>
      </c>
      <c r="FL8" s="892"/>
      <c r="FN8" s="636" t="s">
        <v>160</v>
      </c>
      <c r="FO8" s="279"/>
      <c r="FP8" s="247"/>
      <c r="FQ8" s="891" t="s">
        <v>162</v>
      </c>
      <c r="FR8" s="1077"/>
      <c r="FS8" s="279"/>
      <c r="FT8" s="683" t="s">
        <v>160</v>
      </c>
      <c r="FW8" s="636" t="s">
        <v>160</v>
      </c>
      <c r="FY8" s="636" t="s">
        <v>160</v>
      </c>
      <c r="GA8" s="636" t="s">
        <v>160</v>
      </c>
      <c r="GC8" s="636" t="s">
        <v>160</v>
      </c>
    </row>
    <row r="9" spans="1:185">
      <c r="A9" s="241">
        <f>IF(ISNUMBER(A7),A7+1,1)</f>
        <v>1</v>
      </c>
      <c r="B9" s="127" t="str">
        <f t="shared" ref="B9:B38" si="0">CHOOSE(MOD(WEEKDAY(DATE(A$6,A$2,A9)),7)+1,"lø","sø","ma","ti","on","to","fr",)</f>
        <v>ti</v>
      </c>
      <c r="C9" s="128" t="s">
        <v>206</v>
      </c>
      <c r="D9" s="129" t="str">
        <f t="shared" ref="D9:D38" si="1">IF(B9="ma",(DATE(A$6,A$2,A9)-DATE(A$6,1,1)+7)/7,"")</f>
        <v/>
      </c>
      <c r="E9" s="932"/>
      <c r="F9" s="933"/>
      <c r="G9" s="934"/>
      <c r="H9" s="294"/>
      <c r="I9" s="519"/>
      <c r="J9" s="407"/>
      <c r="K9" s="374"/>
      <c r="L9" s="374"/>
      <c r="M9" s="374"/>
      <c r="N9" s="313">
        <f>BA9</f>
        <v>0</v>
      </c>
      <c r="O9" s="313">
        <f>CA9</f>
        <v>0</v>
      </c>
      <c r="P9" s="313">
        <f>IF(Stamoplysninger!$H$29="JA",April!DG9,CX9)</f>
        <v>0</v>
      </c>
      <c r="Q9" s="313">
        <f>IF(OR(C9="Lejrskole",C9="Ekskursion"),0,N9-O9-P9)</f>
        <v>0</v>
      </c>
      <c r="R9" s="314"/>
      <c r="S9" s="319"/>
      <c r="T9" s="320"/>
      <c r="U9" s="320"/>
      <c r="V9" s="429"/>
      <c r="W9" s="429"/>
      <c r="X9" s="635"/>
      <c r="Y9">
        <f>IF($S$9="x",V9-N9,0)</f>
        <v>0</v>
      </c>
      <c r="Z9" s="431">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f>IF(AND(C9="Skema 1",B9="ti"),Arbejdstidsoversigt!$E$73,"")</f>
        <v>0</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8" si="7">SUM(AG9:AK9)*24</f>
        <v>0</v>
      </c>
      <c r="BC9" s="1">
        <f>IF($C$9="Lejrskole",$L$9,0)</f>
        <v>0</v>
      </c>
      <c r="BD9" s="1">
        <f t="shared" ref="BD9:BD38" si="8">IF(C9="Ekskursion",L9,0)</f>
        <v>0</v>
      </c>
      <c r="BE9" s="1">
        <f t="shared" ref="BE9:BE38" si="9">IF(C9="fagdag",L9,0)</f>
        <v>0</v>
      </c>
      <c r="BF9" s="1">
        <f t="shared" ref="BF9:BF38" si="10">IF(C9="emnedag",L9,0)</f>
        <v>0</v>
      </c>
      <c r="BG9" s="209" t="str">
        <f>IF(AND(C9="Skema 1",B9="ma"),Skemaoplysninger!$E$30,"")</f>
        <v/>
      </c>
      <c r="BH9" s="209">
        <f>IF(AND(C9="Skema 1",B9="ti"),Skemaoplysninger!$G$30,"")</f>
        <v>0</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8" si="11">IF(C9="fagdag",M9,0)</f>
        <v>0</v>
      </c>
      <c r="CC9" s="1">
        <f t="shared" ref="CC9:CC38" si="12">IF(C9="emnedag",M9,0)</f>
        <v>0</v>
      </c>
      <c r="CD9" s="209" t="str">
        <f>IF(AND(C9="Skema 1",B9="ma"),Skemaoplysninger!$E$31,"")</f>
        <v/>
      </c>
      <c r="CE9" s="209">
        <f>IF(AND(C9="Skema 1",B9="ti"),Skemaoplysninger!$G$31,"")</f>
        <v>0</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3">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4">IF(AND(I9="X",S9="X"),V9,0)</f>
        <v>0</v>
      </c>
      <c r="FT9" s="649">
        <f t="shared" ref="FT9:FT37" si="15">IF(AND(AND(C9="ikke relevant",I9="X",S9="X")),V9,0)</f>
        <v>0</v>
      </c>
      <c r="FU9">
        <f t="shared" ref="FU9:FU28" si="16">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7">IF(ISNUMBER(A9),A9+1,1)</f>
        <v>2</v>
      </c>
      <c r="B10" s="127" t="str">
        <f t="shared" si="0"/>
        <v>on</v>
      </c>
      <c r="C10" s="128" t="s">
        <v>206</v>
      </c>
      <c r="D10" s="129" t="str">
        <f t="shared" si="1"/>
        <v/>
      </c>
      <c r="E10" s="932"/>
      <c r="F10" s="933"/>
      <c r="G10" s="934"/>
      <c r="H10" s="294"/>
      <c r="I10" s="519"/>
      <c r="J10" s="407"/>
      <c r="K10" s="374"/>
      <c r="L10" s="374"/>
      <c r="M10" s="374"/>
      <c r="N10" s="313">
        <f t="shared" ref="N10:N38" si="18">BA10</f>
        <v>0</v>
      </c>
      <c r="O10" s="313">
        <f t="shared" ref="O10:O38" si="19">CA10</f>
        <v>0</v>
      </c>
      <c r="P10" s="313">
        <f>IF(Stamoplysninger!$H$29="JA",April!DG10,CX10)</f>
        <v>0</v>
      </c>
      <c r="Q10" s="313">
        <f t="shared" ref="Q10:Q38" si="20">IF(OR(C10="Lejrskole",C10="Ekskursion"),0,N10-O10-P10)</f>
        <v>0</v>
      </c>
      <c r="R10" s="314"/>
      <c r="S10" s="319"/>
      <c r="T10" s="320"/>
      <c r="U10" s="320"/>
      <c r="V10" s="429"/>
      <c r="W10" s="429"/>
      <c r="X10" s="635"/>
      <c r="Y10">
        <f t="shared" ref="Y10:Y38" si="21">IF(S10="x",V10-N10,0)</f>
        <v>0</v>
      </c>
      <c r="Z10" s="431">
        <f t="shared" ref="Z10:Z38" si="22">W10</f>
        <v>0</v>
      </c>
      <c r="AA10" s="1">
        <f t="shared" si="2"/>
        <v>0</v>
      </c>
      <c r="AB10" s="1">
        <f t="shared" si="3"/>
        <v>0</v>
      </c>
      <c r="AC10" s="1">
        <f t="shared" si="4"/>
        <v>0</v>
      </c>
      <c r="AD10" s="1">
        <f t="shared" si="5"/>
        <v>0</v>
      </c>
      <c r="AE10" s="1">
        <f t="shared" si="6"/>
        <v>0</v>
      </c>
      <c r="AF10" s="1">
        <f>IF(C10="Orlov",7.4*Stamoplysninger!$E$15,0)</f>
        <v>0</v>
      </c>
      <c r="AG10" t="str">
        <f>IF(AND(C10="Skema 1",B10="ma"),Arbejdstidsoversigt!$E$72,"")</f>
        <v/>
      </c>
      <c r="AH10" t="str">
        <f>IF(AND(C10="Skema 1",B10="ti"),Arbejdstidsoversigt!$E$73,"")</f>
        <v/>
      </c>
      <c r="AI10">
        <f>IF(AND(C10="Skema 1",B10="on"),Arbejdstidsoversigt!$E$74,"")</f>
        <v>0</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8" si="23">SUM(AA10:AZ10)</f>
        <v>0</v>
      </c>
      <c r="BB10" s="226">
        <f t="shared" si="7"/>
        <v>0</v>
      </c>
      <c r="BC10" s="1">
        <f t="shared" ref="BC10:BC38" si="24">IF(C10="Lejrskole",L10,0)</f>
        <v>0</v>
      </c>
      <c r="BD10" s="1">
        <f t="shared" si="8"/>
        <v>0</v>
      </c>
      <c r="BE10" s="1">
        <f t="shared" si="9"/>
        <v>0</v>
      </c>
      <c r="BF10" s="1">
        <f t="shared" si="10"/>
        <v>0</v>
      </c>
      <c r="BG10" s="209" t="str">
        <f>IF(AND(C10="Skema 1",B10="ma"),Skemaoplysninger!$E$30,"")</f>
        <v/>
      </c>
      <c r="BH10" s="209" t="str">
        <f>IF(AND(C10="Skema 1",B10="ti"),Skemaoplysninger!$G$30,"")</f>
        <v/>
      </c>
      <c r="BI10" s="209">
        <f>IF(AND(C10="Skema 1",B10="on"),Skemaoplysninger!$I$30,"")</f>
        <v>0</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8" si="25">SUM(BG10:BZ10)*24+SUM(BC10:BF10)</f>
        <v>0</v>
      </c>
      <c r="CB10" s="1">
        <f t="shared" si="11"/>
        <v>0</v>
      </c>
      <c r="CC10" s="1">
        <f t="shared" si="12"/>
        <v>0</v>
      </c>
      <c r="CD10" s="209" t="str">
        <f>IF(AND(C10="Skema 1",B10="ma"),Skemaoplysninger!$E$31,"")</f>
        <v/>
      </c>
      <c r="CE10" s="209" t="str">
        <f>IF(AND(C10="Skema 1",B10="ti"),Skemaoplysninger!$G$31,"")</f>
        <v/>
      </c>
      <c r="CF10" s="209">
        <f>IF(AND(C10="Skema 1",B10="on"),Skemaoplysninger!$I$31,"")</f>
        <v>0</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8" si="26">SUM(CY10:DF10)</f>
        <v>0</v>
      </c>
      <c r="DH10" t="str">
        <f t="shared" ref="DH10:DH38" si="27">IF(AND(E10&gt;0,H10&gt;0),""&amp;E10&amp;" og "&amp;H10&amp;"","")</f>
        <v/>
      </c>
      <c r="DI10">
        <f t="shared" ref="DI10:DI38" si="28">IF(H10="",E10,"")</f>
        <v>0</v>
      </c>
      <c r="DJ10">
        <f t="shared" ref="DJ10:DJ38" si="29">IF(E10="",H10,"")</f>
        <v>0</v>
      </c>
      <c r="DK10" t="str">
        <f t="shared" si="13"/>
        <v/>
      </c>
      <c r="DL10" t="str">
        <f t="shared" si="13"/>
        <v/>
      </c>
      <c r="DM10" t="str">
        <f t="shared" si="13"/>
        <v/>
      </c>
      <c r="DN10" t="str">
        <f t="shared" ref="DN10:DN38"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4"/>
        <v>0</v>
      </c>
      <c r="FT10" s="649">
        <f t="shared" si="15"/>
        <v>0</v>
      </c>
      <c r="FU10">
        <f t="shared" si="16"/>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7"/>
        <v>3</v>
      </c>
      <c r="B11" s="127" t="str">
        <f t="shared" si="0"/>
        <v>to</v>
      </c>
      <c r="C11" s="128" t="s">
        <v>206</v>
      </c>
      <c r="D11" s="129" t="str">
        <f t="shared" si="1"/>
        <v/>
      </c>
      <c r="E11" s="932"/>
      <c r="F11" s="933"/>
      <c r="G11" s="934"/>
      <c r="H11" s="294"/>
      <c r="I11" s="519"/>
      <c r="J11" s="407"/>
      <c r="K11" s="374"/>
      <c r="L11" s="374"/>
      <c r="M11" s="374"/>
      <c r="N11" s="313">
        <f t="shared" si="18"/>
        <v>0</v>
      </c>
      <c r="O11" s="313">
        <f t="shared" si="19"/>
        <v>0</v>
      </c>
      <c r="P11" s="313">
        <f>IF(Stamoplysninger!$H$29="JA",April!DG11,CX11)</f>
        <v>0</v>
      </c>
      <c r="Q11" s="313">
        <f t="shared" si="20"/>
        <v>0</v>
      </c>
      <c r="R11" s="314"/>
      <c r="S11" s="319"/>
      <c r="T11" s="320"/>
      <c r="U11" s="320"/>
      <c r="V11" s="429"/>
      <c r="W11" s="429"/>
      <c r="X11" s="635"/>
      <c r="Y11">
        <f t="shared" si="21"/>
        <v>0</v>
      </c>
      <c r="Z11" s="431">
        <f t="shared" si="22"/>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t="str">
        <f>IF(AND(C11="Skema 1",B11="ti"),Arbejdstidsoversigt!$E$73,"")</f>
        <v/>
      </c>
      <c r="AI11" t="str">
        <f>IF(AND(C11="Skema 1",B11="on"),Arbejdstidsoversigt!$E$74,"")</f>
        <v/>
      </c>
      <c r="AJ11">
        <f>IF(AND(C11="Skema 1",B11="to"),Arbejdstidsoversigt!$E$75,"")</f>
        <v>0</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7"/>
        <v>0</v>
      </c>
      <c r="BC11" s="1">
        <f t="shared" si="24"/>
        <v>0</v>
      </c>
      <c r="BD11" s="1">
        <f t="shared" si="8"/>
        <v>0</v>
      </c>
      <c r="BE11" s="1">
        <f t="shared" si="9"/>
        <v>0</v>
      </c>
      <c r="BF11" s="1">
        <f t="shared" si="10"/>
        <v>0</v>
      </c>
      <c r="BG11" s="209" t="str">
        <f>IF(AND(C11="Skema 1",B11="ma"),Skemaoplysninger!$E$30,"")</f>
        <v/>
      </c>
      <c r="BH11" s="209" t="str">
        <f>IF(AND(C11="Skema 1",B11="ti"),Skemaoplysninger!$G$30,"")</f>
        <v/>
      </c>
      <c r="BI11" s="209" t="str">
        <f>IF(AND(C11="Skema 1",B11="on"),Skemaoplysninger!$I$30,"")</f>
        <v/>
      </c>
      <c r="BJ11" s="209">
        <f>IF(AND(C11="Skema 1",B11="to"),Skemaoplysninger!$K$30,"")</f>
        <v>0</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1"/>
        <v>0</v>
      </c>
      <c r="CC11" s="1">
        <f t="shared" si="12"/>
        <v>0</v>
      </c>
      <c r="CD11" s="209" t="str">
        <f>IF(AND(C11="Skema 1",B11="ma"),Skemaoplysninger!$E$31,"")</f>
        <v/>
      </c>
      <c r="CE11" s="209" t="str">
        <f>IF(AND(C11="Skema 1",B11="ti"),Skemaoplysninger!$G$31,"")</f>
        <v/>
      </c>
      <c r="CF11" s="209" t="str">
        <f>IF(AND(C11="Skema 1",B11="on"),Skemaoplysninger!$I$31,"")</f>
        <v/>
      </c>
      <c r="CG11" s="209">
        <f>IF(AND(C11="Skema 1",B11="to"),Skemaoplysninger!$K$31,"")</f>
        <v>0</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3"/>
        <v/>
      </c>
      <c r="DL11" t="str">
        <f t="shared" si="13"/>
        <v/>
      </c>
      <c r="DM11" t="str">
        <f t="shared" si="13"/>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4"/>
        <v>0</v>
      </c>
      <c r="FT11" s="649">
        <f t="shared" si="15"/>
        <v>0</v>
      </c>
      <c r="FU11">
        <f t="shared" si="16"/>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7"/>
        <v>4</v>
      </c>
      <c r="B12" s="127" t="str">
        <f t="shared" si="0"/>
        <v>fr</v>
      </c>
      <c r="C12" s="128" t="s">
        <v>206</v>
      </c>
      <c r="D12" s="129" t="str">
        <f t="shared" si="1"/>
        <v/>
      </c>
      <c r="E12" s="932"/>
      <c r="F12" s="933"/>
      <c r="G12" s="934"/>
      <c r="H12" s="294"/>
      <c r="I12" s="519"/>
      <c r="J12" s="407"/>
      <c r="K12" s="374"/>
      <c r="L12" s="374"/>
      <c r="M12" s="374"/>
      <c r="N12" s="313">
        <f t="shared" si="18"/>
        <v>0</v>
      </c>
      <c r="O12" s="313">
        <f t="shared" si="19"/>
        <v>0</v>
      </c>
      <c r="P12" s="313">
        <f>IF(Stamoplysninger!$H$29="JA",April!DG12,CX12)</f>
        <v>0</v>
      </c>
      <c r="Q12" s="313">
        <f t="shared" si="20"/>
        <v>0</v>
      </c>
      <c r="R12" s="314"/>
      <c r="S12" s="319"/>
      <c r="T12" s="320"/>
      <c r="U12" s="320"/>
      <c r="V12" s="429"/>
      <c r="W12" s="429"/>
      <c r="X12" s="635"/>
      <c r="Y12">
        <f t="shared" si="21"/>
        <v>0</v>
      </c>
      <c r="Z12" s="431">
        <f t="shared" si="22"/>
        <v>0</v>
      </c>
      <c r="AA12" s="1">
        <f t="shared" si="2"/>
        <v>0</v>
      </c>
      <c r="AB12" s="1">
        <f t="shared" si="3"/>
        <v>0</v>
      </c>
      <c r="AC12" s="1">
        <f t="shared" si="4"/>
        <v>0</v>
      </c>
      <c r="AD12" s="1">
        <f t="shared" si="5"/>
        <v>0</v>
      </c>
      <c r="AE12" s="1">
        <f t="shared" si="6"/>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f>IF(AND(C12="Skema 1",B12="fr"),Arbejdstidsoversigt!$E$76,"")</f>
        <v>0</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7"/>
        <v>0</v>
      </c>
      <c r="BC12" s="1">
        <f t="shared" si="24"/>
        <v>0</v>
      </c>
      <c r="BD12" s="1">
        <f t="shared" si="8"/>
        <v>0</v>
      </c>
      <c r="BE12" s="1">
        <f t="shared" si="9"/>
        <v>0</v>
      </c>
      <c r="BF12" s="1">
        <f t="shared" si="10"/>
        <v>0</v>
      </c>
      <c r="BG12" s="209" t="str">
        <f>IF(AND(C12="Skema 1",B12="ma"),Skemaoplysninger!$E$30,"")</f>
        <v/>
      </c>
      <c r="BH12" s="209" t="str">
        <f>IF(AND(C12="Skema 1",B12="ti"),Skemaoplysninger!$G$30,"")</f>
        <v/>
      </c>
      <c r="BI12" s="209" t="str">
        <f>IF(AND(C12="Skema 1",B12="on"),Skemaoplysninger!$I$30,"")</f>
        <v/>
      </c>
      <c r="BJ12" s="209" t="str">
        <f>IF(AND(C12="Skema 1",B12="to"),Skemaoplysninger!$K$30,"")</f>
        <v/>
      </c>
      <c r="BK12" s="209">
        <f>IF(AND(C12="Skema 1",B12="fr"),Skemaoplysninger!$M$30,"")</f>
        <v>0</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1"/>
        <v>0</v>
      </c>
      <c r="CC12" s="1">
        <f t="shared" si="12"/>
        <v>0</v>
      </c>
      <c r="CD12" s="209" t="str">
        <f>IF(AND(C12="Skema 1",B12="ma"),Skemaoplysninger!$E$31,"")</f>
        <v/>
      </c>
      <c r="CE12" s="209" t="str">
        <f>IF(AND(C12="Skema 1",B12="ti"),Skemaoplysninger!$G$31,"")</f>
        <v/>
      </c>
      <c r="CF12" s="209" t="str">
        <f>IF(AND(C12="Skema 1",B12="on"),Skemaoplysninger!$I$31,"")</f>
        <v/>
      </c>
      <c r="CG12" s="209" t="str">
        <f>IF(AND(C12="Skema 1",B12="to"),Skemaoplysninger!$K$31,"")</f>
        <v/>
      </c>
      <c r="CH12" s="209">
        <f>IF(AND(C12="Skema 1",B12="fr"),Skemaoplysninger!$M$31,"")</f>
        <v>0</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3"/>
        <v/>
      </c>
      <c r="DL12" t="str">
        <f t="shared" si="13"/>
        <v/>
      </c>
      <c r="DM12" t="str">
        <f t="shared" si="13"/>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4"/>
        <v>0</v>
      </c>
      <c r="FT12" s="649">
        <f t="shared" si="15"/>
        <v>0</v>
      </c>
      <c r="FU12">
        <f t="shared" si="16"/>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7"/>
        <v>5</v>
      </c>
      <c r="B13" s="127" t="str">
        <f t="shared" si="0"/>
        <v>lø</v>
      </c>
      <c r="C13" s="128" t="s">
        <v>120</v>
      </c>
      <c r="D13" s="129" t="str">
        <f t="shared" si="1"/>
        <v/>
      </c>
      <c r="E13" s="932"/>
      <c r="F13" s="933"/>
      <c r="G13" s="934"/>
      <c r="H13" s="294"/>
      <c r="I13" s="407"/>
      <c r="J13" s="407"/>
      <c r="K13" s="374"/>
      <c r="L13" s="374"/>
      <c r="M13" s="374"/>
      <c r="N13" s="313">
        <f t="shared" si="18"/>
        <v>0</v>
      </c>
      <c r="O13" s="313">
        <f t="shared" si="19"/>
        <v>0</v>
      </c>
      <c r="P13" s="313">
        <f>IF(Stamoplysninger!$H$29="JA",April!DG13,CX13)</f>
        <v>0</v>
      </c>
      <c r="Q13" s="313">
        <f t="shared" si="20"/>
        <v>0</v>
      </c>
      <c r="R13" s="314"/>
      <c r="S13" s="319"/>
      <c r="T13" s="320"/>
      <c r="U13" s="320"/>
      <c r="V13" s="429"/>
      <c r="W13" s="429"/>
      <c r="X13" s="635"/>
      <c r="Y13">
        <f t="shared" si="21"/>
        <v>0</v>
      </c>
      <c r="Z13" s="431">
        <f t="shared" si="22"/>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7"/>
        <v>0</v>
      </c>
      <c r="BC13" s="1">
        <f t="shared" si="24"/>
        <v>0</v>
      </c>
      <c r="BD13" s="1">
        <f t="shared" si="8"/>
        <v>0</v>
      </c>
      <c r="BE13" s="1">
        <f t="shared" si="9"/>
        <v>0</v>
      </c>
      <c r="BF13" s="1">
        <f t="shared" si="10"/>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1"/>
        <v>0</v>
      </c>
      <c r="CC13" s="1">
        <f t="shared" si="12"/>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3"/>
        <v/>
      </c>
      <c r="DL13" t="str">
        <f t="shared" si="13"/>
        <v/>
      </c>
      <c r="DM13" t="str">
        <f t="shared" si="13"/>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4"/>
        <v>0</v>
      </c>
      <c r="FT13" s="649">
        <f t="shared" si="15"/>
        <v>0</v>
      </c>
      <c r="FU13">
        <f t="shared" si="16"/>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7"/>
        <v>6</v>
      </c>
      <c r="B14" s="127" t="str">
        <f t="shared" si="0"/>
        <v>sø</v>
      </c>
      <c r="C14" s="128" t="s">
        <v>120</v>
      </c>
      <c r="D14" s="129" t="str">
        <f t="shared" si="1"/>
        <v/>
      </c>
      <c r="E14" s="932"/>
      <c r="F14" s="933"/>
      <c r="G14" s="934"/>
      <c r="H14" s="294"/>
      <c r="I14" s="407"/>
      <c r="J14" s="407"/>
      <c r="K14" s="374"/>
      <c r="L14" s="374"/>
      <c r="M14" s="374"/>
      <c r="N14" s="313">
        <f t="shared" si="18"/>
        <v>0</v>
      </c>
      <c r="O14" s="313">
        <f t="shared" si="19"/>
        <v>0</v>
      </c>
      <c r="P14" s="313">
        <f>IF(Stamoplysninger!$H$29="JA",April!DG14,CX14)</f>
        <v>0</v>
      </c>
      <c r="Q14" s="313">
        <f t="shared" si="20"/>
        <v>0</v>
      </c>
      <c r="R14" s="314"/>
      <c r="S14" s="319"/>
      <c r="T14" s="320"/>
      <c r="U14" s="320"/>
      <c r="V14" s="429"/>
      <c r="W14" s="429"/>
      <c r="X14" s="635"/>
      <c r="Y14">
        <f t="shared" si="21"/>
        <v>0</v>
      </c>
      <c r="Z14" s="431">
        <f t="shared" si="22"/>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7"/>
        <v>0</v>
      </c>
      <c r="BC14" s="1">
        <f t="shared" si="24"/>
        <v>0</v>
      </c>
      <c r="BD14" s="1">
        <f t="shared" si="8"/>
        <v>0</v>
      </c>
      <c r="BE14" s="1">
        <f t="shared" si="9"/>
        <v>0</v>
      </c>
      <c r="BF14" s="1">
        <f t="shared" si="10"/>
        <v>0</v>
      </c>
      <c r="BG14" s="209" t="str">
        <f>IF(AND(C14="Skema 1",B14="ma"),Skemaoplysninger!$E$30,"")</f>
        <v/>
      </c>
      <c r="BH14" s="209" t="str">
        <f>IF(AND(C14="Skema 1",B14="ti"),Skemaoplysninger!$G$30,"")</f>
        <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1"/>
        <v>0</v>
      </c>
      <c r="CC14" s="1">
        <f t="shared" si="12"/>
        <v>0</v>
      </c>
      <c r="CD14" s="209" t="str">
        <f>IF(AND(C14="Skema 1",B14="ma"),Skemaoplysninger!$E$31,"")</f>
        <v/>
      </c>
      <c r="CE14" s="209" t="str">
        <f>IF(AND(C14="Skema 1",B14="ti"),Skemaoplysninger!$G$31,"")</f>
        <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3"/>
        <v/>
      </c>
      <c r="DL14" t="str">
        <f t="shared" si="13"/>
        <v/>
      </c>
      <c r="DM14" t="str">
        <f t="shared" si="13"/>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4"/>
        <v>0</v>
      </c>
      <c r="FT14" s="649">
        <f t="shared" si="15"/>
        <v>0</v>
      </c>
      <c r="FU14">
        <f t="shared" si="16"/>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7"/>
        <v>7</v>
      </c>
      <c r="B15" s="127" t="str">
        <f t="shared" si="0"/>
        <v>ma</v>
      </c>
      <c r="C15" s="128" t="s">
        <v>206</v>
      </c>
      <c r="D15" s="129">
        <f t="shared" si="1"/>
        <v>14.714285714285714</v>
      </c>
      <c r="E15" s="932"/>
      <c r="F15" s="933"/>
      <c r="G15" s="934"/>
      <c r="H15" s="294"/>
      <c r="I15" s="519"/>
      <c r="J15" s="407"/>
      <c r="K15" s="374"/>
      <c r="L15" s="374"/>
      <c r="M15" s="374"/>
      <c r="N15" s="313">
        <f t="shared" si="18"/>
        <v>0</v>
      </c>
      <c r="O15" s="313">
        <f t="shared" si="19"/>
        <v>0</v>
      </c>
      <c r="P15" s="313">
        <f>IF(Stamoplysninger!$H$29="JA",April!DG15,CX15)</f>
        <v>0</v>
      </c>
      <c r="Q15" s="313">
        <f t="shared" si="20"/>
        <v>0</v>
      </c>
      <c r="R15" s="314"/>
      <c r="S15" s="319"/>
      <c r="T15" s="320"/>
      <c r="U15" s="320"/>
      <c r="V15" s="429"/>
      <c r="W15" s="429"/>
      <c r="X15" s="635"/>
      <c r="Y15">
        <f t="shared" si="21"/>
        <v>0</v>
      </c>
      <c r="Z15" s="431">
        <f t="shared" si="22"/>
        <v>0</v>
      </c>
      <c r="AA15" s="1">
        <f t="shared" si="2"/>
        <v>0</v>
      </c>
      <c r="AB15" s="1">
        <f t="shared" si="3"/>
        <v>0</v>
      </c>
      <c r="AC15" s="1">
        <f t="shared" si="4"/>
        <v>0</v>
      </c>
      <c r="AD15" s="1">
        <f t="shared" si="5"/>
        <v>0</v>
      </c>
      <c r="AE15" s="1">
        <f t="shared" si="6"/>
        <v>0</v>
      </c>
      <c r="AF15" s="1">
        <f>IF(C15="Orlov",7.4*Stamoplysninger!$E$15,0)</f>
        <v>0</v>
      </c>
      <c r="AG15">
        <f>IF(AND(C15="Skema 1",B15="ma"),Arbejdstidsoversigt!$E$72,"")</f>
        <v>0</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7"/>
        <v>0</v>
      </c>
      <c r="BC15" s="1">
        <f t="shared" si="24"/>
        <v>0</v>
      </c>
      <c r="BD15" s="1">
        <f t="shared" si="8"/>
        <v>0</v>
      </c>
      <c r="BE15" s="1">
        <f t="shared" si="9"/>
        <v>0</v>
      </c>
      <c r="BF15" s="1">
        <f t="shared" si="10"/>
        <v>0</v>
      </c>
      <c r="BG15" s="209">
        <f>IF(AND(C15="Skema 1",B15="ma"),Skemaoplysninger!$E$30,"")</f>
        <v>0</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1"/>
        <v>0</v>
      </c>
      <c r="CC15" s="1">
        <f t="shared" si="12"/>
        <v>0</v>
      </c>
      <c r="CD15" s="209">
        <f>IF(AND(C15="Skema 1",B15="ma"),Skemaoplysninger!$E$31,"")</f>
        <v>0</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3"/>
        <v/>
      </c>
      <c r="DL15" t="str">
        <f t="shared" si="13"/>
        <v/>
      </c>
      <c r="DM15" t="str">
        <f t="shared" si="13"/>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4"/>
        <v>0</v>
      </c>
      <c r="FT15" s="649">
        <f t="shared" si="15"/>
        <v>0</v>
      </c>
      <c r="FU15">
        <f t="shared" si="16"/>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7"/>
        <v>8</v>
      </c>
      <c r="B16" s="127" t="str">
        <f t="shared" si="0"/>
        <v>ti</v>
      </c>
      <c r="C16" s="128" t="s">
        <v>206</v>
      </c>
      <c r="D16" s="129" t="str">
        <f t="shared" si="1"/>
        <v/>
      </c>
      <c r="E16" s="932"/>
      <c r="F16" s="933"/>
      <c r="G16" s="934"/>
      <c r="H16" s="294"/>
      <c r="I16" s="519"/>
      <c r="J16" s="407"/>
      <c r="K16" s="374"/>
      <c r="L16" s="374"/>
      <c r="M16" s="374"/>
      <c r="N16" s="313">
        <f t="shared" si="18"/>
        <v>0</v>
      </c>
      <c r="O16" s="313">
        <f t="shared" si="19"/>
        <v>0</v>
      </c>
      <c r="P16" s="313">
        <f>IF(Stamoplysninger!$H$29="JA",April!DG16,CX16)</f>
        <v>0</v>
      </c>
      <c r="Q16" s="313">
        <f t="shared" si="20"/>
        <v>0</v>
      </c>
      <c r="R16" s="314"/>
      <c r="S16" s="319"/>
      <c r="T16" s="320"/>
      <c r="U16" s="320"/>
      <c r="V16" s="429"/>
      <c r="W16" s="429"/>
      <c r="X16" s="635"/>
      <c r="Y16">
        <f t="shared" si="21"/>
        <v>0</v>
      </c>
      <c r="Z16" s="431">
        <f t="shared" si="22"/>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f>IF(AND(C16="Skema 1",B16="ti"),Arbejdstidsoversigt!$E$73,"")</f>
        <v>0</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7"/>
        <v>0</v>
      </c>
      <c r="BC16" s="1">
        <f t="shared" si="24"/>
        <v>0</v>
      </c>
      <c r="BD16" s="1">
        <f t="shared" si="8"/>
        <v>0</v>
      </c>
      <c r="BE16" s="1">
        <f t="shared" si="9"/>
        <v>0</v>
      </c>
      <c r="BF16" s="1">
        <f t="shared" si="10"/>
        <v>0</v>
      </c>
      <c r="BG16" s="209" t="str">
        <f>IF(AND(C16="Skema 1",B16="ma"),Skemaoplysninger!$E$30,"")</f>
        <v/>
      </c>
      <c r="BH16" s="209">
        <f>IF(AND(C16="Skema 1",B16="ti"),Skemaoplysninger!$G$30,"")</f>
        <v>0</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1"/>
        <v>0</v>
      </c>
      <c r="CC16" s="1">
        <f t="shared" si="12"/>
        <v>0</v>
      </c>
      <c r="CD16" s="209" t="str">
        <f>IF(AND(C16="Skema 1",B16="ma"),Skemaoplysninger!$E$31,"")</f>
        <v/>
      </c>
      <c r="CE16" s="209">
        <f>IF(AND(C16="Skema 1",B16="ti"),Skemaoplysninger!$G$31,"")</f>
        <v>0</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3"/>
        <v/>
      </c>
      <c r="DL16" t="str">
        <f t="shared" si="13"/>
        <v/>
      </c>
      <c r="DM16" t="str">
        <f t="shared" si="13"/>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4"/>
        <v>0</v>
      </c>
      <c r="FT16" s="649">
        <f t="shared" si="15"/>
        <v>0</v>
      </c>
      <c r="FU16">
        <f t="shared" si="16"/>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7"/>
        <v>9</v>
      </c>
      <c r="B17" s="127" t="str">
        <f t="shared" si="0"/>
        <v>on</v>
      </c>
      <c r="C17" s="128" t="s">
        <v>206</v>
      </c>
      <c r="D17" s="129" t="str">
        <f t="shared" si="1"/>
        <v/>
      </c>
      <c r="E17" s="932"/>
      <c r="F17" s="933"/>
      <c r="G17" s="934"/>
      <c r="H17" s="294"/>
      <c r="I17" s="519"/>
      <c r="J17" s="407"/>
      <c r="K17" s="374"/>
      <c r="L17" s="374"/>
      <c r="M17" s="374"/>
      <c r="N17" s="313">
        <f t="shared" si="18"/>
        <v>0</v>
      </c>
      <c r="O17" s="313">
        <f t="shared" si="19"/>
        <v>0</v>
      </c>
      <c r="P17" s="313">
        <f>IF(Stamoplysninger!$H$29="JA",April!DG17,CX17)</f>
        <v>0</v>
      </c>
      <c r="Q17" s="313">
        <f t="shared" si="20"/>
        <v>0</v>
      </c>
      <c r="R17" s="314"/>
      <c r="S17" s="319"/>
      <c r="T17" s="320"/>
      <c r="U17" s="320"/>
      <c r="V17" s="429"/>
      <c r="W17" s="429"/>
      <c r="X17" s="635"/>
      <c r="Y17">
        <f t="shared" si="21"/>
        <v>0</v>
      </c>
      <c r="Z17" s="431">
        <f t="shared" si="22"/>
        <v>0</v>
      </c>
      <c r="AA17" s="1">
        <f t="shared" si="2"/>
        <v>0</v>
      </c>
      <c r="AB17" s="1">
        <f t="shared" si="3"/>
        <v>0</v>
      </c>
      <c r="AC17" s="1">
        <f t="shared" si="4"/>
        <v>0</v>
      </c>
      <c r="AD17" s="1">
        <f t="shared" si="5"/>
        <v>0</v>
      </c>
      <c r="AE17" s="1">
        <f t="shared" si="6"/>
        <v>0</v>
      </c>
      <c r="AF17" s="1">
        <f>IF(C17="Orlov",7.4*Stamoplysninger!$E$15,0)</f>
        <v>0</v>
      </c>
      <c r="AG17" t="str">
        <f>IF(AND(C17="Skema 1",B17="ma"),Arbejdstidsoversigt!$E$72,"")</f>
        <v/>
      </c>
      <c r="AH17" t="str">
        <f>IF(AND(C17="Skema 1",B17="ti"),Arbejdstidsoversigt!$E$73,"")</f>
        <v/>
      </c>
      <c r="AI17">
        <f>IF(AND(C17="Skema 1",B17="on"),Arbejdstidsoversigt!$E$74,"")</f>
        <v>0</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7"/>
        <v>0</v>
      </c>
      <c r="BC17" s="1">
        <f t="shared" si="24"/>
        <v>0</v>
      </c>
      <c r="BD17" s="1">
        <f t="shared" si="8"/>
        <v>0</v>
      </c>
      <c r="BE17" s="1">
        <f t="shared" si="9"/>
        <v>0</v>
      </c>
      <c r="BF17" s="1">
        <f t="shared" si="10"/>
        <v>0</v>
      </c>
      <c r="BG17" s="209" t="str">
        <f>IF(AND(C17="Skema 1",B17="ma"),Skemaoplysninger!$E$30,"")</f>
        <v/>
      </c>
      <c r="BH17" s="209" t="str">
        <f>IF(AND(C17="Skema 1",B17="ti"),Skemaoplysninger!$G$30,"")</f>
        <v/>
      </c>
      <c r="BI17" s="209">
        <f>IF(AND(C17="Skema 1",B17="on"),Skemaoplysninger!$I$30,"")</f>
        <v>0</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1"/>
        <v>0</v>
      </c>
      <c r="CC17" s="1">
        <f t="shared" si="12"/>
        <v>0</v>
      </c>
      <c r="CD17" s="209" t="str">
        <f>IF(AND(C17="Skema 1",B17="ma"),Skemaoplysninger!$E$31,"")</f>
        <v/>
      </c>
      <c r="CE17" s="209" t="str">
        <f>IF(AND(C17="Skema 1",B17="ti"),Skemaoplysninger!$G$31,"")</f>
        <v/>
      </c>
      <c r="CF17" s="209">
        <f>IF(AND(C17="Skema 1",B17="on"),Skemaoplysninger!$I$31,"")</f>
        <v>0</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3"/>
        <v/>
      </c>
      <c r="DL17" t="str">
        <f t="shared" si="13"/>
        <v/>
      </c>
      <c r="DM17" t="str">
        <f t="shared" si="13"/>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4"/>
        <v>0</v>
      </c>
      <c r="FT17" s="649">
        <f t="shared" si="15"/>
        <v>0</v>
      </c>
      <c r="FU17">
        <f t="shared" si="16"/>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7"/>
        <v>10</v>
      </c>
      <c r="B18" s="127" t="str">
        <f t="shared" si="0"/>
        <v>to</v>
      </c>
      <c r="C18" s="128" t="s">
        <v>206</v>
      </c>
      <c r="D18" s="129" t="str">
        <f t="shared" si="1"/>
        <v/>
      </c>
      <c r="E18" s="932"/>
      <c r="F18" s="933"/>
      <c r="G18" s="934"/>
      <c r="H18" s="294"/>
      <c r="I18" s="519"/>
      <c r="J18" s="407"/>
      <c r="K18" s="374"/>
      <c r="L18" s="374"/>
      <c r="M18" s="374"/>
      <c r="N18" s="313">
        <f t="shared" si="18"/>
        <v>0</v>
      </c>
      <c r="O18" s="313">
        <f t="shared" si="19"/>
        <v>0</v>
      </c>
      <c r="P18" s="313">
        <f>IF(Stamoplysninger!$H$29="JA",April!DG18,CX18)</f>
        <v>0</v>
      </c>
      <c r="Q18" s="313">
        <f t="shared" si="20"/>
        <v>0</v>
      </c>
      <c r="R18" s="314"/>
      <c r="S18" s="319"/>
      <c r="T18" s="320"/>
      <c r="U18" s="320"/>
      <c r="V18" s="429"/>
      <c r="W18" s="429"/>
      <c r="X18" s="635"/>
      <c r="Y18">
        <f t="shared" si="21"/>
        <v>0</v>
      </c>
      <c r="Z18" s="431">
        <f t="shared" si="22"/>
        <v>0</v>
      </c>
      <c r="AA18" s="1">
        <f t="shared" si="2"/>
        <v>0</v>
      </c>
      <c r="AB18" s="1">
        <f t="shared" si="3"/>
        <v>0</v>
      </c>
      <c r="AC18" s="1">
        <f t="shared" si="4"/>
        <v>0</v>
      </c>
      <c r="AD18" s="1">
        <f t="shared" si="5"/>
        <v>0</v>
      </c>
      <c r="AE18" s="1">
        <f t="shared" si="6"/>
        <v>0</v>
      </c>
      <c r="AF18" s="1">
        <f>IF(C18="Orlov",7.4*Stamoplysninger!$E$15,0)</f>
        <v>0</v>
      </c>
      <c r="AG18" t="str">
        <f>IF(AND(C18="Skema 1",B18="ma"),Arbejdstidsoversigt!$E$72,"")</f>
        <v/>
      </c>
      <c r="AH18" t="str">
        <f>IF(AND(C18="Skema 1",B18="ti"),Arbejdstidsoversigt!$E$73,"")</f>
        <v/>
      </c>
      <c r="AI18" t="str">
        <f>IF(AND(C18="Skema 1",B18="on"),Arbejdstidsoversigt!$E$74,"")</f>
        <v/>
      </c>
      <c r="AJ18">
        <f>IF(AND(C18="Skema 1",B18="to"),Arbejdstidsoversigt!$E$75,"")</f>
        <v>0</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7"/>
        <v>0</v>
      </c>
      <c r="BC18" s="1">
        <f t="shared" si="24"/>
        <v>0</v>
      </c>
      <c r="BD18" s="1">
        <f t="shared" si="8"/>
        <v>0</v>
      </c>
      <c r="BE18" s="1">
        <f t="shared" si="9"/>
        <v>0</v>
      </c>
      <c r="BF18" s="1">
        <f t="shared" si="10"/>
        <v>0</v>
      </c>
      <c r="BG18" s="209" t="str">
        <f>IF(AND(C18="Skema 1",B18="ma"),Skemaoplysninger!$E$30,"")</f>
        <v/>
      </c>
      <c r="BH18" s="209" t="str">
        <f>IF(AND(C18="Skema 1",B18="ti"),Skemaoplysninger!$G$30,"")</f>
        <v/>
      </c>
      <c r="BI18" s="209" t="str">
        <f>IF(AND(C18="Skema 1",B18="on"),Skemaoplysninger!$I$30,"")</f>
        <v/>
      </c>
      <c r="BJ18" s="209">
        <f>IF(AND(C18="Skema 1",B18="to"),Skemaoplysninger!$K$30,"")</f>
        <v>0</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1"/>
        <v>0</v>
      </c>
      <c r="CC18" s="1">
        <f t="shared" si="12"/>
        <v>0</v>
      </c>
      <c r="CD18" s="209" t="str">
        <f>IF(AND(C18="Skema 1",B18="ma"),Skemaoplysninger!$E$31,"")</f>
        <v/>
      </c>
      <c r="CE18" s="209" t="str">
        <f>IF(AND(C18="Skema 1",B18="ti"),Skemaoplysninger!$G$31,"")</f>
        <v/>
      </c>
      <c r="CF18" s="209" t="str">
        <f>IF(AND(C18="Skema 1",B18="on"),Skemaoplysninger!$I$31,"")</f>
        <v/>
      </c>
      <c r="CG18" s="209">
        <f>IF(AND(C18="Skema 1",B18="to"),Skemaoplysninger!$K$31,"")</f>
        <v>0</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3"/>
        <v/>
      </c>
      <c r="DL18" t="str">
        <f t="shared" si="13"/>
        <v/>
      </c>
      <c r="DM18" t="str">
        <f t="shared" si="13"/>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4"/>
        <v>0</v>
      </c>
      <c r="FT18" s="649">
        <f t="shared" si="15"/>
        <v>0</v>
      </c>
      <c r="FU18">
        <f t="shared" si="16"/>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7"/>
        <v>11</v>
      </c>
      <c r="B19" s="127" t="str">
        <f t="shared" si="0"/>
        <v>fr</v>
      </c>
      <c r="C19" s="128" t="s">
        <v>206</v>
      </c>
      <c r="D19" s="129" t="str">
        <f t="shared" si="1"/>
        <v/>
      </c>
      <c r="E19" s="932"/>
      <c r="F19" s="933"/>
      <c r="G19" s="934"/>
      <c r="H19" s="294"/>
      <c r="I19" s="519"/>
      <c r="J19" s="407"/>
      <c r="K19" s="374"/>
      <c r="L19" s="374"/>
      <c r="M19" s="374"/>
      <c r="N19" s="313">
        <f t="shared" si="18"/>
        <v>0</v>
      </c>
      <c r="O19" s="313">
        <f t="shared" si="19"/>
        <v>0</v>
      </c>
      <c r="P19" s="313">
        <f>IF(Stamoplysninger!$H$29="JA",April!DG19,CX19)</f>
        <v>0</v>
      </c>
      <c r="Q19" s="313">
        <f t="shared" si="20"/>
        <v>0</v>
      </c>
      <c r="R19" s="314"/>
      <c r="S19" s="319"/>
      <c r="T19" s="320"/>
      <c r="U19" s="320"/>
      <c r="V19" s="429"/>
      <c r="W19" s="429"/>
      <c r="X19" s="635"/>
      <c r="Y19">
        <f t="shared" si="21"/>
        <v>0</v>
      </c>
      <c r="Z19" s="431">
        <f t="shared" si="22"/>
        <v>0</v>
      </c>
      <c r="AA19" s="1">
        <f t="shared" si="2"/>
        <v>0</v>
      </c>
      <c r="AB19" s="1">
        <f t="shared" si="3"/>
        <v>0</v>
      </c>
      <c r="AC19" s="1">
        <f t="shared" si="4"/>
        <v>0</v>
      </c>
      <c r="AD19" s="1">
        <f t="shared" si="5"/>
        <v>0</v>
      </c>
      <c r="AE19" s="1">
        <f t="shared" si="6"/>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f>IF(AND(C19="Skema 1",B19="fr"),Arbejdstidsoversigt!$E$76,"")</f>
        <v>0</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7"/>
        <v>0</v>
      </c>
      <c r="BC19" s="1">
        <f t="shared" si="24"/>
        <v>0</v>
      </c>
      <c r="BD19" s="1">
        <f t="shared" si="8"/>
        <v>0</v>
      </c>
      <c r="BE19" s="1">
        <f t="shared" si="9"/>
        <v>0</v>
      </c>
      <c r="BF19" s="1">
        <f t="shared" si="10"/>
        <v>0</v>
      </c>
      <c r="BG19" s="209" t="str">
        <f>IF(AND(C19="Skema 1",B19="ma"),Skemaoplysninger!$E$30,"")</f>
        <v/>
      </c>
      <c r="BH19" s="209" t="str">
        <f>IF(AND(C19="Skema 1",B19="ti"),Skemaoplysninger!$G$30,"")</f>
        <v/>
      </c>
      <c r="BI19" s="209" t="str">
        <f>IF(AND(C19="Skema 1",B19="on"),Skemaoplysninger!$I$30,"")</f>
        <v/>
      </c>
      <c r="BJ19" s="209" t="str">
        <f>IF(AND(C19="Skema 1",B19="to"),Skemaoplysninger!$K$30,"")</f>
        <v/>
      </c>
      <c r="BK19" s="209">
        <f>IF(AND(C19="Skema 1",B19="fr"),Skemaoplysninger!$M$30,"")</f>
        <v>0</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1"/>
        <v>0</v>
      </c>
      <c r="CC19" s="1">
        <f t="shared" si="12"/>
        <v>0</v>
      </c>
      <c r="CD19" s="209" t="str">
        <f>IF(AND(C19="Skema 1",B19="ma"),Skemaoplysninger!$E$31,"")</f>
        <v/>
      </c>
      <c r="CE19" s="209" t="str">
        <f>IF(AND(C19="Skema 1",B19="ti"),Skemaoplysninger!$G$31,"")</f>
        <v/>
      </c>
      <c r="CF19" s="209" t="str">
        <f>IF(AND(C19="Skema 1",B19="on"),Skemaoplysninger!$I$31,"")</f>
        <v/>
      </c>
      <c r="CG19" s="209" t="str">
        <f>IF(AND(C19="Skema 1",B19="to"),Skemaoplysninger!$K$31,"")</f>
        <v/>
      </c>
      <c r="CH19" s="209">
        <f>IF(AND(C19="Skema 1",B19="fr"),Skemaoplysninger!$M$31,"")</f>
        <v>0</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3"/>
        <v/>
      </c>
      <c r="DL19" t="str">
        <f t="shared" si="13"/>
        <v/>
      </c>
      <c r="DM19" t="str">
        <f t="shared" si="13"/>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4"/>
        <v>0</v>
      </c>
      <c r="FT19" s="649">
        <f t="shared" si="15"/>
        <v>0</v>
      </c>
      <c r="FU19">
        <f t="shared" si="16"/>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lø</v>
      </c>
      <c r="C20" s="128" t="s">
        <v>120</v>
      </c>
      <c r="D20" s="129" t="str">
        <f t="shared" si="1"/>
        <v/>
      </c>
      <c r="E20" s="932"/>
      <c r="F20" s="933"/>
      <c r="G20" s="934"/>
      <c r="H20" s="294"/>
      <c r="I20" s="407"/>
      <c r="J20" s="407"/>
      <c r="K20" s="374"/>
      <c r="L20" s="374"/>
      <c r="M20" s="374"/>
      <c r="N20" s="313">
        <f t="shared" si="18"/>
        <v>0</v>
      </c>
      <c r="O20" s="313">
        <f t="shared" si="19"/>
        <v>0</v>
      </c>
      <c r="P20" s="313">
        <f>IF(Stamoplysninger!$H$29="JA",April!DG20,CX20)</f>
        <v>0</v>
      </c>
      <c r="Q20" s="313">
        <f t="shared" si="20"/>
        <v>0</v>
      </c>
      <c r="R20" s="314"/>
      <c r="S20" s="319"/>
      <c r="T20" s="320"/>
      <c r="U20" s="320"/>
      <c r="V20" s="429"/>
      <c r="W20" s="429"/>
      <c r="X20" s="635"/>
      <c r="Y20">
        <f t="shared" si="21"/>
        <v>0</v>
      </c>
      <c r="Z20" s="431">
        <f t="shared" si="22"/>
        <v>0</v>
      </c>
      <c r="AA20" s="1">
        <f t="shared" si="2"/>
        <v>0</v>
      </c>
      <c r="AB20" s="1">
        <f t="shared" si="3"/>
        <v>0</v>
      </c>
      <c r="AC20" s="1">
        <f t="shared" si="4"/>
        <v>0</v>
      </c>
      <c r="AD20" s="1">
        <f t="shared" si="5"/>
        <v>0</v>
      </c>
      <c r="AE20" s="1">
        <f t="shared" si="6"/>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7"/>
        <v>0</v>
      </c>
      <c r="BC20" s="1">
        <f t="shared" si="24"/>
        <v>0</v>
      </c>
      <c r="BD20" s="1">
        <f t="shared" si="8"/>
        <v>0</v>
      </c>
      <c r="BE20" s="1">
        <f t="shared" si="9"/>
        <v>0</v>
      </c>
      <c r="BF20" s="1">
        <f t="shared" si="10"/>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1"/>
        <v>0</v>
      </c>
      <c r="CC20" s="1">
        <f t="shared" si="12"/>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3"/>
        <v/>
      </c>
      <c r="DL20" t="str">
        <f t="shared" si="13"/>
        <v/>
      </c>
      <c r="DM20" t="str">
        <f t="shared" si="13"/>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4"/>
        <v>0</v>
      </c>
      <c r="FT20" s="649">
        <f t="shared" si="15"/>
        <v>0</v>
      </c>
      <c r="FU20">
        <f t="shared" si="16"/>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sø</v>
      </c>
      <c r="C21" s="128" t="s">
        <v>120</v>
      </c>
      <c r="D21" s="129" t="str">
        <f t="shared" si="1"/>
        <v/>
      </c>
      <c r="E21" s="964"/>
      <c r="F21" s="965"/>
      <c r="G21" s="966"/>
      <c r="H21" s="293"/>
      <c r="I21" s="407"/>
      <c r="J21" s="407"/>
      <c r="K21" s="374"/>
      <c r="L21" s="374"/>
      <c r="M21" s="374"/>
      <c r="N21" s="313">
        <f t="shared" si="18"/>
        <v>0</v>
      </c>
      <c r="O21" s="313">
        <f t="shared" si="19"/>
        <v>0</v>
      </c>
      <c r="P21" s="313">
        <f>IF(Stamoplysninger!$H$29="JA",April!DG21,CX21)</f>
        <v>0</v>
      </c>
      <c r="Q21" s="313">
        <f t="shared" si="20"/>
        <v>0</v>
      </c>
      <c r="R21" s="314"/>
      <c r="S21" s="319"/>
      <c r="T21" s="320"/>
      <c r="U21" s="320"/>
      <c r="V21" s="429"/>
      <c r="W21" s="429"/>
      <c r="X21" s="635"/>
      <c r="Y21">
        <f t="shared" si="21"/>
        <v>0</v>
      </c>
      <c r="Z21" s="431">
        <f t="shared" si="22"/>
        <v>0</v>
      </c>
      <c r="AA21" s="1">
        <f t="shared" si="2"/>
        <v>0</v>
      </c>
      <c r="AB21" s="1">
        <f t="shared" si="3"/>
        <v>0</v>
      </c>
      <c r="AC21" s="1">
        <f t="shared" si="4"/>
        <v>0</v>
      </c>
      <c r="AD21" s="1">
        <f t="shared" si="5"/>
        <v>0</v>
      </c>
      <c r="AE21" s="1">
        <f t="shared" si="6"/>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7"/>
        <v>0</v>
      </c>
      <c r="BC21" s="1">
        <f t="shared" si="24"/>
        <v>0</v>
      </c>
      <c r="BD21" s="1">
        <f t="shared" si="8"/>
        <v>0</v>
      </c>
      <c r="BE21" s="1">
        <f t="shared" si="9"/>
        <v>0</v>
      </c>
      <c r="BF21" s="1">
        <f t="shared" si="10"/>
        <v>0</v>
      </c>
      <c r="BG21" s="209" t="str">
        <f>IF(AND(C21="Skema 1",B21="ma"),Skemaoplysninger!$E$30,"")</f>
        <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1"/>
        <v>0</v>
      </c>
      <c r="CC21" s="1">
        <f t="shared" si="12"/>
        <v>0</v>
      </c>
      <c r="CD21" s="209" t="str">
        <f>IF(AND(C21="Skema 1",B21="ma"),Skemaoplysninger!$E$31,"")</f>
        <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3"/>
        <v/>
      </c>
      <c r="DL21" t="str">
        <f t="shared" si="13"/>
        <v/>
      </c>
      <c r="DM21" t="str">
        <f t="shared" si="13"/>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4"/>
        <v>0</v>
      </c>
      <c r="FT21" s="649">
        <f t="shared" si="15"/>
        <v>0</v>
      </c>
      <c r="FU21">
        <f t="shared" si="16"/>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7"/>
        <v>14</v>
      </c>
      <c r="B22" s="127" t="str">
        <f t="shared" si="0"/>
        <v>ma</v>
      </c>
      <c r="C22" s="128" t="s">
        <v>128</v>
      </c>
      <c r="D22" s="129">
        <f t="shared" si="1"/>
        <v>15.714285714285714</v>
      </c>
      <c r="E22" s="964"/>
      <c r="F22" s="965"/>
      <c r="G22" s="966"/>
      <c r="H22" s="293"/>
      <c r="I22" s="519"/>
      <c r="J22" s="407"/>
      <c r="K22" s="374"/>
      <c r="L22" s="374"/>
      <c r="M22" s="374"/>
      <c r="N22" s="313">
        <f t="shared" si="18"/>
        <v>0</v>
      </c>
      <c r="O22" s="313">
        <f t="shared" si="19"/>
        <v>0</v>
      </c>
      <c r="P22" s="313">
        <f>IF(Stamoplysninger!$H$29="JA",April!DG22,CX22)</f>
        <v>0</v>
      </c>
      <c r="Q22" s="313">
        <f t="shared" si="20"/>
        <v>0</v>
      </c>
      <c r="R22" s="314"/>
      <c r="S22" s="319"/>
      <c r="T22" s="320"/>
      <c r="U22" s="320"/>
      <c r="V22" s="429"/>
      <c r="W22" s="429"/>
      <c r="X22" s="635"/>
      <c r="Y22">
        <f t="shared" si="21"/>
        <v>0</v>
      </c>
      <c r="Z22" s="431">
        <f t="shared" si="22"/>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7"/>
        <v>0</v>
      </c>
      <c r="BC22" s="1">
        <f t="shared" si="24"/>
        <v>0</v>
      </c>
      <c r="BD22" s="1">
        <f t="shared" si="8"/>
        <v>0</v>
      </c>
      <c r="BE22" s="1">
        <f t="shared" si="9"/>
        <v>0</v>
      </c>
      <c r="BF22" s="1">
        <f t="shared" si="10"/>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1"/>
        <v>0</v>
      </c>
      <c r="CC22" s="1">
        <f t="shared" si="12"/>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3"/>
        <v/>
      </c>
      <c r="DL22" t="str">
        <f t="shared" si="13"/>
        <v/>
      </c>
      <c r="DM22" t="str">
        <f t="shared" si="13"/>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4"/>
        <v>0</v>
      </c>
      <c r="FT22" s="649">
        <f t="shared" si="15"/>
        <v>0</v>
      </c>
      <c r="FU22">
        <f t="shared" si="16"/>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7"/>
        <v>15</v>
      </c>
      <c r="B23" s="127" t="str">
        <f t="shared" si="0"/>
        <v>ti</v>
      </c>
      <c r="C23" s="128" t="s">
        <v>128</v>
      </c>
      <c r="D23" s="129" t="str">
        <f t="shared" si="1"/>
        <v/>
      </c>
      <c r="E23" s="964"/>
      <c r="F23" s="965"/>
      <c r="G23" s="966"/>
      <c r="H23" s="293"/>
      <c r="I23" s="519"/>
      <c r="J23" s="407"/>
      <c r="K23" s="374"/>
      <c r="L23" s="374"/>
      <c r="M23" s="374"/>
      <c r="N23" s="313">
        <f t="shared" si="18"/>
        <v>0</v>
      </c>
      <c r="O23" s="313">
        <f t="shared" si="19"/>
        <v>0</v>
      </c>
      <c r="P23" s="313">
        <f>IF(Stamoplysninger!$H$29="JA",April!DG23,CX23)</f>
        <v>0</v>
      </c>
      <c r="Q23" s="313">
        <f t="shared" si="20"/>
        <v>0</v>
      </c>
      <c r="R23" s="314"/>
      <c r="S23" s="319"/>
      <c r="T23" s="320"/>
      <c r="U23" s="320"/>
      <c r="V23" s="429"/>
      <c r="W23" s="429"/>
      <c r="X23" s="635"/>
      <c r="Y23">
        <f t="shared" si="21"/>
        <v>0</v>
      </c>
      <c r="Z23" s="431">
        <f t="shared" si="22"/>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7"/>
        <v>0</v>
      </c>
      <c r="BC23" s="1">
        <f t="shared" si="24"/>
        <v>0</v>
      </c>
      <c r="BD23" s="1">
        <f t="shared" si="8"/>
        <v>0</v>
      </c>
      <c r="BE23" s="1">
        <f t="shared" si="9"/>
        <v>0</v>
      </c>
      <c r="BF23" s="1">
        <f t="shared" si="10"/>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1"/>
        <v>0</v>
      </c>
      <c r="CC23" s="1">
        <f t="shared" si="12"/>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3"/>
        <v/>
      </c>
      <c r="DL23" t="str">
        <f t="shared" si="13"/>
        <v/>
      </c>
      <c r="DM23" t="str">
        <f t="shared" si="13"/>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4"/>
        <v>0</v>
      </c>
      <c r="FT23" s="649">
        <f t="shared" si="15"/>
        <v>0</v>
      </c>
      <c r="FU23">
        <f t="shared" si="16"/>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on</v>
      </c>
      <c r="C24" s="128" t="s">
        <v>128</v>
      </c>
      <c r="D24" s="129" t="str">
        <f t="shared" si="1"/>
        <v/>
      </c>
      <c r="E24" s="932"/>
      <c r="F24" s="933"/>
      <c r="G24" s="934"/>
      <c r="H24" s="294"/>
      <c r="I24" s="519"/>
      <c r="J24" s="407"/>
      <c r="K24" s="374"/>
      <c r="L24" s="374"/>
      <c r="M24" s="374"/>
      <c r="N24" s="313">
        <f t="shared" si="18"/>
        <v>0</v>
      </c>
      <c r="O24" s="313">
        <f t="shared" si="19"/>
        <v>0</v>
      </c>
      <c r="P24" s="313">
        <f>IF(Stamoplysninger!$H$29="JA",April!DG24,CX24)</f>
        <v>0</v>
      </c>
      <c r="Q24" s="313">
        <f t="shared" si="20"/>
        <v>0</v>
      </c>
      <c r="R24" s="314"/>
      <c r="S24" s="319"/>
      <c r="T24" s="320"/>
      <c r="U24" s="320"/>
      <c r="V24" s="429"/>
      <c r="W24" s="429"/>
      <c r="X24" s="635"/>
      <c r="Y24">
        <f t="shared" si="21"/>
        <v>0</v>
      </c>
      <c r="Z24" s="431">
        <f t="shared" si="22"/>
        <v>0</v>
      </c>
      <c r="AA24" s="1">
        <f t="shared" si="2"/>
        <v>0</v>
      </c>
      <c r="AB24" s="1">
        <f t="shared" si="3"/>
        <v>0</v>
      </c>
      <c r="AC24" s="1">
        <f t="shared" si="4"/>
        <v>0</v>
      </c>
      <c r="AD24" s="1">
        <f t="shared" si="5"/>
        <v>0</v>
      </c>
      <c r="AE24" s="1">
        <f t="shared" si="6"/>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7"/>
        <v>0</v>
      </c>
      <c r="BC24" s="1">
        <f t="shared" si="24"/>
        <v>0</v>
      </c>
      <c r="BD24" s="1">
        <f t="shared" si="8"/>
        <v>0</v>
      </c>
      <c r="BE24" s="1">
        <f t="shared" si="9"/>
        <v>0</v>
      </c>
      <c r="BF24" s="1">
        <f t="shared" si="10"/>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1"/>
        <v>0</v>
      </c>
      <c r="CC24" s="1">
        <f t="shared" si="12"/>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3"/>
        <v/>
      </c>
      <c r="DL24" t="str">
        <f t="shared" si="13"/>
        <v/>
      </c>
      <c r="DM24" t="str">
        <f t="shared" si="13"/>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4"/>
        <v>0</v>
      </c>
      <c r="FT24" s="649">
        <f t="shared" si="15"/>
        <v>0</v>
      </c>
      <c r="FU24">
        <f t="shared" si="16"/>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7"/>
        <v>17</v>
      </c>
      <c r="B25" s="127" t="str">
        <f t="shared" si="0"/>
        <v>to</v>
      </c>
      <c r="C25" s="128" t="s">
        <v>119</v>
      </c>
      <c r="D25" s="129" t="str">
        <f t="shared" si="1"/>
        <v/>
      </c>
      <c r="E25" s="932" t="s">
        <v>105</v>
      </c>
      <c r="F25" s="933"/>
      <c r="G25" s="934"/>
      <c r="H25" s="294"/>
      <c r="I25" s="407"/>
      <c r="J25" s="407"/>
      <c r="K25" s="374"/>
      <c r="L25" s="374"/>
      <c r="M25" s="374"/>
      <c r="N25" s="313">
        <f t="shared" si="18"/>
        <v>0</v>
      </c>
      <c r="O25" s="313">
        <f t="shared" si="19"/>
        <v>0</v>
      </c>
      <c r="P25" s="313">
        <f>IF(Stamoplysninger!$H$29="JA",April!DG25,CX25)</f>
        <v>0</v>
      </c>
      <c r="Q25" s="313">
        <f t="shared" si="20"/>
        <v>0</v>
      </c>
      <c r="R25" s="314"/>
      <c r="S25" s="319"/>
      <c r="T25" s="320"/>
      <c r="U25" s="320"/>
      <c r="V25" s="429"/>
      <c r="W25" s="429"/>
      <c r="X25" s="635"/>
      <c r="Y25">
        <f t="shared" si="21"/>
        <v>0</v>
      </c>
      <c r="Z25" s="431">
        <f t="shared" si="22"/>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7"/>
        <v>0</v>
      </c>
      <c r="BC25" s="1">
        <f t="shared" si="24"/>
        <v>0</v>
      </c>
      <c r="BD25" s="1">
        <f t="shared" si="8"/>
        <v>0</v>
      </c>
      <c r="BE25" s="1">
        <f t="shared" si="9"/>
        <v>0</v>
      </c>
      <c r="BF25" s="1">
        <f t="shared" si="10"/>
        <v>0</v>
      </c>
      <c r="BG25" s="209" t="str">
        <f>IF(AND(C25="Skema 1",B25="ma"),Skemaoplysninger!$E$30,"")</f>
        <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1"/>
        <v>0</v>
      </c>
      <c r="CC25" s="1">
        <f t="shared" si="12"/>
        <v>0</v>
      </c>
      <c r="CD25" s="209" t="str">
        <f>IF(AND(C25="Skema 1",B25="ma"),Skemaoplysninger!$E$31,"")</f>
        <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t="str">
        <f t="shared" si="28"/>
        <v>Skærtorsdag</v>
      </c>
      <c r="DJ25" t="str">
        <f t="shared" si="29"/>
        <v/>
      </c>
      <c r="DK25" t="str">
        <f t="shared" si="13"/>
        <v/>
      </c>
      <c r="DL25" t="str">
        <f t="shared" si="13"/>
        <v>Skærtorsdag</v>
      </c>
      <c r="DM25" t="str">
        <f t="shared" si="13"/>
        <v/>
      </c>
      <c r="DN25" t="str">
        <f t="shared" si="30"/>
        <v>Skærtorsdag</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4"/>
        <v>0</v>
      </c>
      <c r="FT25" s="649">
        <f t="shared" si="15"/>
        <v>0</v>
      </c>
      <c r="FU25">
        <f t="shared" si="16"/>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7"/>
        <v>18</v>
      </c>
      <c r="B26" s="127" t="str">
        <f t="shared" si="0"/>
        <v>fr</v>
      </c>
      <c r="C26" s="128" t="s">
        <v>119</v>
      </c>
      <c r="D26" s="129" t="str">
        <f t="shared" si="1"/>
        <v/>
      </c>
      <c r="E26" s="932" t="s">
        <v>167</v>
      </c>
      <c r="F26" s="933"/>
      <c r="G26" s="934"/>
      <c r="H26" s="294"/>
      <c r="I26" s="407"/>
      <c r="J26" s="407"/>
      <c r="K26" s="374"/>
      <c r="L26" s="374"/>
      <c r="M26" s="374"/>
      <c r="N26" s="313">
        <f t="shared" si="18"/>
        <v>0</v>
      </c>
      <c r="O26" s="313">
        <f t="shared" si="19"/>
        <v>0</v>
      </c>
      <c r="P26" s="313">
        <f>IF(Stamoplysninger!$H$29="JA",April!DG26,CX26)</f>
        <v>0</v>
      </c>
      <c r="Q26" s="313">
        <f t="shared" si="20"/>
        <v>0</v>
      </c>
      <c r="R26" s="314"/>
      <c r="S26" s="319"/>
      <c r="T26" s="320"/>
      <c r="U26" s="320"/>
      <c r="V26" s="429"/>
      <c r="W26" s="429"/>
      <c r="X26" s="635"/>
      <c r="Y26">
        <f t="shared" si="21"/>
        <v>0</v>
      </c>
      <c r="Z26" s="431">
        <f t="shared" si="22"/>
        <v>0</v>
      </c>
      <c r="AA26" s="1">
        <f t="shared" si="2"/>
        <v>0</v>
      </c>
      <c r="AB26" s="1">
        <f t="shared" si="3"/>
        <v>0</v>
      </c>
      <c r="AC26" s="1">
        <f t="shared" si="4"/>
        <v>0</v>
      </c>
      <c r="AD26" s="1">
        <f t="shared" si="5"/>
        <v>0</v>
      </c>
      <c r="AE26" s="1">
        <f t="shared" si="6"/>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7"/>
        <v>0</v>
      </c>
      <c r="BC26" s="1">
        <f t="shared" si="24"/>
        <v>0</v>
      </c>
      <c r="BD26" s="1">
        <f t="shared" si="8"/>
        <v>0</v>
      </c>
      <c r="BE26" s="1">
        <f t="shared" si="9"/>
        <v>0</v>
      </c>
      <c r="BF26" s="1">
        <f t="shared" si="10"/>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1"/>
        <v>0</v>
      </c>
      <c r="CC26" s="1">
        <f t="shared" si="12"/>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t="str">
        <f t="shared" si="28"/>
        <v>Langfredag</v>
      </c>
      <c r="DJ26" t="str">
        <f t="shared" si="29"/>
        <v/>
      </c>
      <c r="DK26" t="str">
        <f t="shared" si="13"/>
        <v/>
      </c>
      <c r="DL26" t="str">
        <f t="shared" si="13"/>
        <v>Langfredag</v>
      </c>
      <c r="DM26" t="str">
        <f t="shared" si="13"/>
        <v/>
      </c>
      <c r="DN26" t="str">
        <f t="shared" si="30"/>
        <v>Langfredag</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4"/>
        <v>0</v>
      </c>
      <c r="FT26" s="649">
        <f t="shared" si="15"/>
        <v>0</v>
      </c>
      <c r="FU26">
        <f t="shared" si="16"/>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7"/>
        <v>19</v>
      </c>
      <c r="B27" s="127" t="str">
        <f t="shared" si="0"/>
        <v>lø</v>
      </c>
      <c r="C27" s="128" t="s">
        <v>120</v>
      </c>
      <c r="D27" s="129" t="str">
        <f t="shared" si="1"/>
        <v/>
      </c>
      <c r="E27" s="932"/>
      <c r="F27" s="933"/>
      <c r="G27" s="934"/>
      <c r="H27" s="294"/>
      <c r="I27" s="407"/>
      <c r="J27" s="407"/>
      <c r="K27" s="374"/>
      <c r="L27" s="374"/>
      <c r="M27" s="374"/>
      <c r="N27" s="313">
        <f t="shared" si="18"/>
        <v>0</v>
      </c>
      <c r="O27" s="313">
        <f t="shared" si="19"/>
        <v>0</v>
      </c>
      <c r="P27" s="313">
        <f>IF(Stamoplysninger!$H$29="JA",April!DG27,CX27)</f>
        <v>0</v>
      </c>
      <c r="Q27" s="313">
        <f t="shared" si="20"/>
        <v>0</v>
      </c>
      <c r="R27" s="314"/>
      <c r="S27" s="319"/>
      <c r="T27" s="320"/>
      <c r="U27" s="320"/>
      <c r="V27" s="429"/>
      <c r="W27" s="429"/>
      <c r="X27" s="635"/>
      <c r="Y27">
        <f t="shared" si="21"/>
        <v>0</v>
      </c>
      <c r="Z27" s="431">
        <f t="shared" si="22"/>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7"/>
        <v>0</v>
      </c>
      <c r="BC27" s="1">
        <f t="shared" si="24"/>
        <v>0</v>
      </c>
      <c r="BD27" s="1">
        <f t="shared" si="8"/>
        <v>0</v>
      </c>
      <c r="BE27" s="1">
        <f t="shared" si="9"/>
        <v>0</v>
      </c>
      <c r="BF27" s="1">
        <f t="shared" si="10"/>
        <v>0</v>
      </c>
      <c r="BG27" s="209" t="str">
        <f>IF(AND(C27="Skema 1",B27="ma"),Skemaoplysninger!$E$30,"")</f>
        <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1"/>
        <v>0</v>
      </c>
      <c r="CC27" s="1">
        <f t="shared" si="12"/>
        <v>0</v>
      </c>
      <c r="CD27" s="209" t="str">
        <f>IF(AND(C27="Skema 1",B27="ma"),Skemaoplysninger!$E$31,"")</f>
        <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3"/>
        <v/>
      </c>
      <c r="DL27" t="str">
        <f t="shared" si="13"/>
        <v/>
      </c>
      <c r="DM27" t="str">
        <f t="shared" si="13"/>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4"/>
        <v>0</v>
      </c>
      <c r="FT27" s="649">
        <f t="shared" si="15"/>
        <v>0</v>
      </c>
      <c r="FU27">
        <f t="shared" si="16"/>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7"/>
        <v>20</v>
      </c>
      <c r="B28" s="127" t="str">
        <f t="shared" si="0"/>
        <v>sø</v>
      </c>
      <c r="C28" s="128" t="s">
        <v>120</v>
      </c>
      <c r="D28" s="129" t="str">
        <f t="shared" si="1"/>
        <v/>
      </c>
      <c r="E28" s="932" t="s">
        <v>114</v>
      </c>
      <c r="F28" s="933"/>
      <c r="G28" s="934"/>
      <c r="H28" s="294"/>
      <c r="I28" s="407"/>
      <c r="J28" s="407"/>
      <c r="K28" s="374"/>
      <c r="L28" s="374"/>
      <c r="M28" s="374"/>
      <c r="N28" s="313">
        <f t="shared" si="18"/>
        <v>0</v>
      </c>
      <c r="O28" s="313">
        <f t="shared" si="19"/>
        <v>0</v>
      </c>
      <c r="P28" s="313">
        <f>IF(Stamoplysninger!$H$29="JA",April!DG28,CX28)</f>
        <v>0</v>
      </c>
      <c r="Q28" s="313">
        <f t="shared" si="20"/>
        <v>0</v>
      </c>
      <c r="R28" s="314"/>
      <c r="S28" s="319"/>
      <c r="T28" s="320"/>
      <c r="U28" s="320"/>
      <c r="V28" s="429"/>
      <c r="W28" s="429"/>
      <c r="X28" s="635"/>
      <c r="Y28">
        <f t="shared" si="21"/>
        <v>0</v>
      </c>
      <c r="Z28" s="431">
        <f t="shared" si="22"/>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7"/>
        <v>0</v>
      </c>
      <c r="BC28" s="1">
        <f t="shared" si="24"/>
        <v>0</v>
      </c>
      <c r="BD28" s="1">
        <f t="shared" si="8"/>
        <v>0</v>
      </c>
      <c r="BE28" s="1">
        <f t="shared" si="9"/>
        <v>0</v>
      </c>
      <c r="BF28" s="1">
        <f t="shared" si="10"/>
        <v>0</v>
      </c>
      <c r="BG28" s="209" t="str">
        <f>IF(AND(C28="Skema 1",B28="ma"),Skemaoplysninger!$E$30,"")</f>
        <v/>
      </c>
      <c r="BH28" s="209" t="str">
        <f>IF(AND(C28="Skema 1",B28="ti"),Skemaoplysninger!$G$30,"")</f>
        <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1"/>
        <v>0</v>
      </c>
      <c r="CC28" s="1">
        <f t="shared" si="12"/>
        <v>0</v>
      </c>
      <c r="CD28" s="209" t="str">
        <f>IF(AND(C28="Skema 1",B28="ma"),Skemaoplysninger!$E$31,"")</f>
        <v/>
      </c>
      <c r="CE28" s="209" t="str">
        <f>IF(AND(C28="Skema 1",B28="ti"),Skemaoplysninger!$G$31,"")</f>
        <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t="str">
        <f t="shared" si="28"/>
        <v>Påskedag</v>
      </c>
      <c r="DJ28" t="str">
        <f t="shared" si="29"/>
        <v/>
      </c>
      <c r="DK28" t="str">
        <f t="shared" si="13"/>
        <v/>
      </c>
      <c r="DL28" t="str">
        <f t="shared" si="13"/>
        <v>Påskedag</v>
      </c>
      <c r="DM28" t="str">
        <f t="shared" si="13"/>
        <v/>
      </c>
      <c r="DN28" t="str">
        <f t="shared" si="30"/>
        <v>Påskedag</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4"/>
        <v>0</v>
      </c>
      <c r="FT28" s="649">
        <f t="shared" si="15"/>
        <v>0</v>
      </c>
      <c r="FU28">
        <f t="shared" si="16"/>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7"/>
        <v>21</v>
      </c>
      <c r="B29" s="127" t="str">
        <f t="shared" si="0"/>
        <v>ma</v>
      </c>
      <c r="C29" s="128" t="s">
        <v>119</v>
      </c>
      <c r="D29" s="129">
        <f t="shared" si="1"/>
        <v>16.714285714285715</v>
      </c>
      <c r="E29" s="932" t="s">
        <v>312</v>
      </c>
      <c r="F29" s="933"/>
      <c r="G29" s="934"/>
      <c r="H29" s="294"/>
      <c r="I29" s="407"/>
      <c r="J29" s="407"/>
      <c r="K29" s="374"/>
      <c r="L29" s="374"/>
      <c r="M29" s="374"/>
      <c r="N29" s="313">
        <f t="shared" si="18"/>
        <v>0</v>
      </c>
      <c r="O29" s="313">
        <f t="shared" si="19"/>
        <v>0</v>
      </c>
      <c r="P29" s="313">
        <f>IF(Stamoplysninger!$H$29="JA",April!DG29,CX29)</f>
        <v>0</v>
      </c>
      <c r="Q29" s="313">
        <f t="shared" si="20"/>
        <v>0</v>
      </c>
      <c r="R29" s="314"/>
      <c r="S29" s="319"/>
      <c r="T29" s="320"/>
      <c r="U29" s="320"/>
      <c r="V29" s="429"/>
      <c r="W29" s="429"/>
      <c r="X29" s="635"/>
      <c r="Y29">
        <f t="shared" si="21"/>
        <v>0</v>
      </c>
      <c r="Z29" s="431">
        <f t="shared" si="22"/>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7"/>
        <v>0</v>
      </c>
      <c r="BC29" s="1">
        <f t="shared" si="24"/>
        <v>0</v>
      </c>
      <c r="BD29" s="1">
        <f t="shared" si="8"/>
        <v>0</v>
      </c>
      <c r="BE29" s="1">
        <f t="shared" si="9"/>
        <v>0</v>
      </c>
      <c r="BF29" s="1">
        <f t="shared" si="10"/>
        <v>0</v>
      </c>
      <c r="BG29" s="209" t="str">
        <f>IF(AND(C29="Skema 1",B29="ma"),Skemaoplysninger!$E$30,"")</f>
        <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1"/>
        <v>0</v>
      </c>
      <c r="CC29" s="1">
        <f t="shared" si="12"/>
        <v>0</v>
      </c>
      <c r="CD29" s="209" t="str">
        <f>IF(AND(C29="Skema 1",B29="ma"),Skemaoplysninger!$E$31,"")</f>
        <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t="str">
        <f t="shared" si="28"/>
        <v>2. påskedag</v>
      </c>
      <c r="DJ29" t="str">
        <f t="shared" si="29"/>
        <v/>
      </c>
      <c r="DK29" t="str">
        <f t="shared" si="13"/>
        <v/>
      </c>
      <c r="DL29" t="str">
        <f t="shared" si="13"/>
        <v>2. påskedag</v>
      </c>
      <c r="DM29" t="str">
        <f t="shared" si="13"/>
        <v/>
      </c>
      <c r="DN29" t="str">
        <f t="shared" si="30"/>
        <v>2. påskedag</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4"/>
        <v>0</v>
      </c>
      <c r="FT29" s="649">
        <f t="shared" si="15"/>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7"/>
        <v>22</v>
      </c>
      <c r="B30" s="127" t="str">
        <f t="shared" si="0"/>
        <v>ti</v>
      </c>
      <c r="C30" s="128" t="s">
        <v>206</v>
      </c>
      <c r="D30" s="129" t="str">
        <f t="shared" si="1"/>
        <v/>
      </c>
      <c r="E30" s="932"/>
      <c r="F30" s="933"/>
      <c r="G30" s="934"/>
      <c r="H30" s="294"/>
      <c r="I30" s="519"/>
      <c r="J30" s="407"/>
      <c r="K30" s="374"/>
      <c r="L30" s="374"/>
      <c r="M30" s="374"/>
      <c r="N30" s="313">
        <f t="shared" si="18"/>
        <v>0</v>
      </c>
      <c r="O30" s="313">
        <f t="shared" si="19"/>
        <v>0</v>
      </c>
      <c r="P30" s="313">
        <f>IF(Stamoplysninger!$H$29="JA",April!DG30,CX30)</f>
        <v>0</v>
      </c>
      <c r="Q30" s="313">
        <f t="shared" si="20"/>
        <v>0</v>
      </c>
      <c r="R30" s="314"/>
      <c r="S30" s="319"/>
      <c r="T30" s="320"/>
      <c r="U30" s="320"/>
      <c r="V30" s="429"/>
      <c r="W30" s="429"/>
      <c r="X30" s="635"/>
      <c r="Y30">
        <f t="shared" si="21"/>
        <v>0</v>
      </c>
      <c r="Z30" s="431">
        <f t="shared" si="22"/>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f>IF(AND(C30="Skema 1",B30="ti"),Arbejdstidsoversigt!$E$73,"")</f>
        <v>0</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7"/>
        <v>0</v>
      </c>
      <c r="BC30" s="1">
        <f t="shared" si="24"/>
        <v>0</v>
      </c>
      <c r="BD30" s="1">
        <f t="shared" si="8"/>
        <v>0</v>
      </c>
      <c r="BE30" s="1">
        <f t="shared" si="9"/>
        <v>0</v>
      </c>
      <c r="BF30" s="1">
        <f t="shared" si="10"/>
        <v>0</v>
      </c>
      <c r="BG30" s="209" t="str">
        <f>IF(AND(C30="Skema 1",B30="ma"),Skemaoplysninger!$E$30,"")</f>
        <v/>
      </c>
      <c r="BH30" s="209">
        <f>IF(AND(C30="Skema 1",B30="ti"),Skemaoplysninger!$G$30,"")</f>
        <v>0</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1"/>
        <v>0</v>
      </c>
      <c r="CC30" s="1">
        <f t="shared" si="12"/>
        <v>0</v>
      </c>
      <c r="CD30" s="209" t="str">
        <f>IF(AND(C30="Skema 1",B30="ma"),Skemaoplysninger!$E$31,"")</f>
        <v/>
      </c>
      <c r="CE30" s="209">
        <f>IF(AND(C30="Skema 1",B30="ti"),Skemaoplysninger!$G$31,"")</f>
        <v>0</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3"/>
        <v/>
      </c>
      <c r="DL30" t="str">
        <f t="shared" si="13"/>
        <v/>
      </c>
      <c r="DM30" t="str">
        <f t="shared" si="13"/>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4"/>
        <v>0</v>
      </c>
      <c r="FT30" s="649">
        <f t="shared" si="15"/>
        <v>0</v>
      </c>
      <c r="FU30">
        <f t="shared" ref="FU30:FU38"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7"/>
        <v>23</v>
      </c>
      <c r="B31" s="127" t="str">
        <f t="shared" si="0"/>
        <v>on</v>
      </c>
      <c r="C31" s="128" t="s">
        <v>206</v>
      </c>
      <c r="D31" s="129" t="str">
        <f t="shared" si="1"/>
        <v/>
      </c>
      <c r="E31" s="932"/>
      <c r="F31" s="933"/>
      <c r="G31" s="934"/>
      <c r="H31" s="294"/>
      <c r="I31" s="519"/>
      <c r="J31" s="407"/>
      <c r="K31" s="374"/>
      <c r="L31" s="374"/>
      <c r="M31" s="374"/>
      <c r="N31" s="313">
        <f t="shared" si="18"/>
        <v>0</v>
      </c>
      <c r="O31" s="313">
        <f t="shared" si="19"/>
        <v>0</v>
      </c>
      <c r="P31" s="313">
        <f>IF(Stamoplysninger!$H$29="JA",April!DG31,CX31)</f>
        <v>0</v>
      </c>
      <c r="Q31" s="313">
        <f t="shared" si="20"/>
        <v>0</v>
      </c>
      <c r="R31" s="314"/>
      <c r="S31" s="319"/>
      <c r="T31" s="320"/>
      <c r="U31" s="320"/>
      <c r="V31" s="429"/>
      <c r="W31" s="429"/>
      <c r="X31" s="635"/>
      <c r="Y31">
        <f t="shared" si="21"/>
        <v>0</v>
      </c>
      <c r="Z31" s="431">
        <f t="shared" si="22"/>
        <v>0</v>
      </c>
      <c r="AA31" s="1">
        <f t="shared" si="2"/>
        <v>0</v>
      </c>
      <c r="AB31" s="1">
        <f t="shared" si="3"/>
        <v>0</v>
      </c>
      <c r="AC31" s="1">
        <f t="shared" si="4"/>
        <v>0</v>
      </c>
      <c r="AD31" s="1">
        <f t="shared" si="5"/>
        <v>0</v>
      </c>
      <c r="AE31" s="1">
        <f t="shared" si="6"/>
        <v>0</v>
      </c>
      <c r="AF31" s="1">
        <f>IF(C31="Orlov",7.4*Stamoplysninger!$E$15,0)</f>
        <v>0</v>
      </c>
      <c r="AG31" t="str">
        <f>IF(AND(C31="Skema 1",B31="ma"),Arbejdstidsoversigt!$E$72,"")</f>
        <v/>
      </c>
      <c r="AH31" t="str">
        <f>IF(AND(C31="Skema 1",B31="ti"),Arbejdstidsoversigt!$E$73,"")</f>
        <v/>
      </c>
      <c r="AI31">
        <f>IF(AND(C31="Skema 1",B31="on"),Arbejdstidsoversigt!$E$74,"")</f>
        <v>0</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7"/>
        <v>0</v>
      </c>
      <c r="BC31" s="1">
        <f t="shared" si="24"/>
        <v>0</v>
      </c>
      <c r="BD31" s="1">
        <f t="shared" si="8"/>
        <v>0</v>
      </c>
      <c r="BE31" s="1">
        <f t="shared" si="9"/>
        <v>0</v>
      </c>
      <c r="BF31" s="1">
        <f t="shared" si="10"/>
        <v>0</v>
      </c>
      <c r="BG31" s="209" t="str">
        <f>IF(AND(C31="Skema 1",B31="ma"),Skemaoplysninger!$E$30,"")</f>
        <v/>
      </c>
      <c r="BH31" s="209" t="str">
        <f>IF(AND(C31="Skema 1",B31="ti"),Skemaoplysninger!$G$30,"")</f>
        <v/>
      </c>
      <c r="BI31" s="209">
        <f>IF(AND(C31="Skema 1",B31="on"),Skemaoplysninger!$I$30,"")</f>
        <v>0</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1"/>
        <v>0</v>
      </c>
      <c r="CC31" s="1">
        <f t="shared" si="12"/>
        <v>0</v>
      </c>
      <c r="CD31" s="209" t="str">
        <f>IF(AND(C31="Skema 1",B31="ma"),Skemaoplysninger!$E$31,"")</f>
        <v/>
      </c>
      <c r="CE31" s="209" t="str">
        <f>IF(AND(C31="Skema 1",B31="ti"),Skemaoplysninger!$G$31,"")</f>
        <v/>
      </c>
      <c r="CF31" s="209">
        <f>IF(AND(C31="Skema 1",B31="on"),Skemaoplysninger!$I$31,"")</f>
        <v>0</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3"/>
        <v/>
      </c>
      <c r="DL31" t="str">
        <f t="shared" si="13"/>
        <v/>
      </c>
      <c r="DM31" t="str">
        <f t="shared" si="13"/>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4"/>
        <v>0</v>
      </c>
      <c r="FT31" s="649">
        <f t="shared" si="15"/>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7"/>
        <v>24</v>
      </c>
      <c r="B32" s="127" t="str">
        <f t="shared" si="0"/>
        <v>to</v>
      </c>
      <c r="C32" s="128" t="s">
        <v>206</v>
      </c>
      <c r="D32" s="129" t="str">
        <f t="shared" si="1"/>
        <v/>
      </c>
      <c r="E32" s="964"/>
      <c r="F32" s="965"/>
      <c r="G32" s="966"/>
      <c r="H32" s="294"/>
      <c r="I32" s="519"/>
      <c r="J32" s="407"/>
      <c r="K32" s="374"/>
      <c r="L32" s="374"/>
      <c r="M32" s="374"/>
      <c r="N32" s="313">
        <f t="shared" si="18"/>
        <v>0</v>
      </c>
      <c r="O32" s="313">
        <f t="shared" si="19"/>
        <v>0</v>
      </c>
      <c r="P32" s="313">
        <f>IF(Stamoplysninger!$H$29="JA",April!DG32,CX32)</f>
        <v>0</v>
      </c>
      <c r="Q32" s="313">
        <f t="shared" si="20"/>
        <v>0</v>
      </c>
      <c r="R32" s="314"/>
      <c r="S32" s="319"/>
      <c r="T32" s="320"/>
      <c r="U32" s="320"/>
      <c r="V32" s="429"/>
      <c r="W32" s="429"/>
      <c r="X32" s="635"/>
      <c r="Y32">
        <f t="shared" si="21"/>
        <v>0</v>
      </c>
      <c r="Z32" s="431">
        <f t="shared" si="22"/>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t="str">
        <f>IF(AND(C32="Skema 1",B32="ti"),Arbejdstidsoversigt!$E$73,"")</f>
        <v/>
      </c>
      <c r="AI32" t="str">
        <f>IF(AND(C32="Skema 1",B32="on"),Arbejdstidsoversigt!$E$74,"")</f>
        <v/>
      </c>
      <c r="AJ32">
        <f>IF(AND(C32="Skema 1",B32="to"),Arbejdstidsoversigt!$E$75,"")</f>
        <v>0</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7"/>
        <v>0</v>
      </c>
      <c r="BC32" s="1">
        <f t="shared" si="24"/>
        <v>0</v>
      </c>
      <c r="BD32" s="1">
        <f t="shared" si="8"/>
        <v>0</v>
      </c>
      <c r="BE32" s="1">
        <f t="shared" si="9"/>
        <v>0</v>
      </c>
      <c r="BF32" s="1">
        <f t="shared" si="10"/>
        <v>0</v>
      </c>
      <c r="BG32" s="209" t="str">
        <f>IF(AND(C32="Skema 1",B32="ma"),Skemaoplysninger!$E$30,"")</f>
        <v/>
      </c>
      <c r="BH32" s="209" t="str">
        <f>IF(AND(C32="Skema 1",B32="ti"),Skemaoplysninger!$G$30,"")</f>
        <v/>
      </c>
      <c r="BI32" s="209" t="str">
        <f>IF(AND(C32="Skema 1",B32="on"),Skemaoplysninger!$I$30,"")</f>
        <v/>
      </c>
      <c r="BJ32" s="209">
        <f>IF(AND(C32="Skema 1",B32="to"),Skemaoplysninger!$K$30,"")</f>
        <v>0</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1"/>
        <v>0</v>
      </c>
      <c r="CC32" s="1">
        <f t="shared" si="12"/>
        <v>0</v>
      </c>
      <c r="CD32" s="209" t="str">
        <f>IF(AND(C32="Skema 1",B32="ma"),Skemaoplysninger!$E$31,"")</f>
        <v/>
      </c>
      <c r="CE32" s="209" t="str">
        <f>IF(AND(C32="Skema 1",B32="ti"),Skemaoplysninger!$G$31,"")</f>
        <v/>
      </c>
      <c r="CF32" s="209" t="str">
        <f>IF(AND(C32="Skema 1",B32="on"),Skemaoplysninger!$I$31,"")</f>
        <v/>
      </c>
      <c r="CG32" s="209">
        <f>IF(AND(C32="Skema 1",B32="to"),Skemaoplysninger!$K$31,"")</f>
        <v>0</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3"/>
        <v/>
      </c>
      <c r="DL32" t="str">
        <f t="shared" si="13"/>
        <v/>
      </c>
      <c r="DM32" t="str">
        <f t="shared" si="13"/>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4"/>
        <v>0</v>
      </c>
      <c r="FT32" s="649">
        <f t="shared" si="15"/>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7"/>
        <v>25</v>
      </c>
      <c r="B33" s="127" t="str">
        <f t="shared" si="0"/>
        <v>fr</v>
      </c>
      <c r="C33" s="128" t="s">
        <v>206</v>
      </c>
      <c r="D33" s="129" t="str">
        <f t="shared" si="1"/>
        <v/>
      </c>
      <c r="E33" s="932"/>
      <c r="F33" s="933"/>
      <c r="G33" s="934"/>
      <c r="H33" s="294"/>
      <c r="I33" s="519"/>
      <c r="J33" s="407"/>
      <c r="K33" s="374"/>
      <c r="L33" s="374"/>
      <c r="M33" s="374"/>
      <c r="N33" s="313">
        <f t="shared" si="18"/>
        <v>0</v>
      </c>
      <c r="O33" s="313">
        <f t="shared" si="19"/>
        <v>0</v>
      </c>
      <c r="P33" s="313">
        <f>IF(Stamoplysninger!$H$29="JA",April!DG33,CX33)</f>
        <v>0</v>
      </c>
      <c r="Q33" s="313">
        <f t="shared" si="20"/>
        <v>0</v>
      </c>
      <c r="R33" s="314"/>
      <c r="S33" s="319"/>
      <c r="T33" s="320"/>
      <c r="U33" s="320"/>
      <c r="V33" s="429"/>
      <c r="W33" s="429"/>
      <c r="X33" s="635"/>
      <c r="Y33">
        <f t="shared" si="21"/>
        <v>0</v>
      </c>
      <c r="Z33" s="431">
        <f t="shared" si="22"/>
        <v>0</v>
      </c>
      <c r="AA33" s="1">
        <f t="shared" si="2"/>
        <v>0</v>
      </c>
      <c r="AB33" s="1">
        <f t="shared" si="3"/>
        <v>0</v>
      </c>
      <c r="AC33" s="1">
        <f t="shared" si="4"/>
        <v>0</v>
      </c>
      <c r="AD33" s="1">
        <f t="shared" si="5"/>
        <v>0</v>
      </c>
      <c r="AE33" s="1">
        <f t="shared" si="6"/>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f>IF(AND(C33="Skema 1",B33="fr"),Arbejdstidsoversigt!$E$76,"")</f>
        <v>0</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7"/>
        <v>0</v>
      </c>
      <c r="BC33" s="1">
        <f t="shared" si="24"/>
        <v>0</v>
      </c>
      <c r="BD33" s="1">
        <f t="shared" si="8"/>
        <v>0</v>
      </c>
      <c r="BE33" s="1">
        <f t="shared" si="9"/>
        <v>0</v>
      </c>
      <c r="BF33" s="1">
        <f t="shared" si="10"/>
        <v>0</v>
      </c>
      <c r="BG33" s="209" t="str">
        <f>IF(AND(C33="Skema 1",B33="ma"),Skemaoplysninger!$E$30,"")</f>
        <v/>
      </c>
      <c r="BH33" s="209" t="str">
        <f>IF(AND(C33="Skema 1",B33="ti"),Skemaoplysninger!$G$30,"")</f>
        <v/>
      </c>
      <c r="BI33" s="209" t="str">
        <f>IF(AND(C33="Skema 1",B33="on"),Skemaoplysninger!$I$30,"")</f>
        <v/>
      </c>
      <c r="BJ33" s="209" t="str">
        <f>IF(AND(C33="Skema 1",B33="to"),Skemaoplysninger!$K$30,"")</f>
        <v/>
      </c>
      <c r="BK33" s="209">
        <f>IF(AND(C33="Skema 1",B33="fr"),Skemaoplysninger!$M$30,"")</f>
        <v>0</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1"/>
        <v>0</v>
      </c>
      <c r="CC33" s="1">
        <f t="shared" si="12"/>
        <v>0</v>
      </c>
      <c r="CD33" s="209" t="str">
        <f>IF(AND(C33="Skema 1",B33="ma"),Skemaoplysninger!$E$31,"")</f>
        <v/>
      </c>
      <c r="CE33" s="209" t="str">
        <f>IF(AND(C33="Skema 1",B33="ti"),Skemaoplysninger!$G$31,"")</f>
        <v/>
      </c>
      <c r="CF33" s="209" t="str">
        <f>IF(AND(C33="Skema 1",B33="on"),Skemaoplysninger!$I$31,"")</f>
        <v/>
      </c>
      <c r="CG33" s="209" t="str">
        <f>IF(AND(C33="Skema 1",B33="to"),Skemaoplysninger!$K$31,"")</f>
        <v/>
      </c>
      <c r="CH33" s="209">
        <f>IF(AND(C33="Skema 1",B33="fr"),Skemaoplysninger!$M$31,"")</f>
        <v>0</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3"/>
        <v/>
      </c>
      <c r="DL33" t="str">
        <f t="shared" si="13"/>
        <v/>
      </c>
      <c r="DM33" t="str">
        <f t="shared" si="13"/>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4"/>
        <v>0</v>
      </c>
      <c r="FT33" s="649">
        <f t="shared" si="15"/>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7"/>
        <v>26</v>
      </c>
      <c r="B34" s="127" t="str">
        <f t="shared" si="0"/>
        <v>lø</v>
      </c>
      <c r="C34" s="128" t="s">
        <v>120</v>
      </c>
      <c r="D34" s="129" t="str">
        <f t="shared" si="1"/>
        <v/>
      </c>
      <c r="E34" s="932"/>
      <c r="F34" s="933"/>
      <c r="G34" s="934"/>
      <c r="H34" s="294"/>
      <c r="I34" s="407"/>
      <c r="J34" s="407"/>
      <c r="K34" s="374"/>
      <c r="L34" s="374"/>
      <c r="M34" s="374"/>
      <c r="N34" s="313">
        <f t="shared" si="18"/>
        <v>0</v>
      </c>
      <c r="O34" s="313">
        <f t="shared" si="19"/>
        <v>0</v>
      </c>
      <c r="P34" s="313">
        <f>IF(Stamoplysninger!$H$29="JA",April!DG34,CX34)</f>
        <v>0</v>
      </c>
      <c r="Q34" s="313">
        <f t="shared" si="20"/>
        <v>0</v>
      </c>
      <c r="R34" s="314"/>
      <c r="S34" s="319"/>
      <c r="T34" s="320"/>
      <c r="U34" s="320"/>
      <c r="V34" s="429"/>
      <c r="W34" s="429"/>
      <c r="X34" s="635"/>
      <c r="Y34">
        <f t="shared" si="21"/>
        <v>0</v>
      </c>
      <c r="Z34" s="431">
        <f t="shared" si="22"/>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7"/>
        <v>0</v>
      </c>
      <c r="BC34" s="1">
        <f t="shared" si="24"/>
        <v>0</v>
      </c>
      <c r="BD34" s="1">
        <f t="shared" si="8"/>
        <v>0</v>
      </c>
      <c r="BE34" s="1">
        <f t="shared" si="9"/>
        <v>0</v>
      </c>
      <c r="BF34" s="1">
        <f t="shared" si="10"/>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1"/>
        <v>0</v>
      </c>
      <c r="CC34" s="1">
        <f t="shared" si="12"/>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3"/>
        <v/>
      </c>
      <c r="DL34" t="str">
        <f t="shared" si="13"/>
        <v/>
      </c>
      <c r="DM34" t="str">
        <f t="shared" si="13"/>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4"/>
        <v>0</v>
      </c>
      <c r="FT34" s="649">
        <f t="shared" si="15"/>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7"/>
        <v>27</v>
      </c>
      <c r="B35" s="127" t="str">
        <f t="shared" si="0"/>
        <v>sø</v>
      </c>
      <c r="C35" s="128" t="s">
        <v>120</v>
      </c>
      <c r="D35" s="129" t="str">
        <f t="shared" si="1"/>
        <v/>
      </c>
      <c r="E35" s="932"/>
      <c r="F35" s="933"/>
      <c r="G35" s="934"/>
      <c r="H35" s="294"/>
      <c r="I35" s="407"/>
      <c r="J35" s="407"/>
      <c r="K35" s="374"/>
      <c r="L35" s="374"/>
      <c r="M35" s="374"/>
      <c r="N35" s="313">
        <f t="shared" si="18"/>
        <v>0</v>
      </c>
      <c r="O35" s="313">
        <f t="shared" si="19"/>
        <v>0</v>
      </c>
      <c r="P35" s="313">
        <f>IF(Stamoplysninger!$H$29="JA",April!DG35,CX35)</f>
        <v>0</v>
      </c>
      <c r="Q35" s="313">
        <f t="shared" si="20"/>
        <v>0</v>
      </c>
      <c r="R35" s="314"/>
      <c r="S35" s="319"/>
      <c r="T35" s="320"/>
      <c r="U35" s="320"/>
      <c r="V35" s="429"/>
      <c r="W35" s="429"/>
      <c r="X35" s="635"/>
      <c r="Y35">
        <f t="shared" si="21"/>
        <v>0</v>
      </c>
      <c r="Z35" s="431">
        <f t="shared" si="22"/>
        <v>0</v>
      </c>
      <c r="AA35" s="1">
        <f t="shared" si="2"/>
        <v>0</v>
      </c>
      <c r="AB35" s="1">
        <f t="shared" si="3"/>
        <v>0</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7"/>
        <v>0</v>
      </c>
      <c r="BC35" s="1">
        <f t="shared" si="24"/>
        <v>0</v>
      </c>
      <c r="BD35" s="1">
        <f t="shared" si="8"/>
        <v>0</v>
      </c>
      <c r="BE35" s="1">
        <f t="shared" si="9"/>
        <v>0</v>
      </c>
      <c r="BF35" s="1">
        <f t="shared" si="10"/>
        <v>0</v>
      </c>
      <c r="BG35" s="209" t="str">
        <f>IF(AND(C35="Skema 1",B35="ma"),Skemaoplysninger!$E$30,"")</f>
        <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1"/>
        <v>0</v>
      </c>
      <c r="CC35" s="1">
        <f t="shared" si="12"/>
        <v>0</v>
      </c>
      <c r="CD35" s="209" t="str">
        <f>IF(AND(C35="Skema 1",B35="ma"),Skemaoplysninger!$E$31,"")</f>
        <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3"/>
        <v/>
      </c>
      <c r="DL35" t="str">
        <f t="shared" si="13"/>
        <v/>
      </c>
      <c r="DM35" t="str">
        <f t="shared" si="13"/>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4"/>
        <v>0</v>
      </c>
      <c r="FT35" s="649">
        <f t="shared" si="15"/>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7"/>
        <v>28</v>
      </c>
      <c r="B36" s="127" t="str">
        <f t="shared" si="0"/>
        <v>ma</v>
      </c>
      <c r="C36" s="128" t="s">
        <v>206</v>
      </c>
      <c r="D36" s="129">
        <f t="shared" si="1"/>
        <v>17.714285714285715</v>
      </c>
      <c r="E36" s="932"/>
      <c r="F36" s="933"/>
      <c r="G36" s="934"/>
      <c r="H36" s="294"/>
      <c r="I36" s="519"/>
      <c r="J36" s="407"/>
      <c r="K36" s="374"/>
      <c r="L36" s="374"/>
      <c r="M36" s="374"/>
      <c r="N36" s="313">
        <f t="shared" si="18"/>
        <v>0</v>
      </c>
      <c r="O36" s="313">
        <f t="shared" si="19"/>
        <v>0</v>
      </c>
      <c r="P36" s="313">
        <f>IF(Stamoplysninger!$H$29="JA",April!DG36,CX36)</f>
        <v>0</v>
      </c>
      <c r="Q36" s="313">
        <f t="shared" si="20"/>
        <v>0</v>
      </c>
      <c r="R36" s="314"/>
      <c r="S36" s="319"/>
      <c r="T36" s="320"/>
      <c r="U36" s="320"/>
      <c r="V36" s="429"/>
      <c r="W36" s="429"/>
      <c r="X36" s="635"/>
      <c r="Y36">
        <f t="shared" si="21"/>
        <v>0</v>
      </c>
      <c r="Z36" s="431">
        <f t="shared" si="22"/>
        <v>0</v>
      </c>
      <c r="AA36" s="1">
        <f t="shared" si="2"/>
        <v>0</v>
      </c>
      <c r="AB36" s="1">
        <f t="shared" si="3"/>
        <v>0</v>
      </c>
      <c r="AC36" s="1">
        <f t="shared" si="4"/>
        <v>0</v>
      </c>
      <c r="AD36" s="1">
        <f t="shared" si="5"/>
        <v>0</v>
      </c>
      <c r="AE36" s="1">
        <f t="shared" si="6"/>
        <v>0</v>
      </c>
      <c r="AF36" s="1">
        <f>IF(C36="Orlov",7.4*Stamoplysninger!$E$15,0)</f>
        <v>0</v>
      </c>
      <c r="AG36">
        <f>IF(AND(C36="Skema 1",B36="ma"),Arbejdstidsoversigt!$E$72,"")</f>
        <v>0</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7"/>
        <v>0</v>
      </c>
      <c r="BC36" s="1">
        <f t="shared" si="24"/>
        <v>0</v>
      </c>
      <c r="BD36" s="1">
        <f t="shared" si="8"/>
        <v>0</v>
      </c>
      <c r="BE36" s="1">
        <f t="shared" si="9"/>
        <v>0</v>
      </c>
      <c r="BF36" s="1">
        <f t="shared" si="10"/>
        <v>0</v>
      </c>
      <c r="BG36" s="209">
        <f>IF(AND(C36="Skema 1",B36="ma"),Skemaoplysninger!$E$30,"")</f>
        <v>0</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1"/>
        <v>0</v>
      </c>
      <c r="CC36" s="1">
        <f t="shared" si="12"/>
        <v>0</v>
      </c>
      <c r="CD36" s="209">
        <f>IF(AND(C36="Skema 1",B36="ma"),Skemaoplysninger!$E$31,"")</f>
        <v>0</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3"/>
        <v/>
      </c>
      <c r="DL36" t="str">
        <f t="shared" si="13"/>
        <v/>
      </c>
      <c r="DM36" t="str">
        <f t="shared" si="13"/>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4"/>
        <v>0</v>
      </c>
      <c r="FT36" s="649">
        <f t="shared" si="15"/>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ti</v>
      </c>
      <c r="C37" s="128" t="s">
        <v>206</v>
      </c>
      <c r="D37" s="129" t="str">
        <f t="shared" si="1"/>
        <v/>
      </c>
      <c r="E37" s="932"/>
      <c r="F37" s="933"/>
      <c r="G37" s="934"/>
      <c r="H37" s="294"/>
      <c r="I37" s="519"/>
      <c r="J37" s="407"/>
      <c r="K37" s="374"/>
      <c r="L37" s="374"/>
      <c r="M37" s="374"/>
      <c r="N37" s="313">
        <f t="shared" si="18"/>
        <v>0</v>
      </c>
      <c r="O37" s="313">
        <f t="shared" si="19"/>
        <v>0</v>
      </c>
      <c r="P37" s="313">
        <f>IF(Stamoplysninger!$H$29="JA",April!DG37,CX37)</f>
        <v>0</v>
      </c>
      <c r="Q37" s="313">
        <f t="shared" si="20"/>
        <v>0</v>
      </c>
      <c r="R37" s="314"/>
      <c r="S37" s="319"/>
      <c r="T37" s="320"/>
      <c r="U37" s="320"/>
      <c r="V37" s="429"/>
      <c r="W37" s="429"/>
      <c r="X37" s="635"/>
      <c r="Y37">
        <f t="shared" si="21"/>
        <v>0</v>
      </c>
      <c r="Z37" s="431">
        <f t="shared" si="22"/>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f>IF(AND(C37="Skema 1",B37="ti"),Arbejdstidsoversigt!$E$73,"")</f>
        <v>0</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7"/>
        <v>0</v>
      </c>
      <c r="BC37" s="1">
        <f t="shared" si="24"/>
        <v>0</v>
      </c>
      <c r="BD37" s="1">
        <f t="shared" si="8"/>
        <v>0</v>
      </c>
      <c r="BE37" s="1">
        <f t="shared" si="9"/>
        <v>0</v>
      </c>
      <c r="BF37" s="1">
        <f t="shared" si="10"/>
        <v>0</v>
      </c>
      <c r="BG37" s="209" t="str">
        <f>IF(AND(C37="Skema 1",B37="ma"),Skemaoplysninger!$E$30,"")</f>
        <v/>
      </c>
      <c r="BH37" s="209">
        <f>IF(AND(C37="Skema 1",B37="ti"),Skemaoplysninger!$G$30,"")</f>
        <v>0</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1"/>
        <v>0</v>
      </c>
      <c r="CC37" s="1">
        <f t="shared" si="12"/>
        <v>0</v>
      </c>
      <c r="CD37" s="209" t="str">
        <f>IF(AND(C37="Skema 1",B37="ma"),Skemaoplysninger!$E$31,"")</f>
        <v/>
      </c>
      <c r="CE37" s="209">
        <f>IF(AND(C37="Skema 1",B37="ti"),Skemaoplysninger!$G$31,"")</f>
        <v>0</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3"/>
        <v/>
      </c>
      <c r="DL37" t="str">
        <f t="shared" si="13"/>
        <v/>
      </c>
      <c r="DM37" t="str">
        <f t="shared" si="13"/>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8" si="32">IF(AND(I37="X",S37="X"),V37,0)</f>
        <v>0</v>
      </c>
      <c r="FT37" s="649">
        <f t="shared" ref="FT37:FT38" si="33">IF(AND(AND(C37="ikke relevant",I37="X",S37="X")),V37,0)</f>
        <v>0</v>
      </c>
      <c r="FU37">
        <f t="shared" ref="FU37:FU38"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7"/>
        <v>30</v>
      </c>
      <c r="B38" s="127" t="str">
        <f t="shared" si="0"/>
        <v>on</v>
      </c>
      <c r="C38" s="128" t="s">
        <v>206</v>
      </c>
      <c r="D38" s="129" t="str">
        <f t="shared" si="1"/>
        <v/>
      </c>
      <c r="E38" s="932"/>
      <c r="F38" s="933"/>
      <c r="G38" s="934"/>
      <c r="H38" s="294"/>
      <c r="I38" s="519"/>
      <c r="J38" s="407"/>
      <c r="K38" s="374"/>
      <c r="L38" s="374"/>
      <c r="M38" s="374"/>
      <c r="N38" s="313">
        <f t="shared" si="18"/>
        <v>0</v>
      </c>
      <c r="O38" s="313">
        <f t="shared" si="19"/>
        <v>0</v>
      </c>
      <c r="P38" s="313">
        <f>IF(Stamoplysninger!$H$29="JA",April!DG38,CX38)</f>
        <v>0</v>
      </c>
      <c r="Q38" s="313">
        <f t="shared" si="20"/>
        <v>0</v>
      </c>
      <c r="R38" s="314"/>
      <c r="S38" s="319"/>
      <c r="T38" s="320"/>
      <c r="U38" s="320"/>
      <c r="V38" s="429"/>
      <c r="W38" s="429"/>
      <c r="X38" s="635"/>
      <c r="Y38">
        <f t="shared" si="21"/>
        <v>0</v>
      </c>
      <c r="Z38" s="431">
        <f t="shared" si="22"/>
        <v>0</v>
      </c>
      <c r="AA38" s="1">
        <f t="shared" si="2"/>
        <v>0</v>
      </c>
      <c r="AB38" s="1">
        <f t="shared" si="3"/>
        <v>0</v>
      </c>
      <c r="AC38" s="1">
        <f t="shared" si="4"/>
        <v>0</v>
      </c>
      <c r="AD38" s="1">
        <f t="shared" si="5"/>
        <v>0</v>
      </c>
      <c r="AE38" s="1">
        <f t="shared" si="6"/>
        <v>0</v>
      </c>
      <c r="AF38" s="1">
        <f>IF(C38="Orlov",7.4*Stamoplysninger!$E$15,0)</f>
        <v>0</v>
      </c>
      <c r="AG38" t="str">
        <f>IF(AND(C38="Skema 1",B38="ma"),Arbejdstidsoversigt!$E$72,"")</f>
        <v/>
      </c>
      <c r="AH38" t="str">
        <f>IF(AND(C38="Skema 1",B38="ti"),Arbejdstidsoversigt!$E$73,"")</f>
        <v/>
      </c>
      <c r="AI38">
        <f>IF(AND(C38="Skema 1",B38="on"),Arbejdstidsoversigt!$E$74,"")</f>
        <v>0</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7"/>
        <v>0</v>
      </c>
      <c r="BC38" s="1">
        <f t="shared" si="24"/>
        <v>0</v>
      </c>
      <c r="BD38" s="1">
        <f t="shared" si="8"/>
        <v>0</v>
      </c>
      <c r="BE38" s="1">
        <f t="shared" si="9"/>
        <v>0</v>
      </c>
      <c r="BF38" s="1">
        <f t="shared" si="10"/>
        <v>0</v>
      </c>
      <c r="BG38" s="209" t="str">
        <f>IF(AND(C38="Skema 1",B38="ma"),Skemaoplysninger!$E$30,"")</f>
        <v/>
      </c>
      <c r="BH38" s="209" t="str">
        <f>IF(AND(C38="Skema 1",B38="ti"),Skemaoplysninger!$G$30,"")</f>
        <v/>
      </c>
      <c r="BI38" s="209">
        <f>IF(AND(C38="Skema 1",B38="on"),Skemaoplysninger!$I$30,"")</f>
        <v>0</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1"/>
        <v>0</v>
      </c>
      <c r="CC38" s="1">
        <f t="shared" si="12"/>
        <v>0</v>
      </c>
      <c r="CD38" s="209" t="str">
        <f>IF(AND(C38="Skema 1",B38="ma"),Skemaoplysninger!$E$31,"")</f>
        <v/>
      </c>
      <c r="CE38" s="209" t="str">
        <f>IF(AND(C38="Skema 1",B38="ti"),Skemaoplysninger!$G$31,"")</f>
        <v/>
      </c>
      <c r="CF38" s="209">
        <f>IF(AND(C38="Skema 1",B38="on"),Skemaoplysninger!$I$31,"")</f>
        <v>0</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3"/>
        <v/>
      </c>
      <c r="DL38" t="str">
        <f t="shared" si="13"/>
        <v/>
      </c>
      <c r="DM38" t="str">
        <f t="shared" si="13"/>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987" t="s">
        <v>260</v>
      </c>
      <c r="B39" s="988"/>
      <c r="C39" s="988"/>
      <c r="D39" s="988"/>
      <c r="E39" s="988"/>
      <c r="F39" s="988"/>
      <c r="G39" s="988"/>
      <c r="H39" s="988"/>
      <c r="I39" s="989"/>
      <c r="J39" s="308"/>
      <c r="K39" s="316"/>
      <c r="L39" s="316"/>
      <c r="M39" s="316"/>
      <c r="N39" s="317">
        <f>SUM(N9:N38)</f>
        <v>0</v>
      </c>
      <c r="O39" s="317">
        <f>SUM(O9:O38)</f>
        <v>0</v>
      </c>
      <c r="P39" s="317">
        <f>SUM(P9:P38)</f>
        <v>0</v>
      </c>
      <c r="Q39" s="317">
        <f>SUM(Q9:Q38)</f>
        <v>0</v>
      </c>
      <c r="R39"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26"/>
      <c r="T39" s="427"/>
      <c r="U39" s="427"/>
      <c r="V39"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0">
        <f>SUM(Y9:Y38)</f>
        <v>0</v>
      </c>
      <c r="Z39" s="392">
        <f>Z9+Z10+Z11+Z12+Z13+Z14+Z15+Z16+Z17+Z18+Z19+Z20+Z21+Z22+Z23+Z24+Z25+Z26+Z27+Z28+Z29+Z30+Z31+Z32+Z33+Z34+Z35+Z36+Z37+Z38</f>
        <v>0</v>
      </c>
      <c r="AA39" s="231">
        <f t="shared" ref="AA39:AF39" si="35">SUM(AA9:AA38)</f>
        <v>0</v>
      </c>
      <c r="AB39" s="231">
        <f t="shared" si="35"/>
        <v>0</v>
      </c>
      <c r="AC39" s="231">
        <f t="shared" si="35"/>
        <v>0</v>
      </c>
      <c r="AD39" s="231">
        <f t="shared" si="35"/>
        <v>0</v>
      </c>
      <c r="AE39" s="231">
        <f t="shared" si="35"/>
        <v>0</v>
      </c>
      <c r="AF39" s="231">
        <f t="shared" si="35"/>
        <v>0</v>
      </c>
      <c r="BA39" s="1">
        <f>SUM(BA9:BA38)</f>
        <v>0</v>
      </c>
      <c r="BB39" s="111"/>
      <c r="BC39" s="231">
        <f>SUM(BC9:BC38)</f>
        <v>0</v>
      </c>
      <c r="BD39" s="231">
        <f>SUM(BD9:BD38)</f>
        <v>0</v>
      </c>
      <c r="BE39" s="231">
        <f>SUM(BE9:BE38)</f>
        <v>0</v>
      </c>
      <c r="BF39" s="231">
        <f>SUM(BF9:BF38)</f>
        <v>0</v>
      </c>
      <c r="CA39" s="231">
        <f>SUM(CA9:CA38)</f>
        <v>0</v>
      </c>
      <c r="CB39" s="231">
        <f>SUM(CB9:CB38)</f>
        <v>0</v>
      </c>
      <c r="CC39" s="231">
        <f>SUM(CC9:CC38)</f>
        <v>0</v>
      </c>
      <c r="CX39" s="245"/>
      <c r="CY39" s="245">
        <f t="shared" ref="CY39:DG39" si="36">SUM(CY9:CY38)</f>
        <v>0</v>
      </c>
      <c r="CZ39" s="245">
        <f t="shared" si="36"/>
        <v>0</v>
      </c>
      <c r="DA39" s="245">
        <f t="shared" si="36"/>
        <v>0</v>
      </c>
      <c r="DB39" s="245">
        <f t="shared" si="36"/>
        <v>0</v>
      </c>
      <c r="DC39" s="245">
        <f t="shared" si="36"/>
        <v>0</v>
      </c>
      <c r="DD39" s="245">
        <f t="shared" si="36"/>
        <v>0</v>
      </c>
      <c r="DE39" s="245">
        <f t="shared" si="36"/>
        <v>0</v>
      </c>
      <c r="DF39" s="245">
        <f t="shared" si="36"/>
        <v>0</v>
      </c>
      <c r="DG39" s="245">
        <f t="shared" si="36"/>
        <v>0</v>
      </c>
      <c r="DO39" s="643"/>
      <c r="DS39" s="662"/>
      <c r="DT39" s="662"/>
      <c r="DU39" s="662"/>
      <c r="DV39" s="663"/>
      <c r="DW39" s="643"/>
      <c r="DZ39" s="662"/>
      <c r="EA39" s="662"/>
      <c r="EB39" s="663"/>
      <c r="EC39" s="643"/>
      <c r="EG39" s="662"/>
      <c r="EH39" s="662"/>
      <c r="EI39" s="662"/>
      <c r="EJ39" s="662"/>
      <c r="EK39" s="279"/>
      <c r="EL39" s="247"/>
      <c r="EM39" s="665"/>
      <c r="EN39" s="666"/>
      <c r="EO39" s="279"/>
      <c r="EP39" s="247"/>
      <c r="EQ39" s="665"/>
      <c r="ER39" s="666"/>
      <c r="ES39" s="279"/>
      <c r="ET39" s="247"/>
      <c r="EU39" s="665"/>
      <c r="EV39" s="666"/>
      <c r="EW39" s="279"/>
      <c r="EX39" s="247"/>
      <c r="EY39" s="665"/>
      <c r="EZ39" s="666"/>
      <c r="FA39" s="279"/>
      <c r="FB39" s="247"/>
      <c r="FC39" s="665"/>
      <c r="FD39" s="666"/>
      <c r="FE39" s="279"/>
      <c r="FF39" s="247"/>
      <c r="FG39" s="665"/>
      <c r="FH39" s="666"/>
      <c r="FI39" s="279"/>
      <c r="FJ39" s="247"/>
      <c r="FK39" s="665"/>
      <c r="FL39" s="666"/>
      <c r="FM39" s="279"/>
      <c r="FN39" s="665"/>
      <c r="FO39" s="279"/>
      <c r="FP39" s="247"/>
      <c r="FQ39" s="665"/>
      <c r="FR39" s="679"/>
      <c r="FS39" s="279"/>
      <c r="FT39" s="649"/>
      <c r="FV39" s="279"/>
      <c r="FW39" s="665"/>
      <c r="FX39" s="279"/>
      <c r="FY39" s="665"/>
      <c r="FZ39" s="279"/>
      <c r="GA39" s="665"/>
      <c r="GB39" s="279"/>
      <c r="GC39" s="665"/>
    </row>
    <row r="40" spans="1:185" ht="17" thickBot="1">
      <c r="A40" s="229"/>
      <c r="B40" s="229"/>
      <c r="C40" s="229"/>
      <c r="D40" s="229"/>
      <c r="E40" s="229"/>
      <c r="F40" s="229"/>
      <c r="G40" s="229"/>
      <c r="H40" s="229"/>
      <c r="I40" s="229"/>
      <c r="J40" s="229"/>
      <c r="K40" s="235"/>
      <c r="L40" s="235"/>
      <c r="M40" s="235"/>
      <c r="N40" s="235"/>
      <c r="O40" s="235"/>
      <c r="P40" s="235"/>
      <c r="Q40" s="235"/>
      <c r="R40" s="235"/>
      <c r="S40" s="235"/>
      <c r="T40" s="235"/>
      <c r="U40" s="235"/>
      <c r="V40" s="235"/>
      <c r="W40" s="235"/>
      <c r="X40" s="235"/>
      <c r="Y40" s="243"/>
      <c r="Z40" s="210"/>
      <c r="AA40" s="231"/>
      <c r="AB40" s="210"/>
      <c r="AC40" s="210"/>
      <c r="AD40" s="231"/>
      <c r="AE40" s="231"/>
      <c r="AF40" s="231"/>
      <c r="AG40" s="231"/>
      <c r="BC40" s="231"/>
      <c r="BD40" s="231"/>
      <c r="BE40" s="231"/>
      <c r="BF40" s="231"/>
      <c r="BG40" s="111"/>
      <c r="CB40" s="231"/>
      <c r="CC40" s="231"/>
      <c r="CD40" s="111"/>
      <c r="CX40" s="244"/>
      <c r="CZ40"/>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70" customHeight="1">
      <c r="A41" s="973" t="str">
        <f>"Arbejdstid for "&amp;A7&amp;" måned:"</f>
        <v>Arbejdstid for April måned:</v>
      </c>
      <c r="B41" s="974"/>
      <c r="C41" s="974"/>
      <c r="D41" s="974"/>
      <c r="E41" s="974"/>
      <c r="F41" s="974"/>
      <c r="G41" s="974"/>
      <c r="H41" s="325" t="s">
        <v>255</v>
      </c>
      <c r="I41" s="974" t="s">
        <v>221</v>
      </c>
      <c r="J41" s="975"/>
      <c r="K41" s="976"/>
      <c r="L41" s="258"/>
      <c r="M41" s="1026" t="str">
        <f>"Ulempetimer og weekendtimer i "&amp;A5&amp;""</f>
        <v>Ulempetimer og weekendtimer i April måneds kalender for: . Måneden vedr. normperioden:  - .</v>
      </c>
      <c r="N41" s="1004"/>
      <c r="O41" s="1004"/>
      <c r="P41" s="1004"/>
      <c r="Q41" s="1004"/>
      <c r="R41" s="1004"/>
      <c r="S41" s="1004"/>
      <c r="T41" s="1004"/>
      <c r="U41" s="1004"/>
      <c r="V41" s="1004"/>
      <c r="W41" s="1004"/>
      <c r="X41" s="1005"/>
      <c r="Y41" s="235"/>
      <c r="Z41" s="235"/>
      <c r="AD41" s="89"/>
      <c r="AE41" s="89"/>
      <c r="BM41" s="1"/>
      <c r="CJ41" s="1"/>
      <c r="CU41" s="244"/>
      <c r="CV41" s="244"/>
      <c r="CY41"/>
      <c r="CZ41"/>
    </row>
    <row r="42" spans="1:185">
      <c r="A42" s="977" t="s">
        <v>528</v>
      </c>
      <c r="B42" s="978"/>
      <c r="C42" s="978"/>
      <c r="D42" s="978"/>
      <c r="E42" s="978"/>
      <c r="F42" s="978"/>
      <c r="G42" s="978"/>
      <c r="H42" s="252">
        <f>D77</f>
        <v>22</v>
      </c>
      <c r="I42" s="990">
        <f>IF(Stamoplysninger!$E$12="Ja",1924/Arbejdstidsoversigt!$K$9*Stamoplysninger!$E$15*H42,H42*7.4*Stamoplysninger!$E$15)</f>
        <v>162.17624521072798</v>
      </c>
      <c r="J42" s="991"/>
      <c r="K42" s="992"/>
      <c r="L42" s="254"/>
      <c r="M42" s="1027" t="s">
        <v>496</v>
      </c>
      <c r="N42" s="1028"/>
      <c r="O42" s="1028"/>
      <c r="P42" s="1028"/>
      <c r="Q42" s="1028"/>
      <c r="R42" s="1028"/>
      <c r="S42" s="1028"/>
      <c r="T42" s="1028"/>
      <c r="U42" s="1029"/>
      <c r="V42" s="1108">
        <f>P64+P68+P71+P73</f>
        <v>0</v>
      </c>
      <c r="W42" s="1108"/>
      <c r="X42" s="1109"/>
      <c r="Y42" s="235"/>
      <c r="Z42" s="235"/>
      <c r="AD42" s="89"/>
      <c r="AE42" s="89"/>
      <c r="BM42" s="1"/>
      <c r="CJ42" s="1"/>
      <c r="CU42" s="244"/>
      <c r="CV42" s="244"/>
      <c r="CY42"/>
      <c r="CZ42"/>
    </row>
    <row r="43" spans="1:185">
      <c r="A43" s="977" t="str">
        <f>"Ferie "&amp;A7&amp;" måned"</f>
        <v>Ferie April måned</v>
      </c>
      <c r="B43" s="978"/>
      <c r="C43" s="978"/>
      <c r="D43" s="978"/>
      <c r="E43" s="978"/>
      <c r="F43" s="978"/>
      <c r="G43" s="978"/>
      <c r="H43" s="253" t="str">
        <f>IF(D72&gt;0,$D$72,"0")</f>
        <v>0</v>
      </c>
      <c r="I43" s="979">
        <f>H43*7.4*Stamoplysninger!$E$15</f>
        <v>0</v>
      </c>
      <c r="J43" s="980"/>
      <c r="K43" s="981"/>
      <c r="L43" s="254"/>
      <c r="M43" s="1033" t="s">
        <v>259</v>
      </c>
      <c r="N43" s="1034"/>
      <c r="O43" s="1034"/>
      <c r="P43" s="1034"/>
      <c r="Q43" s="1034"/>
      <c r="R43" s="1034"/>
      <c r="S43" s="1034"/>
      <c r="T43" s="1034"/>
      <c r="U43" s="1035"/>
      <c r="V43" s="1110">
        <f>Q65+Q67+Q70+Q72</f>
        <v>0</v>
      </c>
      <c r="W43" s="1110"/>
      <c r="X43" s="1111"/>
      <c r="Y43" s="235"/>
      <c r="Z43" s="235"/>
      <c r="AD43" s="89"/>
      <c r="AE43" s="89"/>
      <c r="BM43" s="1"/>
      <c r="CJ43" s="1"/>
      <c r="CU43" s="244"/>
      <c r="CV43" s="244"/>
      <c r="CY43"/>
      <c r="CZ43"/>
    </row>
    <row r="44" spans="1:185">
      <c r="A44" s="977" t="str">
        <f>"Søgnehelligdage i "&amp;A7&amp;" måned"</f>
        <v>Søgnehelligdage i April måned</v>
      </c>
      <c r="B44" s="978"/>
      <c r="C44" s="978"/>
      <c r="D44" s="978"/>
      <c r="E44" s="978"/>
      <c r="F44" s="978"/>
      <c r="G44" s="978"/>
      <c r="H44" s="253">
        <f>IF(D71&gt;0,D71,0)</f>
        <v>3</v>
      </c>
      <c r="I44" s="979">
        <f>H44*7.4*Stamoplysninger!$E$15</f>
        <v>22.200000000000003</v>
      </c>
      <c r="J44" s="980"/>
      <c r="K44" s="981"/>
      <c r="L44" s="255"/>
      <c r="M44" s="1143" t="s">
        <v>295</v>
      </c>
      <c r="N44" s="1144"/>
      <c r="O44" s="1144"/>
      <c r="P44" s="1144"/>
      <c r="Q44" s="1144"/>
      <c r="R44" s="1144"/>
      <c r="S44" s="1144"/>
      <c r="T44" s="1144"/>
      <c r="U44" s="1145"/>
      <c r="V44" s="1148">
        <f>Marts!V53</f>
        <v>0</v>
      </c>
      <c r="W44" s="1149"/>
      <c r="X44" s="1152"/>
      <c r="Y44" s="235"/>
      <c r="Z44" s="235"/>
      <c r="AD44" s="89"/>
      <c r="AE44" s="89"/>
      <c r="BM44" s="1"/>
      <c r="CJ44" s="1"/>
      <c r="CU44" s="244"/>
      <c r="CV44" s="244"/>
      <c r="CY44"/>
      <c r="CZ44"/>
    </row>
    <row r="45" spans="1:185">
      <c r="A45" s="977" t="str">
        <f>"Nettoarbejdstid ialt i "&amp;A7&amp;" måned"</f>
        <v>Nettoarbejdstid ialt i April måned</v>
      </c>
      <c r="B45" s="978"/>
      <c r="C45" s="978"/>
      <c r="D45" s="978"/>
      <c r="E45" s="978"/>
      <c r="F45" s="978"/>
      <c r="G45" s="978"/>
      <c r="H45" s="256">
        <f>H42-H43-H44</f>
        <v>19</v>
      </c>
      <c r="I45" s="979">
        <f>I42-I43-I44</f>
        <v>139.976245210728</v>
      </c>
      <c r="J45" s="980"/>
      <c r="K45" s="981"/>
      <c r="L45" s="381"/>
      <c r="M45" s="1041" t="s">
        <v>301</v>
      </c>
      <c r="N45" s="1042"/>
      <c r="O45" s="1042"/>
      <c r="P45" s="1042"/>
      <c r="Q45" s="1042"/>
      <c r="R45" s="1042"/>
      <c r="S45" s="1042"/>
      <c r="T45" s="1042"/>
      <c r="U45" s="1043"/>
      <c r="V45" s="1044">
        <f>SUM(V43:X44)</f>
        <v>0</v>
      </c>
      <c r="W45" s="1045"/>
      <c r="X45" s="1046"/>
      <c r="Y45" s="235"/>
      <c r="Z45" s="235"/>
      <c r="AD45" s="89"/>
      <c r="AE45" s="89"/>
      <c r="BM45" s="1"/>
      <c r="CJ45" s="1"/>
      <c r="CU45" s="244"/>
      <c r="CV45" s="244"/>
      <c r="CY45"/>
      <c r="CZ45"/>
    </row>
    <row r="46" spans="1:185">
      <c r="A46" s="993" t="str">
        <f>"Planlagt arbejdstid efter ovennstående "&amp;A7&amp;" måned kalender"</f>
        <v>Planlagt arbejdstid efter ovennstående April måned kalender</v>
      </c>
      <c r="B46" s="994"/>
      <c r="C46" s="994"/>
      <c r="D46" s="994"/>
      <c r="E46" s="994"/>
      <c r="F46" s="994"/>
      <c r="G46" s="994"/>
      <c r="H46" s="468">
        <f>D63+D64+D65+D66+D67+D68+D69</f>
        <v>16</v>
      </c>
      <c r="I46" s="995">
        <f>N39+R39+V105</f>
        <v>0</v>
      </c>
      <c r="J46" s="996"/>
      <c r="K46" s="997"/>
      <c r="L46" s="381"/>
      <c r="M46" s="1053" t="s">
        <v>293</v>
      </c>
      <c r="N46" s="1054"/>
      <c r="O46" s="1054"/>
      <c r="P46" s="1054"/>
      <c r="Q46" s="1054"/>
      <c r="R46" s="1054"/>
      <c r="S46" s="1054"/>
      <c r="T46" s="1054"/>
      <c r="U46" s="1054"/>
      <c r="V46" s="1054"/>
      <c r="W46" s="1054"/>
      <c r="X46" s="1055"/>
      <c r="Y46" s="235"/>
      <c r="Z46" s="235"/>
      <c r="AD46" s="89"/>
      <c r="AE46" s="89"/>
      <c r="BM46" s="1"/>
      <c r="CJ46" s="1"/>
      <c r="CU46" s="244"/>
      <c r="CV46" s="244"/>
      <c r="CY46"/>
      <c r="CZ46"/>
    </row>
    <row r="47" spans="1:185">
      <c r="A47" s="1001" t="s">
        <v>451</v>
      </c>
      <c r="B47" s="1002"/>
      <c r="C47" s="1002"/>
      <c r="D47" s="1002"/>
      <c r="E47" s="1002"/>
      <c r="F47" s="1002"/>
      <c r="G47" s="1002"/>
      <c r="H47" s="1003"/>
      <c r="I47" s="998">
        <f>(FI40+FM40+FO40+FV40+FX40+FZ40+GB40)*-1+FK40+FN40+FQ40+FW40+FY40+GA40+GC40+FU40</f>
        <v>0</v>
      </c>
      <c r="J47" s="999"/>
      <c r="K47" s="1000"/>
      <c r="L47" s="382"/>
      <c r="M47" s="1056" t="s">
        <v>462</v>
      </c>
      <c r="N47" s="1057"/>
      <c r="O47" s="1057"/>
      <c r="P47" s="1057"/>
      <c r="Q47" s="1057"/>
      <c r="R47" s="1057"/>
      <c r="S47" s="1057"/>
      <c r="T47" s="1057"/>
      <c r="U47" s="1058"/>
      <c r="V47" s="1059" t="s">
        <v>221</v>
      </c>
      <c r="W47" s="1060"/>
      <c r="X47" s="1061"/>
      <c r="Y47" s="235"/>
      <c r="Z47" s="235"/>
      <c r="AD47" s="89"/>
      <c r="AE47" s="89"/>
      <c r="BM47" s="1"/>
      <c r="CJ47" s="1"/>
      <c r="CU47" s="244"/>
      <c r="CV47" s="244"/>
      <c r="CY47"/>
      <c r="CZ47"/>
    </row>
    <row r="48" spans="1:185">
      <c r="A48" s="1020" t="str">
        <f>"Arbejde særligt planlagt for "&amp;A7&amp;" måned efter fanen skemaoplysninger"</f>
        <v>Arbejde særligt planlagt for April måned efter fanen skemaoplysninger</v>
      </c>
      <c r="B48" s="1021"/>
      <c r="C48" s="1021"/>
      <c r="D48" s="1021"/>
      <c r="E48" s="1021"/>
      <c r="F48" s="1021"/>
      <c r="G48" s="1021"/>
      <c r="H48" s="1022"/>
      <c r="I48" s="996">
        <f>Skemaoplysninger!S91</f>
        <v>0</v>
      </c>
      <c r="J48" s="1018"/>
      <c r="K48" s="1019"/>
      <c r="L48" s="237"/>
      <c r="M48" s="882"/>
      <c r="N48" s="883"/>
      <c r="O48" s="883"/>
      <c r="P48" s="883"/>
      <c r="Q48" s="883"/>
      <c r="R48" s="883"/>
      <c r="S48" s="883"/>
      <c r="T48" s="883"/>
      <c r="U48" s="884"/>
      <c r="V48" s="1062"/>
      <c r="W48" s="1062"/>
      <c r="X48" s="1063"/>
      <c r="Y48"/>
      <c r="Z48" s="235"/>
      <c r="AA48" s="235"/>
      <c r="AG48" s="89"/>
      <c r="AH48" s="89"/>
      <c r="BA48" s="235"/>
      <c r="BO48" s="1"/>
      <c r="CL48" s="1"/>
      <c r="CV48" s="244"/>
      <c r="CW48" s="244"/>
      <c r="CY48"/>
      <c r="CZ48"/>
    </row>
    <row r="49" spans="1:110">
      <c r="A49" s="982" t="s">
        <v>291</v>
      </c>
      <c r="B49" s="983"/>
      <c r="C49" s="983"/>
      <c r="D49" s="983"/>
      <c r="E49" s="983"/>
      <c r="F49" s="983"/>
      <c r="G49" s="983"/>
      <c r="H49" s="983"/>
      <c r="I49" s="984">
        <f>V39+X39-FA40+R105</f>
        <v>0</v>
      </c>
      <c r="J49" s="985"/>
      <c r="K49" s="986"/>
      <c r="L49" s="237"/>
      <c r="M49" s="882"/>
      <c r="N49" s="883"/>
      <c r="O49" s="883"/>
      <c r="P49" s="883"/>
      <c r="Q49" s="883"/>
      <c r="R49" s="883"/>
      <c r="S49" s="883"/>
      <c r="T49" s="883"/>
      <c r="U49" s="884"/>
      <c r="V49" s="885"/>
      <c r="W49" s="886"/>
      <c r="X49" s="887"/>
      <c r="Y49"/>
      <c r="Z49" s="235"/>
      <c r="AA49" s="235"/>
      <c r="AE49" s="89"/>
      <c r="AG49" s="89"/>
      <c r="BN49" s="1"/>
      <c r="CK49" s="1"/>
      <c r="CV49" s="244"/>
      <c r="CW49" s="244"/>
      <c r="CY49"/>
      <c r="CZ49"/>
    </row>
    <row r="50" spans="1:110" ht="17" thickBot="1">
      <c r="A50" s="257" t="str">
        <f>"Faktisk arbejdstid ialt i "&amp;A7&amp;" måned"</f>
        <v>Faktisk arbejdstid ialt i April måned</v>
      </c>
      <c r="B50" s="309"/>
      <c r="C50" s="310"/>
      <c r="D50" s="310"/>
      <c r="E50" s="310"/>
      <c r="F50" s="310"/>
      <c r="G50" s="310"/>
      <c r="H50" s="311"/>
      <c r="I50" s="1023">
        <f>I46+I49+I48+I47</f>
        <v>0</v>
      </c>
      <c r="J50" s="1024"/>
      <c r="K50" s="1025"/>
      <c r="L50" s="237"/>
      <c r="M50" s="882"/>
      <c r="N50" s="883"/>
      <c r="O50" s="883"/>
      <c r="P50" s="883"/>
      <c r="Q50" s="883"/>
      <c r="R50" s="883"/>
      <c r="S50" s="883"/>
      <c r="T50" s="883"/>
      <c r="U50" s="884"/>
      <c r="V50" s="885"/>
      <c r="W50" s="886"/>
      <c r="X50" s="887"/>
      <c r="Y50" s="235"/>
      <c r="Z50" s="235"/>
      <c r="AA50" s="213"/>
      <c r="AB50" s="243"/>
      <c r="AC50" s="243"/>
      <c r="AD50" s="243"/>
      <c r="AE50" s="235"/>
      <c r="AF50" s="243"/>
      <c r="AH50" s="235"/>
      <c r="AI50" s="235"/>
      <c r="AM50" s="89"/>
      <c r="AN50" s="89"/>
      <c r="BU50" s="1"/>
      <c r="CR50" s="1"/>
      <c r="CY50"/>
      <c r="CZ50"/>
      <c r="DC50" s="244"/>
      <c r="DD50" s="244"/>
    </row>
    <row r="51" spans="1:110" ht="17" thickBot="1">
      <c r="A51" s="251"/>
      <c r="B51" s="251"/>
      <c r="C51" s="251"/>
      <c r="D51" s="251"/>
      <c r="E51" s="251"/>
      <c r="F51" s="251"/>
      <c r="G51" s="251"/>
      <c r="H51" s="251"/>
      <c r="I51" s="514"/>
      <c r="J51" s="514"/>
      <c r="K51" s="514"/>
      <c r="L51" s="492"/>
      <c r="M51" s="882"/>
      <c r="N51" s="883"/>
      <c r="O51" s="883"/>
      <c r="P51" s="883"/>
      <c r="Q51" s="883"/>
      <c r="R51" s="883"/>
      <c r="S51" s="883"/>
      <c r="T51" s="883"/>
      <c r="U51" s="884"/>
      <c r="V51" s="885"/>
      <c r="W51" s="886"/>
      <c r="X51" s="887"/>
      <c r="Y51" s="235"/>
      <c r="Z51" s="235"/>
      <c r="AA51" s="235"/>
      <c r="AB51" s="235"/>
      <c r="AC51" s="213"/>
      <c r="AD51" s="243"/>
      <c r="AE51" s="243"/>
      <c r="AF51" s="243"/>
      <c r="AG51" s="243"/>
      <c r="AH51" s="235"/>
      <c r="AJ51" s="235"/>
      <c r="AK51" s="235"/>
      <c r="AO51" s="89"/>
      <c r="AP51" s="89"/>
      <c r="BW51" s="1"/>
      <c r="CT51" s="1"/>
      <c r="CY51"/>
      <c r="CZ51"/>
      <c r="DE51" s="244"/>
      <c r="DF51" s="244"/>
    </row>
    <row r="52" spans="1:110" ht="26" thickBot="1">
      <c r="A52" s="973" t="s">
        <v>478</v>
      </c>
      <c r="B52" s="974"/>
      <c r="C52" s="974"/>
      <c r="D52" s="974"/>
      <c r="E52" s="974"/>
      <c r="F52" s="974"/>
      <c r="G52" s="974"/>
      <c r="H52" s="698" t="s">
        <v>669</v>
      </c>
      <c r="I52" s="974" t="s">
        <v>477</v>
      </c>
      <c r="J52" s="974"/>
      <c r="K52" s="976"/>
      <c r="L52" s="492"/>
      <c r="M52" s="1047" t="s">
        <v>294</v>
      </c>
      <c r="N52" s="1048"/>
      <c r="O52" s="1048"/>
      <c r="P52" s="1048"/>
      <c r="Q52" s="1048"/>
      <c r="R52" s="1048"/>
      <c r="S52" s="1048"/>
      <c r="T52" s="1048"/>
      <c r="U52" s="1049"/>
      <c r="V52" s="1096">
        <f>V45-SUM(V48:X51)</f>
        <v>0</v>
      </c>
      <c r="W52" s="1097"/>
      <c r="X52" s="1098"/>
      <c r="Y52" s="235"/>
      <c r="Z52" s="235"/>
      <c r="AA52" s="235"/>
      <c r="AB52" s="235"/>
      <c r="AC52" s="213"/>
      <c r="AD52" s="243"/>
      <c r="AE52" s="243"/>
      <c r="AF52" s="243"/>
      <c r="AG52" s="243"/>
      <c r="AH52" s="235"/>
      <c r="AJ52" s="235"/>
      <c r="AK52" s="235"/>
      <c r="AO52" s="89"/>
      <c r="AP52" s="89"/>
      <c r="BW52" s="1"/>
      <c r="CT52" s="1"/>
      <c r="CY52"/>
      <c r="CZ52"/>
      <c r="DE52" s="244"/>
      <c r="DF52" s="244"/>
    </row>
    <row r="53" spans="1:110" ht="16" customHeight="1">
      <c r="A53" s="1008"/>
      <c r="B53" s="1009"/>
      <c r="C53" s="1009"/>
      <c r="D53" s="1009"/>
      <c r="E53" s="1009"/>
      <c r="F53" s="1009"/>
      <c r="G53" s="1009"/>
      <c r="H53" s="597">
        <f>Marts!H62</f>
        <v>0</v>
      </c>
      <c r="I53" s="1099">
        <f>Marts!I62</f>
        <v>0</v>
      </c>
      <c r="J53" s="1099"/>
      <c r="K53" s="1100"/>
      <c r="L53" s="492"/>
      <c r="M53" s="515"/>
      <c r="N53" s="515"/>
      <c r="O53" s="515"/>
      <c r="P53" s="515"/>
      <c r="Q53" s="516"/>
      <c r="R53" s="517"/>
      <c r="S53" s="517"/>
      <c r="T53" s="517"/>
      <c r="U53" s="517"/>
      <c r="V53" s="515"/>
      <c r="W53" s="518"/>
      <c r="X53" s="515"/>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84" t="s">
        <v>481</v>
      </c>
      <c r="B54" s="1085"/>
      <c r="C54" s="1085"/>
      <c r="D54" s="1085"/>
      <c r="E54" s="1085"/>
      <c r="F54" s="1085"/>
      <c r="G54" s="1086"/>
      <c r="H54" s="595"/>
      <c r="I54" s="1087"/>
      <c r="J54" s="1088"/>
      <c r="K54" s="1089"/>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37" customHeight="1">
      <c r="A55" s="879" t="s">
        <v>670</v>
      </c>
      <c r="B55" s="880"/>
      <c r="C55" s="880"/>
      <c r="D55" s="880"/>
      <c r="E55" s="880"/>
      <c r="F55" s="880"/>
      <c r="G55" s="880"/>
      <c r="H55" s="880"/>
      <c r="I55" s="880"/>
      <c r="J55" s="880"/>
      <c r="K55" s="881"/>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5" customHeight="1">
      <c r="A56" s="1010" t="s">
        <v>671</v>
      </c>
      <c r="B56" s="1011"/>
      <c r="C56" s="913" t="s">
        <v>509</v>
      </c>
      <c r="D56" s="914"/>
      <c r="E56" s="915" t="s">
        <v>510</v>
      </c>
      <c r="F56" s="880"/>
      <c r="G56" s="916"/>
      <c r="H56" s="925" t="s">
        <v>479</v>
      </c>
      <c r="I56" s="925"/>
      <c r="J56" s="925"/>
      <c r="K56" s="926"/>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c r="A57" s="917"/>
      <c r="B57" s="918"/>
      <c r="C57" s="921"/>
      <c r="D57" s="920"/>
      <c r="E57" s="922"/>
      <c r="F57" s="923"/>
      <c r="G57" s="924"/>
      <c r="H57" s="596"/>
      <c r="I57" s="911"/>
      <c r="J57" s="911"/>
      <c r="K57" s="912"/>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919"/>
      <c r="B58" s="920"/>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919"/>
      <c r="B60" s="920"/>
      <c r="C60" s="921"/>
      <c r="D60" s="920"/>
      <c r="E60" s="922"/>
      <c r="F60" s="923"/>
      <c r="G60" s="924"/>
      <c r="H60" s="596"/>
      <c r="I60" s="911"/>
      <c r="J60" s="911"/>
      <c r="K60" s="912"/>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ht="19" customHeight="1" thickBot="1">
      <c r="A61" s="908" t="s">
        <v>480</v>
      </c>
      <c r="B61" s="909"/>
      <c r="C61" s="910"/>
      <c r="D61" s="910"/>
      <c r="E61" s="910"/>
      <c r="F61" s="910"/>
      <c r="G61" s="910"/>
      <c r="H61" s="598">
        <f>H54+H53-SUM(H57:H60)</f>
        <v>0</v>
      </c>
      <c r="I61" s="927">
        <f>I53+I54-SUM(I57:K60)</f>
        <v>0</v>
      </c>
      <c r="J61" s="928"/>
      <c r="K61" s="929"/>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9" hidden="1" customHeight="1">
      <c r="A62" s="434"/>
      <c r="B62" s="434"/>
      <c r="C62" s="434"/>
      <c r="D62" s="434"/>
      <c r="E62" s="434"/>
      <c r="F62" s="434"/>
      <c r="G62" s="434"/>
      <c r="H62" s="444"/>
      <c r="I62" s="498"/>
      <c r="J62" s="498"/>
      <c r="K62" s="488"/>
      <c r="L62" s="650"/>
      <c r="M62" s="650"/>
      <c r="N62" s="650"/>
      <c r="O62" s="650"/>
      <c r="P62" s="650"/>
      <c r="Q62" s="516"/>
      <c r="R62" s="517"/>
      <c r="S62" s="517"/>
      <c r="T62" s="517"/>
      <c r="U62" s="517"/>
      <c r="V62" s="515" t="s">
        <v>570</v>
      </c>
      <c r="W62" s="518"/>
      <c r="X62" s="515"/>
      <c r="Y62"/>
      <c r="Z62"/>
      <c r="AA62" s="89"/>
      <c r="AB62" s="89"/>
      <c r="BI62" s="1"/>
      <c r="CF62" s="1"/>
      <c r="CQ62" s="244"/>
      <c r="CR62" s="244"/>
      <c r="CY62"/>
      <c r="CZ62"/>
    </row>
    <row r="63" spans="1:110" ht="19" hidden="1" customHeight="1">
      <c r="A63" s="122" t="s">
        <v>206</v>
      </c>
      <c r="B63" s="122"/>
      <c r="C63" s="122"/>
      <c r="D63" s="122">
        <f>COUNTIF([0]!April,"Skema 1")</f>
        <v>16</v>
      </c>
      <c r="E63" s="389"/>
      <c r="F63" s="122" t="s">
        <v>186</v>
      </c>
      <c r="G63" s="122">
        <f>COUNTIFS($B$9:$B$38,"ma",[0]!April,"Skema 1")</f>
        <v>2</v>
      </c>
      <c r="H63" s="122"/>
      <c r="I63" s="503"/>
      <c r="J63" s="650"/>
      <c r="K63" s="650"/>
      <c r="L63" s="503"/>
      <c r="M63" s="651"/>
      <c r="N63" s="650"/>
      <c r="O63" s="651"/>
      <c r="P63" s="669" t="s">
        <v>588</v>
      </c>
      <c r="Q63" s="671" t="s">
        <v>599</v>
      </c>
      <c r="R63" s="227"/>
      <c r="S63" s="227"/>
      <c r="T63" s="227"/>
      <c r="U63" s="227"/>
      <c r="V63" s="227"/>
      <c r="W63" s="117"/>
      <c r="X63" s="117"/>
      <c r="Y63"/>
      <c r="Z63"/>
      <c r="AA63" s="89"/>
      <c r="AB63" s="89"/>
      <c r="BI63" s="1"/>
      <c r="CF63" s="1"/>
      <c r="CQ63" s="244"/>
      <c r="CR63" s="244"/>
      <c r="CY63"/>
      <c r="CZ63"/>
    </row>
    <row r="64" spans="1:110" ht="19" hidden="1" customHeight="1">
      <c r="A64" s="1128" t="s">
        <v>207</v>
      </c>
      <c r="B64" s="1128"/>
      <c r="C64" s="1128"/>
      <c r="D64" s="490">
        <f>COUNTIF([0]!April,"Skema 2")</f>
        <v>0</v>
      </c>
      <c r="E64" s="491"/>
      <c r="F64" s="490" t="s">
        <v>187</v>
      </c>
      <c r="G64" s="490">
        <f>COUNTIFS($B$9:$B$38,"ti",[0]!April,"Skema 1")</f>
        <v>4</v>
      </c>
      <c r="H64" s="122"/>
      <c r="I64" s="503" t="s">
        <v>589</v>
      </c>
      <c r="J64" s="650"/>
      <c r="K64" s="503"/>
      <c r="L64" s="653"/>
      <c r="M64" s="651"/>
      <c r="N64" s="651"/>
      <c r="O64" s="654"/>
      <c r="P64" s="669">
        <f>IF(Stamoplysninger!$B$22="Ulempetillæg udbetales med 25% af nettotimelønnen.",SUM(DO40:DR40)-SUM(DS40:DV40),0)</f>
        <v>0</v>
      </c>
      <c r="Q64" s="671"/>
      <c r="R64" s="227"/>
      <c r="S64" s="227"/>
      <c r="T64" s="227"/>
      <c r="U64" s="227"/>
      <c r="V64" s="227"/>
      <c r="W64" s="117"/>
      <c r="X64" s="117"/>
      <c r="Y64"/>
      <c r="Z64"/>
      <c r="AA64" s="89"/>
      <c r="AB64" s="89"/>
      <c r="BI64" s="1"/>
      <c r="CF64" s="1"/>
      <c r="CQ64" s="244"/>
      <c r="CR64" s="244"/>
      <c r="CY64"/>
      <c r="CZ64"/>
    </row>
    <row r="65" spans="1:109" ht="19" hidden="1" customHeight="1">
      <c r="A65" s="1128" t="s">
        <v>208</v>
      </c>
      <c r="B65" s="1128"/>
      <c r="C65" s="1128"/>
      <c r="D65" s="490">
        <f>COUNTIF([0]!April,"Skema 3")</f>
        <v>0</v>
      </c>
      <c r="E65" s="491"/>
      <c r="F65" s="490" t="s">
        <v>188</v>
      </c>
      <c r="G65" s="490">
        <f>COUNTIFS($B$9:$B$38,"on",[0]!April,"Skema 1")</f>
        <v>4</v>
      </c>
      <c r="H65" s="490"/>
      <c r="I65" s="668" t="s">
        <v>590</v>
      </c>
      <c r="J65" s="650"/>
      <c r="K65" s="503"/>
      <c r="L65" s="653"/>
      <c r="M65" s="651"/>
      <c r="N65" s="651"/>
      <c r="O65" s="651"/>
      <c r="P65" s="669"/>
      <c r="Q65" s="671">
        <f>IF(Stamoplysninger!$B$22="Ulempetillæg afspadseres med 25%(Kræver en aftale imellem ledelsen og den ansatte)",EC40+ED40+EE40+EF40-EG40-EH40-EI40-EJ40,0)</f>
        <v>0</v>
      </c>
      <c r="R65" s="227"/>
      <c r="S65" s="227"/>
      <c r="T65" s="227"/>
      <c r="U65" s="227"/>
      <c r="V65" s="227"/>
      <c r="W65" s="117"/>
      <c r="X65" s="117"/>
      <c r="Y65"/>
      <c r="Z65"/>
      <c r="AA65" s="89"/>
      <c r="AB65" s="89"/>
      <c r="BI65" s="1"/>
      <c r="CF65" s="1"/>
      <c r="CQ65" s="244"/>
      <c r="CR65" s="244"/>
      <c r="CY65"/>
      <c r="CZ65"/>
    </row>
    <row r="66" spans="1:109" ht="19" hidden="1" customHeight="1">
      <c r="A66" s="1128" t="s">
        <v>209</v>
      </c>
      <c r="B66" s="1128"/>
      <c r="C66" s="1128"/>
      <c r="D66" s="490">
        <f>COUNTIF([0]!April,"Skema 4")</f>
        <v>0</v>
      </c>
      <c r="E66" s="491"/>
      <c r="F66" s="490" t="s">
        <v>190</v>
      </c>
      <c r="G66" s="490">
        <f>COUNTIFS($B$9:$B$38,"to",[0]!April,"Skema 1")</f>
        <v>3</v>
      </c>
      <c r="H66" s="490"/>
      <c r="I66" s="668" t="s">
        <v>591</v>
      </c>
      <c r="J66" s="650"/>
      <c r="K66" s="503"/>
      <c r="L66" s="653"/>
      <c r="M66" s="656"/>
      <c r="N66" s="656"/>
      <c r="O66" s="4"/>
      <c r="P66" s="669"/>
      <c r="Q66" s="671"/>
      <c r="R66" s="227"/>
      <c r="S66" s="227"/>
      <c r="T66" s="227"/>
      <c r="U66" s="227"/>
      <c r="V66" s="227"/>
      <c r="W66" s="117"/>
      <c r="X66" s="117"/>
      <c r="Y66" s="235"/>
      <c r="Z66" s="235"/>
      <c r="AA66" s="235"/>
      <c r="AB66" s="213"/>
      <c r="AC66" s="243"/>
      <c r="AD66" s="243"/>
      <c r="AE66" s="243"/>
      <c r="AF66" s="243"/>
      <c r="AG66" s="235"/>
      <c r="AI66" s="235"/>
      <c r="AJ66" s="235"/>
      <c r="AN66" s="89"/>
      <c r="AO66" s="89"/>
      <c r="BV66" s="1"/>
      <c r="CS66" s="1"/>
      <c r="CY66"/>
      <c r="CZ66"/>
      <c r="DD66" s="244"/>
      <c r="DE66" s="244"/>
    </row>
    <row r="67" spans="1:109" ht="19" hidden="1" customHeight="1">
      <c r="A67" s="490" t="s">
        <v>112</v>
      </c>
      <c r="B67" s="490"/>
      <c r="C67" s="490"/>
      <c r="D67" s="490">
        <f>COUNTIF([0]!April,"Fagdag")+COUNTIF([0]!April,"emnedag")</f>
        <v>0</v>
      </c>
      <c r="E67" s="491"/>
      <c r="F67" s="490" t="s">
        <v>189</v>
      </c>
      <c r="G67" s="490">
        <f>COUNTIFS($B$9:$B$38,"fr",[0]!April,"Skema 1")</f>
        <v>3</v>
      </c>
      <c r="H67" s="490"/>
      <c r="I67" s="653" t="s">
        <v>592</v>
      </c>
      <c r="J67" s="650"/>
      <c r="K67" s="503"/>
      <c r="L67" s="653"/>
      <c r="M67" s="656"/>
      <c r="N67" s="656"/>
      <c r="O67" s="4"/>
      <c r="P67" s="669"/>
      <c r="Q67" s="671">
        <f>IF(Stamoplysninger!$B$26="Weekendtimer og weekendtillæg afspadseres.",EK40+EL40-EM40-EN40,0)</f>
        <v>0</v>
      </c>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t="19" hidden="1" customHeight="1">
      <c r="A68" s="494" t="s">
        <v>111</v>
      </c>
      <c r="B68" s="490"/>
      <c r="C68" s="490"/>
      <c r="D68" s="490">
        <f>COUNTIF([0]!April,"Lejrskole")+COUNTIF([0]!April,"Ekskursion")</f>
        <v>0</v>
      </c>
      <c r="E68" s="491"/>
      <c r="F68" s="490"/>
      <c r="G68" s="490"/>
      <c r="H68" s="490"/>
      <c r="I68" s="653" t="s">
        <v>593</v>
      </c>
      <c r="J68" s="653"/>
      <c r="K68" s="653"/>
      <c r="L68" s="653"/>
      <c r="M68" s="657"/>
      <c r="N68" s="657"/>
      <c r="O68" s="4"/>
      <c r="P68" s="670">
        <f>IF(Stamoplysninger!$B$26="Weekendtimer og weekendtillæg udbetales.",EO40+EP40-EQ40-ER40,0)</f>
        <v>0</v>
      </c>
      <c r="Q68" s="671"/>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t="19" hidden="1" customHeight="1">
      <c r="A69" s="490" t="s">
        <v>110</v>
      </c>
      <c r="B69" s="490"/>
      <c r="C69" s="490"/>
      <c r="D69" s="490">
        <f>COUNTIF([0]!April,"Pæd.dag")</f>
        <v>0</v>
      </c>
      <c r="E69" s="491"/>
      <c r="F69" s="490" t="s">
        <v>191</v>
      </c>
      <c r="G69" s="490">
        <f>COUNTIFS($B$9:$B$38,"ma",[0]!April,"Skema 2")</f>
        <v>0</v>
      </c>
      <c r="H69" s="490"/>
      <c r="I69" s="653" t="s">
        <v>594</v>
      </c>
      <c r="J69" s="653"/>
      <c r="K69" s="653"/>
      <c r="L69" s="653"/>
      <c r="M69" s="657"/>
      <c r="N69" s="657"/>
      <c r="O69" s="4"/>
      <c r="P69" s="669"/>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t="19" hidden="1" customHeight="1">
      <c r="A70" s="490" t="s">
        <v>120</v>
      </c>
      <c r="B70" s="490"/>
      <c r="C70" s="490"/>
      <c r="D70" s="490">
        <f>COUNTIF([0]!April,"Weekend")</f>
        <v>8</v>
      </c>
      <c r="E70" s="491"/>
      <c r="F70" s="490" t="s">
        <v>192</v>
      </c>
      <c r="G70" s="490">
        <f>COUNTIFS($B$9:$B$38,"ti",[0]!April,"Skema 2")</f>
        <v>0</v>
      </c>
      <c r="H70" s="490"/>
      <c r="I70" s="653" t="s">
        <v>595</v>
      </c>
      <c r="J70" s="653"/>
      <c r="K70" s="653"/>
      <c r="L70" s="653"/>
      <c r="M70" s="658"/>
      <c r="N70" s="658"/>
      <c r="O70" s="4"/>
      <c r="P70" s="669"/>
      <c r="Q70" s="672">
        <f>IF(Stamoplysninger!$B$26="Der er indgået lokalaftale omkring weekendtimer.(Kræver aftale med TR/FSL) Weekendtillæg afspadseres.",ES40+ET40-EU40-EV40,0)</f>
        <v>0</v>
      </c>
      <c r="R70" s="227"/>
      <c r="S70" s="227"/>
      <c r="T70" s="227"/>
      <c r="U70" s="227"/>
      <c r="V70" s="227"/>
      <c r="W70" s="117"/>
      <c r="X70" s="117"/>
      <c r="Y70"/>
      <c r="Z70"/>
      <c r="AM70" s="1"/>
      <c r="BJ70" s="1"/>
      <c r="BU70" s="244"/>
      <c r="BV70" s="244"/>
      <c r="CY70"/>
      <c r="CZ70"/>
    </row>
    <row r="71" spans="1:109" ht="19" hidden="1" customHeight="1">
      <c r="A71" s="490" t="s">
        <v>127</v>
      </c>
      <c r="B71" s="490"/>
      <c r="C71" s="490"/>
      <c r="D71" s="490">
        <f>COUNTIF([0]!April,"SH-dag")</f>
        <v>3</v>
      </c>
      <c r="E71" s="491"/>
      <c r="F71" s="490" t="s">
        <v>193</v>
      </c>
      <c r="G71" s="490">
        <f>COUNTIFS($B$9:$B$38,"on",[0]!April,"Skema 2")</f>
        <v>0</v>
      </c>
      <c r="H71" s="490"/>
      <c r="I71" s="653" t="s">
        <v>596</v>
      </c>
      <c r="J71" s="653"/>
      <c r="K71" s="653"/>
      <c r="L71" s="653"/>
      <c r="M71" s="658"/>
      <c r="N71" s="658"/>
      <c r="O71" s="4"/>
      <c r="P71" s="669">
        <f>IF(Stamoplysninger!$B$26="Der er indgået lokalaftale omkring weekendtimer(Kræver aftale med TR/FSL). Weekendtillæg udbetales.",EW40+EX40-EY40-EZ40,0)</f>
        <v>0</v>
      </c>
      <c r="Q71" s="671"/>
      <c r="R71" s="227"/>
      <c r="S71" s="227"/>
      <c r="T71" s="227"/>
      <c r="U71" s="227"/>
      <c r="V71" s="227"/>
      <c r="W71" s="117"/>
      <c r="X71" s="117"/>
      <c r="Y71"/>
      <c r="Z71"/>
      <c r="AM71" s="1"/>
      <c r="BJ71" s="1"/>
      <c r="BU71" s="244"/>
      <c r="BV71" s="244"/>
      <c r="CY71"/>
      <c r="CZ71"/>
    </row>
    <row r="72" spans="1:109" ht="19" hidden="1" customHeight="1">
      <c r="A72" s="490" t="s">
        <v>109</v>
      </c>
      <c r="B72" s="490"/>
      <c r="C72" s="490"/>
      <c r="D72" s="490">
        <f>COUNTIF([0]!April,"Feriedag")</f>
        <v>0</v>
      </c>
      <c r="E72" s="491"/>
      <c r="F72" s="490" t="s">
        <v>194</v>
      </c>
      <c r="G72" s="490">
        <f>COUNTIFS($B$9:$B$38,"to",[0]!April,"Skema 2")</f>
        <v>0</v>
      </c>
      <c r="H72" s="490"/>
      <c r="I72" s="653" t="s">
        <v>597</v>
      </c>
      <c r="J72" s="653"/>
      <c r="K72" s="653"/>
      <c r="L72" s="653"/>
      <c r="M72" s="658"/>
      <c r="N72" s="658"/>
      <c r="O72" s="4"/>
      <c r="P72" s="669"/>
      <c r="Q72" s="620">
        <f>IF(Stamoplysninger!$B$26="Der er indgået lokalaftale omkring weekendtillæg(Kræver aftale med TR/FSL). Weekendtimerne afspadseres.",FA40+FB40-FC40-FD40,0)</f>
        <v>0</v>
      </c>
      <c r="R72" s="40"/>
      <c r="S72" s="40"/>
      <c r="T72" s="40"/>
      <c r="Y72"/>
      <c r="Z72"/>
      <c r="AM72" s="1"/>
      <c r="BJ72" s="1"/>
      <c r="BU72" s="244"/>
      <c r="BV72" s="244"/>
      <c r="CY72"/>
      <c r="CZ72"/>
    </row>
    <row r="73" spans="1:109" ht="19" hidden="1" customHeight="1">
      <c r="A73" s="490" t="s">
        <v>178</v>
      </c>
      <c r="B73" s="490"/>
      <c r="C73" s="490"/>
      <c r="D73" s="490">
        <f>COUNTIF([0]!April,"Nul-dag")</f>
        <v>3</v>
      </c>
      <c r="E73" s="491"/>
      <c r="F73" s="490" t="s">
        <v>195</v>
      </c>
      <c r="G73" s="490">
        <f>COUNTIFS($B$9:$B$38,"fr",[0]!April,"Skema 2")</f>
        <v>0</v>
      </c>
      <c r="H73" s="490"/>
      <c r="I73" s="653" t="s">
        <v>598</v>
      </c>
      <c r="J73" s="653"/>
      <c r="K73" s="653"/>
      <c r="L73" s="653"/>
      <c r="M73" s="658"/>
      <c r="N73" s="658"/>
      <c r="O73" s="4"/>
      <c r="P73" s="669">
        <f>IF(Stamoplysninger!$B$26="Der er indgået lokalaftale omkring weekendtillæg(Kræver aftale med TR/FSL). Weekendtimerne udbetales.",FE40+FF40-FG40-FH40,0)</f>
        <v>0</v>
      </c>
      <c r="Q73" s="620"/>
      <c r="V73" t="s">
        <v>605</v>
      </c>
      <c r="Y73"/>
      <c r="Z73"/>
      <c r="AM73" s="1"/>
      <c r="BJ73" s="1"/>
      <c r="BU73" s="244"/>
      <c r="BV73" s="244"/>
      <c r="CY73"/>
      <c r="CZ73"/>
    </row>
    <row r="74" spans="1:109" ht="19" hidden="1" customHeight="1">
      <c r="A74" s="495" t="s">
        <v>415</v>
      </c>
      <c r="B74" s="490"/>
      <c r="C74" s="490"/>
      <c r="D74" s="490">
        <f>COUNTIF([0]!April,"Orlov")</f>
        <v>0</v>
      </c>
      <c r="E74" s="491"/>
      <c r="F74" s="496"/>
      <c r="G74" s="496"/>
      <c r="H74" s="496"/>
      <c r="I74" s="653" t="s">
        <v>604</v>
      </c>
      <c r="J74" s="653"/>
      <c r="K74" s="653"/>
      <c r="L74" s="653"/>
      <c r="M74" s="659"/>
      <c r="N74" s="659"/>
      <c r="O74" s="4"/>
      <c r="P74" s="652"/>
      <c r="R74">
        <f>IF(C9="ikke relevant",V9*-1+X9*-1,0)</f>
        <v>0</v>
      </c>
      <c r="S74" t="s">
        <v>610</v>
      </c>
      <c r="V74">
        <f>IF(C9="ikke relevant",R9*-1,0)</f>
        <v>0</v>
      </c>
      <c r="Y74"/>
      <c r="Z74"/>
      <c r="AM74" s="1"/>
      <c r="BJ74" s="1"/>
      <c r="BU74" s="244"/>
      <c r="BV74" s="244"/>
      <c r="CY74"/>
      <c r="CZ74"/>
    </row>
    <row r="75" spans="1:109" ht="19" hidden="1" customHeight="1">
      <c r="A75" s="490" t="s">
        <v>160</v>
      </c>
      <c r="B75" s="490"/>
      <c r="C75" s="490"/>
      <c r="D75" s="490">
        <f>COUNTIF([0]!April,"Ikke relevant")</f>
        <v>0</v>
      </c>
      <c r="E75" s="491"/>
      <c r="F75" s="490" t="s">
        <v>196</v>
      </c>
      <c r="G75" s="490">
        <f>COUNTIFS($B$9:$B$38,"ma",[0]!April,"Skema 3")</f>
        <v>0</v>
      </c>
      <c r="H75" s="490"/>
      <c r="I75" s="653"/>
      <c r="J75" s="653"/>
      <c r="K75" s="653"/>
      <c r="L75" s="503"/>
      <c r="M75" s="659"/>
      <c r="N75" s="659"/>
      <c r="O75" s="4"/>
      <c r="P75" s="652"/>
      <c r="R75">
        <f>IF(C10="ikke relevant",V10*-1+X10*-1,0)</f>
        <v>0</v>
      </c>
      <c r="V75">
        <f>IF(C10="ikke relevant",R10*-1,0)</f>
        <v>0</v>
      </c>
      <c r="Y75" s="384">
        <f>IF(Stamoplysninger!B26="Der er indgået lokalaftale omkring weekendtillæg. Weekendtimerne udbetales.",April!#REF!,0)</f>
        <v>0</v>
      </c>
      <c r="Z75" s="384"/>
      <c r="AA75" s="384"/>
      <c r="AB75" s="385"/>
      <c r="AC75" s="122"/>
      <c r="AD75" s="122"/>
      <c r="AE75" s="227"/>
      <c r="AG75" s="227"/>
      <c r="AH75" s="227"/>
      <c r="AI75" s="227"/>
      <c r="AJ75" s="117"/>
      <c r="AK75" s="117"/>
      <c r="BA75" s="1"/>
      <c r="BX75" s="1"/>
      <c r="CI75" s="244"/>
      <c r="CJ75" s="244"/>
      <c r="CY75"/>
      <c r="CZ75"/>
    </row>
    <row r="76" spans="1:109" ht="19" hidden="1" customHeight="1">
      <c r="A76" s="490" t="s">
        <v>108</v>
      </c>
      <c r="B76" s="490"/>
      <c r="C76" s="490"/>
      <c r="D76" s="490">
        <f>SUM(D63:D75)</f>
        <v>30</v>
      </c>
      <c r="E76" s="490"/>
      <c r="F76" s="490" t="s">
        <v>197</v>
      </c>
      <c r="G76" s="490">
        <f>COUNTIFS($B$9:$B$38,"ti",[0]!April,"Skema 3")</f>
        <v>0</v>
      </c>
      <c r="H76" s="490"/>
      <c r="I76" s="653"/>
      <c r="J76" s="653"/>
      <c r="K76" s="653"/>
      <c r="L76" s="503"/>
      <c r="M76" s="659"/>
      <c r="N76" s="659"/>
      <c r="O76" s="4"/>
      <c r="P76" s="652"/>
      <c r="R76">
        <f t="shared" ref="R76:R104" si="39">IF(C11="ikke relevant",V11*-1+X11*-1,0)</f>
        <v>0</v>
      </c>
      <c r="V76">
        <f t="shared" ref="V76:V104" si="40">IF(C11="ikke relevant",R11*-1,0)</f>
        <v>0</v>
      </c>
      <c r="Y76"/>
      <c r="Z76"/>
      <c r="AO76" s="1"/>
      <c r="BL76" s="1"/>
      <c r="BW76" s="244"/>
      <c r="BX76" s="244"/>
      <c r="CY76"/>
      <c r="CZ76"/>
    </row>
    <row r="77" spans="1:109" ht="19" hidden="1" customHeight="1">
      <c r="A77" s="490" t="s">
        <v>239</v>
      </c>
      <c r="B77" s="490"/>
      <c r="C77" s="490"/>
      <c r="D77" s="490">
        <f>D76-D70-A86-D75</f>
        <v>22</v>
      </c>
      <c r="E77" s="497"/>
      <c r="F77" s="490" t="s">
        <v>198</v>
      </c>
      <c r="G77" s="490">
        <f>COUNTIFS($B$9:$B$38,"on",[0]!April,"Skema 3")</f>
        <v>0</v>
      </c>
      <c r="H77" s="490"/>
      <c r="I77" s="653"/>
      <c r="J77" s="653"/>
      <c r="K77" s="653"/>
      <c r="L77" s="503"/>
      <c r="M77" s="659"/>
      <c r="N77" s="659"/>
      <c r="O77" s="4"/>
      <c r="P77" s="652"/>
      <c r="R77">
        <f t="shared" si="39"/>
        <v>0</v>
      </c>
      <c r="V77">
        <f t="shared" si="40"/>
        <v>0</v>
      </c>
      <c r="Y77"/>
      <c r="Z77"/>
      <c r="AO77" s="1"/>
      <c r="BL77" s="1"/>
      <c r="BW77" s="244"/>
      <c r="BX77" s="244"/>
      <c r="CY77"/>
      <c r="CZ77"/>
    </row>
    <row r="78" spans="1:109" ht="19" hidden="1" customHeight="1">
      <c r="A78" s="490"/>
      <c r="B78" s="490"/>
      <c r="C78" s="490"/>
      <c r="D78" s="490"/>
      <c r="E78" s="490"/>
      <c r="F78" s="490" t="s">
        <v>199</v>
      </c>
      <c r="G78" s="490">
        <f>COUNTIFS($B$9:$B$38,"to",[0]!April,"Skema 3")</f>
        <v>0</v>
      </c>
      <c r="H78" s="490"/>
      <c r="I78" s="655"/>
      <c r="J78" s="653"/>
      <c r="K78" s="653"/>
      <c r="L78" s="503"/>
      <c r="M78" s="651"/>
      <c r="N78" s="651"/>
      <c r="O78" s="4"/>
      <c r="P78" s="652"/>
      <c r="R78">
        <f t="shared" si="39"/>
        <v>0</v>
      </c>
      <c r="V78">
        <f t="shared" si="40"/>
        <v>0</v>
      </c>
      <c r="Y78"/>
      <c r="Z78"/>
      <c r="AO78" s="1"/>
      <c r="BL78" s="1"/>
      <c r="BW78" s="244"/>
      <c r="BX78" s="244"/>
      <c r="CY78"/>
      <c r="CZ78"/>
    </row>
    <row r="79" spans="1:109" ht="19" hidden="1" customHeight="1">
      <c r="A79" s="490"/>
      <c r="B79" s="490"/>
      <c r="C79" s="490"/>
      <c r="D79" s="490"/>
      <c r="E79" s="490"/>
      <c r="F79" s="490" t="s">
        <v>200</v>
      </c>
      <c r="G79" s="490">
        <f>COUNTIFS($B$9:$B$38,"fr",[0]!April,"Skema 3")</f>
        <v>0</v>
      </c>
      <c r="H79" s="490"/>
      <c r="I79" s="498"/>
      <c r="J79" s="503"/>
      <c r="K79" s="503"/>
      <c r="L79" s="503"/>
      <c r="M79" s="4"/>
      <c r="N79" s="4"/>
      <c r="O79" s="4"/>
      <c r="P79" s="4"/>
      <c r="R79">
        <f t="shared" si="39"/>
        <v>0</v>
      </c>
      <c r="V79">
        <f t="shared" si="40"/>
        <v>0</v>
      </c>
      <c r="Y79"/>
      <c r="Z79"/>
      <c r="AO79" s="1"/>
      <c r="BL79" s="1"/>
      <c r="BW79" s="244"/>
      <c r="BX79" s="244"/>
      <c r="CY79"/>
      <c r="CZ79"/>
    </row>
    <row r="80" spans="1:109" ht="19" hidden="1" customHeight="1">
      <c r="A80" s="490" t="s">
        <v>292</v>
      </c>
      <c r="B80" s="490"/>
      <c r="C80" s="490"/>
      <c r="D80" s="490"/>
      <c r="E80" s="490"/>
      <c r="F80" s="490"/>
      <c r="G80" s="490"/>
      <c r="H80" s="490"/>
      <c r="I80" s="498"/>
      <c r="J80" s="503"/>
      <c r="K80" s="503"/>
      <c r="L80" s="503"/>
      <c r="M80" s="4"/>
      <c r="N80" s="4"/>
      <c r="O80" s="4"/>
      <c r="P80" s="4"/>
      <c r="R80">
        <f t="shared" si="39"/>
        <v>0</v>
      </c>
      <c r="V80">
        <f t="shared" si="40"/>
        <v>0</v>
      </c>
      <c r="Y80"/>
      <c r="Z80"/>
      <c r="AO80" s="1"/>
      <c r="BL80" s="1"/>
      <c r="BW80" s="244"/>
      <c r="BX80" s="244"/>
      <c r="CY80"/>
      <c r="CZ80"/>
    </row>
    <row r="81" spans="1:111" ht="19" hidden="1" customHeight="1">
      <c r="A81" s="490">
        <f>COUNTIF(C13:C14,"Skema 1")+COUNTIF(C13:C14,"Skema 2")+COUNTIF(C13:C14,"Skema 3")+COUNTIF(C13:C14,"Skema 4")+COUNTIF(C13:C14,"Fagdag")+COUNTIF(C13:C14,"Emnedag")+COUNTIF(C13:C14,"Lejrskole")+COUNTIF(C13:C14,"Ekskursion")+COUNTIF(C13:C14,"Pæd.dag")</f>
        <v>0</v>
      </c>
      <c r="B81" s="490"/>
      <c r="C81" s="490"/>
      <c r="D81" s="490"/>
      <c r="E81" s="490"/>
      <c r="F81" s="490" t="s">
        <v>201</v>
      </c>
      <c r="G81" s="490">
        <f>COUNTIFS($B$9:$B$38,"ma",[0]!April,"Skema 4")</f>
        <v>0</v>
      </c>
      <c r="H81" s="490"/>
      <c r="I81" s="498"/>
      <c r="J81" s="503"/>
      <c r="K81" s="503"/>
      <c r="L81" s="503"/>
      <c r="M81" s="4"/>
      <c r="N81" s="4"/>
      <c r="O81" s="4"/>
      <c r="P81" s="4"/>
      <c r="R81">
        <f t="shared" si="39"/>
        <v>0</v>
      </c>
      <c r="V81">
        <f t="shared" si="40"/>
        <v>0</v>
      </c>
      <c r="Y81"/>
      <c r="Z81"/>
      <c r="AO81" s="1"/>
      <c r="BL81" s="1"/>
      <c r="BW81" s="244"/>
      <c r="BX81" s="244"/>
      <c r="CY81"/>
      <c r="CZ81"/>
    </row>
    <row r="82" spans="1:111" ht="19" hidden="1" customHeight="1">
      <c r="A82" s="490">
        <f>COUNTIF(C20:C21,"Skema 1")+COUNTIF(C20:C21,"Skema 2")+COUNTIF(C20:C21,"Skema 3")+COUNTIF(C20:C21,"Skema 4")+COUNTIF(C20:C21,"Fagdag")+COUNTIF(C20:C21,"Emnedag")+COUNTIF(C20:C21,"Lejrskole")+COUNTIF(C20:C21,"Ekskursion")+COUNTIF(C20:C21,"Pæd.dag")</f>
        <v>0</v>
      </c>
      <c r="B82" s="490"/>
      <c r="C82" s="490"/>
      <c r="D82" s="490"/>
      <c r="E82" s="490"/>
      <c r="F82" s="490" t="s">
        <v>202</v>
      </c>
      <c r="G82" s="490">
        <f>COUNTIFS($B$9:$B$38,"ti",[0]!April,"Skema 4")</f>
        <v>0</v>
      </c>
      <c r="H82" s="490"/>
      <c r="I82" s="498"/>
      <c r="J82" s="503"/>
      <c r="K82" s="503"/>
      <c r="L82" s="503"/>
      <c r="M82" s="4"/>
      <c r="N82" s="4"/>
      <c r="O82" s="4"/>
      <c r="P82" s="4"/>
      <c r="R82">
        <f t="shared" si="39"/>
        <v>0</v>
      </c>
      <c r="V82">
        <f t="shared" si="40"/>
        <v>0</v>
      </c>
      <c r="Y82"/>
      <c r="Z82"/>
      <c r="AO82" s="1"/>
      <c r="BL82" s="1"/>
      <c r="BW82" s="244"/>
      <c r="BX82" s="244"/>
      <c r="CY82"/>
      <c r="CZ82"/>
    </row>
    <row r="83" spans="1:111" ht="19" hidden="1" customHeight="1">
      <c r="A83" s="490">
        <f>COUNTIF(C27:C28,"Skema 1")+COUNTIF(C27:C28,"Skema 2")+COUNTIF(C27:C28,"Skema 3")+COUNTIF(C27:C28,"Skema 4")+COUNTIF(C27:C28,"Fagdag")+COUNTIF(C27:C28,"Emnedag")+COUNTIF(C27:C28,"Lejrskole")+COUNTIF(C27:C28,"Ekskursion")+COUNTIF(C27:C28,"Pæd.dag")</f>
        <v>0</v>
      </c>
      <c r="B83" s="490"/>
      <c r="C83" s="490"/>
      <c r="D83" s="490"/>
      <c r="E83" s="490"/>
      <c r="F83" s="490" t="s">
        <v>203</v>
      </c>
      <c r="G83" s="490">
        <f>COUNTIFS($B$9:$B$38,"on",[0]!April,"Skema 4")</f>
        <v>0</v>
      </c>
      <c r="H83" s="490"/>
      <c r="I83" s="498"/>
      <c r="J83" s="503"/>
      <c r="K83" s="503"/>
      <c r="L83" s="503"/>
      <c r="M83" s="4"/>
      <c r="N83" s="4"/>
      <c r="O83" s="4"/>
      <c r="P83" s="4"/>
      <c r="R83">
        <f t="shared" si="39"/>
        <v>0</v>
      </c>
      <c r="V83">
        <f t="shared" si="40"/>
        <v>0</v>
      </c>
      <c r="Y83"/>
      <c r="Z83"/>
      <c r="AO83" s="1"/>
      <c r="BL83" s="1"/>
      <c r="BW83" s="244"/>
      <c r="BX83" s="244"/>
      <c r="CY83"/>
      <c r="CZ83"/>
    </row>
    <row r="84" spans="1:111" ht="19" hidden="1" customHeight="1">
      <c r="A84" s="490">
        <f>COUNTIF(C34:C35,"Skema 1")+COUNTIF(C34:C35,"Skema 2")+COUNTIF(C34:C35,"Skema 3")+COUNTIF(C34:C35,"Skema 4")+COUNTIF(C34:C35,"Fagdag")+COUNTIF(C34:C35,"Emnedag")+COUNTIF(C34:C35,"Lejrskole")+COUNTIF(C34:C35,"Ekskursion")+COUNTIF(C34:C35,"Pæd.dag")</f>
        <v>0</v>
      </c>
      <c r="B84" s="490"/>
      <c r="C84" s="490"/>
      <c r="D84" s="490"/>
      <c r="E84" s="490"/>
      <c r="F84" s="490" t="s">
        <v>204</v>
      </c>
      <c r="G84" s="490">
        <f>COUNTIFS($B$9:$B$38,"to",[0]!April,"Skema 4")</f>
        <v>0</v>
      </c>
      <c r="H84" s="490"/>
      <c r="I84" s="498"/>
      <c r="J84" s="503"/>
      <c r="K84" s="503"/>
      <c r="L84" s="503"/>
      <c r="M84" s="4"/>
      <c r="N84" s="4"/>
      <c r="O84" s="4"/>
      <c r="P84" s="4"/>
      <c r="R84">
        <f t="shared" si="39"/>
        <v>0</v>
      </c>
      <c r="V84">
        <f t="shared" si="40"/>
        <v>0</v>
      </c>
      <c r="Y84"/>
      <c r="Z84"/>
      <c r="AO84" s="1">
        <f>SUM(N84:AN84)</f>
        <v>0</v>
      </c>
      <c r="BL84" s="1">
        <f>SUM(AI84:BK84)</f>
        <v>0</v>
      </c>
      <c r="BW84" s="244"/>
      <c r="BX84" s="244"/>
      <c r="CY84"/>
      <c r="CZ84"/>
    </row>
    <row r="85" spans="1:111" ht="19" hidden="1" customHeight="1">
      <c r="A85" s="490"/>
      <c r="B85" s="490"/>
      <c r="C85" s="490"/>
      <c r="D85" s="490"/>
      <c r="E85" s="490"/>
      <c r="F85" s="490" t="s">
        <v>205</v>
      </c>
      <c r="G85" s="490">
        <f>COUNTIFS($B$9:$B$38,"fr",[0]!April,"Skema 4")</f>
        <v>0</v>
      </c>
      <c r="H85" s="490"/>
      <c r="I85" s="490"/>
      <c r="J85" s="493"/>
      <c r="K85" s="493"/>
      <c r="L85" s="40"/>
      <c r="R85">
        <f t="shared" si="39"/>
        <v>0</v>
      </c>
      <c r="V85">
        <f t="shared" si="40"/>
        <v>0</v>
      </c>
      <c r="Y85"/>
      <c r="Z85"/>
      <c r="AO85" s="1">
        <f>SUM(N85:AN85)</f>
        <v>0</v>
      </c>
      <c r="BL85" s="1">
        <f>SUM(AI85:BK85)</f>
        <v>0</v>
      </c>
      <c r="BW85" s="244"/>
      <c r="BX85" s="244"/>
      <c r="CY85"/>
      <c r="CZ85"/>
    </row>
    <row r="86" spans="1:111" ht="19" hidden="1" customHeight="1">
      <c r="A86" s="490">
        <f>SUM(A81:A85)</f>
        <v>0</v>
      </c>
      <c r="B86" s="490"/>
      <c r="C86" s="490"/>
      <c r="D86" s="490"/>
      <c r="E86" s="490"/>
      <c r="F86" s="490"/>
      <c r="G86" s="495">
        <f>SUM(G63:G85)</f>
        <v>16</v>
      </c>
      <c r="H86" s="493"/>
      <c r="I86" s="490"/>
      <c r="J86" s="493"/>
      <c r="K86" s="493"/>
      <c r="L86" s="40"/>
      <c r="R86">
        <f t="shared" si="39"/>
        <v>0</v>
      </c>
      <c r="V86">
        <f t="shared" si="40"/>
        <v>0</v>
      </c>
      <c r="Y86"/>
      <c r="Z86"/>
      <c r="AO86" s="1">
        <f>SUM(N86:AN86)</f>
        <v>0</v>
      </c>
      <c r="BL86" s="1">
        <f>SUM(AI86:BK86)</f>
        <v>0</v>
      </c>
      <c r="BW86" s="244"/>
      <c r="BX86" s="244"/>
      <c r="CY86"/>
      <c r="CZ86"/>
    </row>
    <row r="87" spans="1:111" ht="19" hidden="1" customHeight="1">
      <c r="A87" s="493"/>
      <c r="B87" s="493"/>
      <c r="C87" s="493"/>
      <c r="D87" s="493"/>
      <c r="E87" s="490"/>
      <c r="F87" s="490"/>
      <c r="G87" s="490"/>
      <c r="H87" s="40"/>
      <c r="I87" s="493"/>
      <c r="J87" s="493"/>
      <c r="K87" s="493"/>
      <c r="L87" s="40"/>
      <c r="R87">
        <f t="shared" si="39"/>
        <v>0</v>
      </c>
      <c r="V87">
        <f t="shared" si="40"/>
        <v>0</v>
      </c>
      <c r="Y87"/>
      <c r="Z87"/>
      <c r="AO87" s="1">
        <f>SUM(N87:AN87)</f>
        <v>0</v>
      </c>
      <c r="BL87" s="1">
        <f>SUM(AI87:BK87)</f>
        <v>0</v>
      </c>
      <c r="BW87" s="244"/>
      <c r="BX87" s="244"/>
      <c r="CY87"/>
      <c r="CZ87"/>
    </row>
    <row r="88" spans="1:111" hidden="1">
      <c r="A88" s="493"/>
      <c r="B88" s="493"/>
      <c r="C88" s="493"/>
      <c r="D88" s="493"/>
      <c r="E88" s="490"/>
      <c r="F88" s="490"/>
      <c r="G88" s="490"/>
      <c r="H88" s="40"/>
      <c r="I88" s="40"/>
      <c r="J88" s="493"/>
      <c r="K88" s="493"/>
      <c r="L88" s="40"/>
      <c r="R88">
        <f t="shared" si="39"/>
        <v>0</v>
      </c>
      <c r="V88">
        <f t="shared" si="40"/>
        <v>0</v>
      </c>
      <c r="Y88"/>
      <c r="Z88"/>
      <c r="BW88" s="244"/>
      <c r="BX88" s="244"/>
      <c r="CY88"/>
      <c r="CZ88"/>
    </row>
    <row r="89" spans="1:111" hidden="1">
      <c r="A89" s="493"/>
      <c r="B89" s="493"/>
      <c r="C89" s="493"/>
      <c r="D89" s="493"/>
      <c r="E89" s="490"/>
      <c r="F89" s="490"/>
      <c r="G89" s="490"/>
      <c r="H89" s="40"/>
      <c r="I89" s="40"/>
      <c r="J89" s="40"/>
      <c r="K89" s="40"/>
      <c r="L89" s="40"/>
      <c r="R89">
        <f t="shared" si="39"/>
        <v>0</v>
      </c>
      <c r="V89">
        <f t="shared" si="40"/>
        <v>0</v>
      </c>
      <c r="Y89"/>
      <c r="Z89"/>
      <c r="BW89" s="244"/>
      <c r="BX89" s="244"/>
      <c r="CY89"/>
      <c r="CZ89"/>
    </row>
    <row r="90" spans="1:111" hidden="1">
      <c r="A90" s="493"/>
      <c r="B90" s="493"/>
      <c r="C90" s="493"/>
      <c r="D90" s="493"/>
      <c r="E90" s="490"/>
      <c r="F90" s="490"/>
      <c r="G90" s="490"/>
      <c r="H90" s="40"/>
      <c r="I90" s="40"/>
      <c r="J90" s="40"/>
      <c r="K90" s="40"/>
      <c r="L90" s="40"/>
      <c r="R90">
        <f t="shared" si="39"/>
        <v>0</v>
      </c>
      <c r="V90">
        <f t="shared" si="40"/>
        <v>0</v>
      </c>
      <c r="Y90"/>
      <c r="Z90"/>
      <c r="BW90" s="244"/>
      <c r="BX90" s="244"/>
      <c r="CY90"/>
      <c r="CZ90"/>
    </row>
    <row r="91" spans="1:111" hidden="1">
      <c r="A91" s="493"/>
      <c r="B91" s="493"/>
      <c r="C91" s="493"/>
      <c r="D91" s="493"/>
      <c r="E91" s="490"/>
      <c r="F91" s="490"/>
      <c r="G91" s="490"/>
      <c r="I91" s="40"/>
      <c r="J91" s="40"/>
      <c r="K91" s="40"/>
      <c r="L91" s="40"/>
      <c r="R91">
        <f t="shared" si="39"/>
        <v>0</v>
      </c>
      <c r="V91">
        <f t="shared" si="40"/>
        <v>0</v>
      </c>
      <c r="Y91"/>
      <c r="Z91"/>
      <c r="BW91" s="244"/>
      <c r="BX91" s="244"/>
      <c r="CY91"/>
      <c r="CZ91"/>
    </row>
    <row r="92" spans="1:111" hidden="1">
      <c r="A92" s="439"/>
      <c r="B92" s="439"/>
      <c r="C92" s="439"/>
      <c r="D92" s="439"/>
      <c r="E92" s="117"/>
      <c r="F92" s="117"/>
      <c r="G92" s="117"/>
      <c r="I92" s="40"/>
      <c r="J92" s="40"/>
      <c r="K92" s="40"/>
      <c r="L92" s="40"/>
      <c r="R92">
        <f t="shared" si="39"/>
        <v>0</v>
      </c>
      <c r="V92">
        <f t="shared" si="40"/>
        <v>0</v>
      </c>
      <c r="Y92"/>
      <c r="Z92"/>
      <c r="BW92" s="244"/>
      <c r="BX92" s="244"/>
      <c r="CY92"/>
      <c r="CZ92"/>
    </row>
    <row r="93" spans="1:111" hidden="1">
      <c r="A93" s="439"/>
      <c r="B93" s="439"/>
      <c r="C93" s="439"/>
      <c r="D93" s="439"/>
      <c r="E93" s="117"/>
      <c r="F93" s="117"/>
      <c r="G93" s="117"/>
      <c r="I93" s="40"/>
      <c r="J93" s="40"/>
      <c r="K93" s="40"/>
      <c r="L93" s="40"/>
      <c r="R93">
        <f t="shared" si="39"/>
        <v>0</v>
      </c>
      <c r="V93">
        <f t="shared" si="40"/>
        <v>0</v>
      </c>
      <c r="Y93"/>
      <c r="Z93"/>
      <c r="AD93" s="4"/>
      <c r="AE93" s="228"/>
      <c r="AF93" s="228"/>
      <c r="AG93" s="228"/>
      <c r="AH93" s="228"/>
      <c r="CY93"/>
      <c r="CZ93"/>
      <c r="DF93" s="244"/>
      <c r="DG93" s="244"/>
    </row>
    <row r="94" spans="1:111" hidden="1">
      <c r="A94" s="439"/>
      <c r="B94" s="439"/>
      <c r="C94" s="439"/>
      <c r="D94" s="439"/>
      <c r="E94" s="117"/>
      <c r="F94" s="117"/>
      <c r="G94" s="117"/>
      <c r="I94" s="40"/>
      <c r="J94" s="40"/>
      <c r="K94" s="40"/>
      <c r="L94" s="40"/>
      <c r="R94">
        <f t="shared" si="39"/>
        <v>0</v>
      </c>
      <c r="V94">
        <f t="shared" si="40"/>
        <v>0</v>
      </c>
      <c r="Y94"/>
      <c r="Z94"/>
      <c r="AD94" s="4"/>
      <c r="AE94" s="228"/>
      <c r="AF94" s="228"/>
      <c r="AG94" s="228"/>
      <c r="AH94" s="228"/>
      <c r="CY94"/>
      <c r="CZ94"/>
      <c r="DF94" s="244"/>
      <c r="DG94" s="244"/>
    </row>
    <row r="95" spans="1:111" hidden="1">
      <c r="E95" s="89"/>
      <c r="F95" s="89"/>
      <c r="G95" s="89"/>
      <c r="I95" s="40"/>
      <c r="J95" s="40"/>
      <c r="K95" s="40"/>
      <c r="L95" s="40"/>
      <c r="R95">
        <f t="shared" si="39"/>
        <v>0</v>
      </c>
      <c r="V95">
        <f t="shared" si="40"/>
        <v>0</v>
      </c>
    </row>
    <row r="96" spans="1:111" hidden="1">
      <c r="E96" s="89"/>
      <c r="F96" s="89"/>
      <c r="G96" s="89"/>
      <c r="I96" s="40"/>
      <c r="J96" s="40"/>
      <c r="K96" s="40"/>
      <c r="L96" s="40"/>
      <c r="R96">
        <f t="shared" si="39"/>
        <v>0</v>
      </c>
      <c r="V96">
        <f t="shared" si="40"/>
        <v>0</v>
      </c>
    </row>
    <row r="97" spans="9:22" hidden="1">
      <c r="I97" s="40"/>
      <c r="J97" s="40"/>
      <c r="K97" s="40"/>
      <c r="L97" s="40"/>
      <c r="R97">
        <f t="shared" si="39"/>
        <v>0</v>
      </c>
      <c r="V97">
        <f t="shared" si="40"/>
        <v>0</v>
      </c>
    </row>
    <row r="98" spans="9:22" hidden="1">
      <c r="I98" s="40"/>
      <c r="J98" s="40"/>
      <c r="K98" s="40"/>
      <c r="L98" s="40"/>
      <c r="R98">
        <f t="shared" si="39"/>
        <v>0</v>
      </c>
      <c r="V98">
        <f t="shared" si="40"/>
        <v>0</v>
      </c>
    </row>
    <row r="99" spans="9:22" hidden="1">
      <c r="I99" s="40"/>
      <c r="J99" s="40"/>
      <c r="K99" s="40"/>
      <c r="L99" s="439"/>
      <c r="R99">
        <f t="shared" si="39"/>
        <v>0</v>
      </c>
      <c r="V99">
        <f t="shared" si="40"/>
        <v>0</v>
      </c>
    </row>
    <row r="100" spans="9:22" hidden="1">
      <c r="I100" s="40"/>
      <c r="J100" s="40"/>
      <c r="K100" s="40"/>
      <c r="L100" s="439"/>
      <c r="R100">
        <f t="shared" si="39"/>
        <v>0</v>
      </c>
      <c r="V100">
        <f t="shared" si="40"/>
        <v>0</v>
      </c>
    </row>
    <row r="101" spans="9:22" hidden="1">
      <c r="I101" s="40"/>
      <c r="J101" s="40"/>
      <c r="K101" s="40"/>
      <c r="L101" s="439"/>
      <c r="R101">
        <f t="shared" si="39"/>
        <v>0</v>
      </c>
      <c r="V101">
        <f t="shared" si="40"/>
        <v>0</v>
      </c>
    </row>
    <row r="102" spans="9:22" hidden="1">
      <c r="I102" s="439"/>
      <c r="J102" s="40"/>
      <c r="K102" s="40"/>
      <c r="L102" s="439"/>
      <c r="R102">
        <f t="shared" si="39"/>
        <v>0</v>
      </c>
      <c r="V102">
        <f t="shared" si="40"/>
        <v>0</v>
      </c>
    </row>
    <row r="103" spans="9:22" hidden="1">
      <c r="I103" s="439"/>
      <c r="J103" s="439"/>
      <c r="K103" s="439"/>
      <c r="L103" s="439"/>
      <c r="R103">
        <f t="shared" si="39"/>
        <v>0</v>
      </c>
      <c r="V103">
        <f t="shared" si="40"/>
        <v>0</v>
      </c>
    </row>
    <row r="104" spans="9:22" ht="17" hidden="1" thickBot="1">
      <c r="I104" s="439"/>
      <c r="J104" s="439"/>
      <c r="K104" s="439"/>
      <c r="L104" s="439"/>
      <c r="R104">
        <f t="shared" si="39"/>
        <v>0</v>
      </c>
      <c r="V104">
        <f t="shared" si="40"/>
        <v>0</v>
      </c>
    </row>
    <row r="105" spans="9:22" ht="17" hidden="1" thickBot="1">
      <c r="I105" s="439"/>
      <c r="J105" s="439"/>
      <c r="K105" s="439"/>
      <c r="L105" s="439"/>
      <c r="R105" s="684">
        <f>SUM(R74:R104)+FB40</f>
        <v>0</v>
      </c>
      <c r="V105">
        <f>SUM(V74:V104)</f>
        <v>0</v>
      </c>
    </row>
    <row r="106" spans="9:22">
      <c r="I106" s="439"/>
      <c r="J106" s="439"/>
      <c r="K106" s="439"/>
      <c r="L106" s="439"/>
    </row>
  </sheetData>
  <sheetProtection sheet="1" objects="1" scenarios="1"/>
  <mergeCells count="173">
    <mergeCell ref="FQ8:FR8"/>
    <mergeCell ref="DS8:DV8"/>
    <mergeCell ref="DZ8:EB8"/>
    <mergeCell ref="EG8:EI8"/>
    <mergeCell ref="EM8:EN8"/>
    <mergeCell ref="EQ8:ER8"/>
    <mergeCell ref="EU8:EV8"/>
    <mergeCell ref="FC8:FD8"/>
    <mergeCell ref="FG8:FH8"/>
    <mergeCell ref="FK8:FL8"/>
    <mergeCell ref="EY8:EZ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 ref="A48:H48"/>
    <mergeCell ref="I48:K48"/>
    <mergeCell ref="A44:G44"/>
    <mergeCell ref="A47:H47"/>
    <mergeCell ref="I47:K47"/>
    <mergeCell ref="V44:X44"/>
    <mergeCell ref="M45:U45"/>
    <mergeCell ref="V45:X45"/>
    <mergeCell ref="M46:X46"/>
    <mergeCell ref="M47:U47"/>
    <mergeCell ref="V47:X47"/>
    <mergeCell ref="M48:U48"/>
    <mergeCell ref="V48:X48"/>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E24:G24"/>
    <mergeCell ref="E25:G25"/>
    <mergeCell ref="E26:G26"/>
    <mergeCell ref="E27:G27"/>
    <mergeCell ref="E28:G28"/>
    <mergeCell ref="E32:G32"/>
    <mergeCell ref="A42:G42"/>
    <mergeCell ref="E33:G33"/>
    <mergeCell ref="E34:G34"/>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A3:X3"/>
    <mergeCell ref="N6:N7"/>
    <mergeCell ref="O6:O7"/>
    <mergeCell ref="B2:E2"/>
    <mergeCell ref="E4:G4"/>
    <mergeCell ref="K4:L4"/>
    <mergeCell ref="A5:R5"/>
    <mergeCell ref="A4:D4"/>
    <mergeCell ref="I8:J8"/>
    <mergeCell ref="K8:R8"/>
    <mergeCell ref="I6:I7"/>
    <mergeCell ref="J6:J7"/>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5:G35"/>
    <mergeCell ref="E23:G23"/>
  </mergeCells>
  <phoneticPr fontId="5" type="noConversion"/>
  <conditionalFormatting sqref="A9:H9 D10:H31 A10:C38 D32:E32 H32 D33:H38">
    <cfRule type="expression" dxfId="555" priority="41">
      <formula>OR($C9="ekskursion")</formula>
    </cfRule>
    <cfRule type="expression" dxfId="554" priority="47" stopIfTrue="1">
      <formula>OR($C9="Orlov")</formula>
    </cfRule>
    <cfRule type="expression" dxfId="553" priority="46">
      <formula>OR($C9="weekend")</formula>
    </cfRule>
    <cfRule type="expression" dxfId="552" priority="45">
      <formula>OR($C9="feriedag")</formula>
    </cfRule>
    <cfRule type="expression" dxfId="551" priority="44">
      <formula>OR($C9="fagdag")</formula>
    </cfRule>
    <cfRule type="expression" dxfId="550" priority="43">
      <formula>OR($C9="emnedag")</formula>
    </cfRule>
    <cfRule type="expression" dxfId="549" priority="42">
      <formula>OR($C9="lejrskole")</formula>
    </cfRule>
    <cfRule type="expression" dxfId="548" priority="40">
      <formula>OR($C9="SH-dag")</formula>
    </cfRule>
    <cfRule type="expression" dxfId="547" priority="39">
      <formula>OR($C9="nul-dag")</formula>
    </cfRule>
    <cfRule type="expression" dxfId="546" priority="38">
      <formula>OR($C9="pæd.dag")</formula>
    </cfRule>
    <cfRule type="expression" dxfId="545" priority="37">
      <formula>OR($C9="Ikke relevant")</formula>
    </cfRule>
    <cfRule type="expression" dxfId="544" priority="33">
      <formula>OR($C9="Skema 1")</formula>
    </cfRule>
    <cfRule type="expression" dxfId="543" priority="34">
      <formula>OR($C9="skema 2")</formula>
    </cfRule>
    <cfRule type="expression" dxfId="542" priority="35">
      <formula>OR($C9="Skema 3")</formula>
    </cfRule>
    <cfRule type="expression" dxfId="541" priority="36">
      <formula>OR($C9="Skema 4")</formula>
    </cfRule>
  </conditionalFormatting>
  <conditionalFormatting sqref="E20">
    <cfRule type="expression" dxfId="540" priority="49">
      <formula>OR($D19="nul-dag")</formula>
    </cfRule>
    <cfRule type="expression" dxfId="539" priority="50">
      <formula>OR($D19="SH-dag")</formula>
    </cfRule>
    <cfRule type="expression" dxfId="538" priority="51">
      <formula>OR($D19="ekskursion")</formula>
    </cfRule>
    <cfRule type="expression" dxfId="537" priority="52">
      <formula>OR($D19="lejrskole")</formula>
    </cfRule>
    <cfRule type="expression" dxfId="536" priority="48">
      <formula>OR($D19="pæd.dag")</formula>
    </cfRule>
    <cfRule type="expression" dxfId="535" priority="53">
      <formula>OR($D19="emnedag")</formula>
    </cfRule>
    <cfRule type="expression" dxfId="534" priority="54">
      <formula>OR($D19="fagdag")</formula>
    </cfRule>
    <cfRule type="expression" dxfId="533" priority="55">
      <formula>OR($D19="feriedag")</formula>
    </cfRule>
    <cfRule type="expression" dxfId="532" priority="56">
      <formula>OR($D19="weekend")</formula>
    </cfRule>
    <cfRule type="expression" dxfId="531" priority="57" stopIfTrue="1">
      <formula>OR($D19="skoledag")</formula>
    </cfRule>
    <cfRule type="expression" dxfId="530" priority="58">
      <formula>OR($D19="Ikke relevant")</formula>
    </cfRule>
  </conditionalFormatting>
  <conditionalFormatting sqref="H57:H60">
    <cfRule type="expression" dxfId="529" priority="1">
      <formula>OR($A57&gt;0,)</formula>
    </cfRule>
  </conditionalFormatting>
  <conditionalFormatting sqref="I57:I60">
    <cfRule type="expression" dxfId="528" priority="2">
      <formula>OR($C57&gt;0,)</formula>
    </cfRule>
  </conditionalFormatting>
  <conditionalFormatting sqref="K9:K38">
    <cfRule type="expression" dxfId="527" priority="30">
      <formula>OR($C9="Pæd.dag",)</formula>
    </cfRule>
  </conditionalFormatting>
  <conditionalFormatting sqref="K9:L38">
    <cfRule type="expression" dxfId="526" priority="32">
      <formula>OR($C9="Ekskursion",)</formula>
    </cfRule>
    <cfRule type="expression" dxfId="525" priority="31">
      <formula>OR($C9="Lejrskole",)</formula>
    </cfRule>
  </conditionalFormatting>
  <conditionalFormatting sqref="K9:M38">
    <cfRule type="expression" dxfId="524" priority="29">
      <formula>OR($C9="emnedag",)</formula>
    </cfRule>
    <cfRule type="expression" dxfId="523" priority="28">
      <formula>OR($C9="fagdag",)</formula>
    </cfRule>
  </conditionalFormatting>
  <conditionalFormatting sqref="R9:R38">
    <cfRule type="expression" dxfId="522" priority="59">
      <formula>OR($H9&gt;"0",)</formula>
    </cfRule>
  </conditionalFormatting>
  <conditionalFormatting sqref="V9:V38">
    <cfRule type="expression" dxfId="521" priority="10">
      <formula>OR($S9="X",)</formula>
    </cfRule>
  </conditionalFormatting>
  <conditionalFormatting sqref="V48:X51">
    <cfRule type="expression" dxfId="520" priority="3">
      <formula>OR($M48&gt;0,)</formula>
    </cfRule>
  </conditionalFormatting>
  <conditionalFormatting sqref="W9:W38">
    <cfRule type="expression" dxfId="519" priority="8">
      <formula>OR($T9="X",)</formula>
    </cfRule>
  </conditionalFormatting>
  <conditionalFormatting sqref="X9:X38">
    <cfRule type="expression" dxfId="518" priority="9">
      <formula>OR($U9="X",)</formula>
    </cfRule>
  </conditionalFormatting>
  <dataValidations count="3">
    <dataValidation type="list" allowBlank="1" showInputMessage="1" showErrorMessage="1" sqref="S9:U38 A57:D60" xr:uid="{6C7E9F36-C5DB-A948-BC25-9131908838E7}">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5:I29 I20:I21 I34:I35 I13:I14" xr:uid="{32B16C4D-1D61-5842-B83B-CF621443D18A}">
      <formula1>$W$1:$W$2</formula1>
    </dataValidation>
    <dataValidation type="list" allowBlank="1" showInputMessage="1" showErrorMessage="1" promptTitle="OBS:" prompt="Ved arrangementer med overnatning ydes istedet for ulempe- og weekendgodtgørelse på hhv. 25% og 50% faste tillæg pr. påbegyndt dag. " sqref="J9:J38" xr:uid="{ED1638E6-AA03-1A48-AF1C-42685E3401FF}">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August!$A$89:$A$103</xm:f>
          </x14:formula1>
          <xm:sqref>C9:C38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GC108"/>
  <sheetViews>
    <sheetView topLeftCell="A10" zoomScale="90" workbookViewId="0">
      <selection activeCell="GL32" sqref="GL32"/>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5</v>
      </c>
      <c r="B2" s="1101"/>
      <c r="C2" s="1101"/>
      <c r="D2" s="1101"/>
      <c r="E2" s="1101"/>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0" t="s">
        <v>309</v>
      </c>
      <c r="B3" s="1131"/>
      <c r="C3" s="1131"/>
      <c r="D3" s="1131"/>
      <c r="E3" s="1131"/>
      <c r="F3" s="1131"/>
      <c r="G3" s="1131"/>
      <c r="H3" s="1131"/>
      <c r="I3" s="1131"/>
      <c r="J3" s="1131"/>
      <c r="K3" s="1131"/>
      <c r="L3" s="1131"/>
      <c r="M3" s="1131"/>
      <c r="N3" s="1131"/>
      <c r="O3" s="1131"/>
      <c r="P3" s="1131"/>
      <c r="Q3" s="1131"/>
      <c r="R3" s="1131"/>
      <c r="S3" s="1131"/>
      <c r="T3" s="1131"/>
      <c r="U3" s="1131"/>
      <c r="V3" s="1131"/>
      <c r="W3" s="1131"/>
      <c r="X3" s="1132"/>
      <c r="Y3" s="89"/>
      <c r="Z3"/>
      <c r="AC3" s="89"/>
      <c r="AD3" s="89"/>
      <c r="AF3" s="89"/>
      <c r="CT3" s="244"/>
      <c r="CU3" s="244"/>
      <c r="CY3"/>
      <c r="CZ3"/>
      <c r="FI3" s="893" t="s">
        <v>623</v>
      </c>
      <c r="FJ3" s="894"/>
      <c r="FK3" s="894"/>
      <c r="FL3" s="894"/>
      <c r="FM3" s="894"/>
      <c r="FN3" s="894"/>
      <c r="FO3" s="894"/>
      <c r="FP3" s="894"/>
      <c r="FQ3" s="894"/>
      <c r="FR3" s="894"/>
      <c r="FS3" s="894"/>
      <c r="FT3" s="894"/>
      <c r="FU3" s="894"/>
      <c r="FV3" s="894"/>
      <c r="FW3" s="894"/>
      <c r="FX3" s="894"/>
      <c r="FY3" s="894"/>
      <c r="FZ3" s="894"/>
      <c r="GA3" s="894"/>
      <c r="GB3" s="894"/>
      <c r="GC3" s="895"/>
    </row>
    <row r="4" spans="1:185" ht="254" customHeight="1" thickBot="1">
      <c r="A4" s="930" t="s">
        <v>431</v>
      </c>
      <c r="B4" s="931"/>
      <c r="C4" s="931"/>
      <c r="D4" s="931"/>
      <c r="E4" s="935" t="s">
        <v>310</v>
      </c>
      <c r="F4" s="935"/>
      <c r="G4" s="935"/>
      <c r="H4" s="276" t="s">
        <v>413</v>
      </c>
      <c r="I4" s="432" t="s">
        <v>466</v>
      </c>
      <c r="J4" s="432" t="s">
        <v>467</v>
      </c>
      <c r="K4" s="946" t="s">
        <v>514</v>
      </c>
      <c r="L4" s="946"/>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5" t="s">
        <v>621</v>
      </c>
      <c r="FJ4" s="745"/>
      <c r="FK4" s="745"/>
      <c r="FL4" s="745"/>
      <c r="FM4" t="s">
        <v>614</v>
      </c>
      <c r="FO4" s="745" t="s">
        <v>620</v>
      </c>
      <c r="FP4" s="745"/>
      <c r="FQ4" s="745"/>
      <c r="FR4" s="745"/>
    </row>
    <row r="5" spans="1:185" ht="26" customHeight="1" thickBot="1">
      <c r="A5" s="947" t="str">
        <f>""&amp;A7&amp;" måneds kalender for: "&amp;Stamoplysninger!E8&amp;". Måneden vedr. normperioden: "&amp;Stamoplysninger!E11&amp;" - "&amp;Stamoplysninger!G11&amp;"."</f>
        <v>Maj måneds kalender for: . Måneden vedr. normperioden:  - .</v>
      </c>
      <c r="B5" s="948"/>
      <c r="C5" s="948"/>
      <c r="D5" s="948"/>
      <c r="E5" s="948"/>
      <c r="F5" s="948"/>
      <c r="G5" s="948"/>
      <c r="H5" s="948"/>
      <c r="I5" s="948"/>
      <c r="J5" s="948"/>
      <c r="K5" s="948"/>
      <c r="L5" s="948"/>
      <c r="M5" s="948"/>
      <c r="N5" s="948"/>
      <c r="O5" s="948"/>
      <c r="P5" s="948"/>
      <c r="Q5" s="948"/>
      <c r="R5" s="948"/>
      <c r="S5" s="940" t="s">
        <v>305</v>
      </c>
      <c r="T5" s="941"/>
      <c r="U5" s="941"/>
      <c r="V5" s="941"/>
      <c r="W5" s="941"/>
      <c r="X5" s="942"/>
      <c r="Y5" s="242"/>
      <c r="Z5" s="89"/>
      <c r="AB5" s="89"/>
      <c r="AC5" s="89"/>
      <c r="AH5" s="89"/>
      <c r="AI5" s="89"/>
      <c r="CX5" s="244"/>
      <c r="CZ5"/>
      <c r="FI5" s="896" t="s">
        <v>607</v>
      </c>
      <c r="FJ5" s="896"/>
      <c r="FK5" s="896"/>
      <c r="FL5" s="896"/>
      <c r="FM5" s="896"/>
      <c r="FN5" s="896"/>
      <c r="FO5" s="896"/>
      <c r="FP5" s="896"/>
      <c r="FQ5" s="896"/>
      <c r="FR5" s="896"/>
      <c r="FU5" t="s">
        <v>622</v>
      </c>
      <c r="FV5" t="s">
        <v>615</v>
      </c>
      <c r="FX5" t="s">
        <v>616</v>
      </c>
      <c r="FZ5" t="s">
        <v>617</v>
      </c>
      <c r="GB5" s="518" t="s">
        <v>618</v>
      </c>
    </row>
    <row r="6" spans="1:185" ht="47" customHeight="1">
      <c r="A6" s="324">
        <f>Januar!A6</f>
        <v>2025</v>
      </c>
      <c r="B6" s="238"/>
      <c r="C6" s="239"/>
      <c r="D6" s="240"/>
      <c r="E6" s="955" t="s">
        <v>470</v>
      </c>
      <c r="F6" s="956"/>
      <c r="G6" s="957"/>
      <c r="H6" s="321" t="s">
        <v>323</v>
      </c>
      <c r="I6" s="903" t="s">
        <v>465</v>
      </c>
      <c r="J6" s="953" t="s">
        <v>486</v>
      </c>
      <c r="K6" s="949" t="s">
        <v>302</v>
      </c>
      <c r="L6" s="950"/>
      <c r="M6" s="322" t="s">
        <v>303</v>
      </c>
      <c r="N6" s="903" t="s">
        <v>446</v>
      </c>
      <c r="O6" s="903" t="s">
        <v>307</v>
      </c>
      <c r="P6" s="903" t="s">
        <v>455</v>
      </c>
      <c r="Q6" s="903" t="s">
        <v>386</v>
      </c>
      <c r="R6" s="906" t="s">
        <v>515</v>
      </c>
      <c r="S6" s="968" t="s">
        <v>304</v>
      </c>
      <c r="T6" s="969"/>
      <c r="U6" s="969"/>
      <c r="V6" s="969"/>
      <c r="W6" s="969"/>
      <c r="X6" s="970"/>
      <c r="Y6" s="211"/>
      <c r="Z6" s="211"/>
      <c r="AA6" s="905" t="s">
        <v>261</v>
      </c>
      <c r="AB6" s="905"/>
      <c r="AC6" s="905"/>
      <c r="AD6" s="905"/>
      <c r="AE6" s="905"/>
      <c r="AF6" s="208"/>
      <c r="AG6" s="905" t="s">
        <v>222</v>
      </c>
      <c r="AH6" s="905"/>
      <c r="AI6" s="905"/>
      <c r="AJ6" s="905"/>
      <c r="AK6" s="905"/>
      <c r="AL6" s="905" t="s">
        <v>223</v>
      </c>
      <c r="AM6" s="905"/>
      <c r="AN6" s="905"/>
      <c r="AO6" s="905"/>
      <c r="AP6" s="905"/>
      <c r="AQ6" s="905" t="s">
        <v>224</v>
      </c>
      <c r="AR6" s="905"/>
      <c r="AS6" s="905"/>
      <c r="AT6" s="905"/>
      <c r="AU6" s="905"/>
      <c r="AV6" s="905" t="s">
        <v>225</v>
      </c>
      <c r="AW6" s="905"/>
      <c r="AX6" s="905"/>
      <c r="AY6" s="905"/>
      <c r="AZ6" s="905"/>
      <c r="BA6" s="295"/>
      <c r="BB6" s="208"/>
      <c r="BC6" s="905" t="s">
        <v>264</v>
      </c>
      <c r="BD6" s="905"/>
      <c r="BE6" s="905"/>
      <c r="BF6" s="905"/>
      <c r="BG6" s="905" t="s">
        <v>227</v>
      </c>
      <c r="BH6" s="905"/>
      <c r="BI6" s="905"/>
      <c r="BJ6" s="905"/>
      <c r="BK6" s="905"/>
      <c r="BL6" s="905" t="s">
        <v>228</v>
      </c>
      <c r="BM6" s="905"/>
      <c r="BN6" s="905"/>
      <c r="BO6" s="905"/>
      <c r="BP6" s="905"/>
      <c r="BQ6" s="905" t="s">
        <v>229</v>
      </c>
      <c r="BR6" s="905"/>
      <c r="BS6" s="905"/>
      <c r="BT6" s="905"/>
      <c r="BU6" s="905"/>
      <c r="BV6" s="905" t="s">
        <v>230</v>
      </c>
      <c r="BW6" s="905"/>
      <c r="BX6" s="905"/>
      <c r="BY6" s="905"/>
      <c r="BZ6" s="905"/>
      <c r="CD6" s="905" t="s">
        <v>265</v>
      </c>
      <c r="CE6" s="905"/>
      <c r="CF6" s="905"/>
      <c r="CG6" s="905"/>
      <c r="CH6" s="905"/>
      <c r="CI6" s="905" t="s">
        <v>267</v>
      </c>
      <c r="CJ6" s="905"/>
      <c r="CK6" s="905"/>
      <c r="CL6" s="905"/>
      <c r="CM6" s="905"/>
      <c r="CN6" s="905" t="s">
        <v>266</v>
      </c>
      <c r="CO6" s="905"/>
      <c r="CP6" s="905"/>
      <c r="CQ6" s="905"/>
      <c r="CR6" s="905"/>
      <c r="CS6" s="905" t="s">
        <v>268</v>
      </c>
      <c r="CT6" s="905"/>
      <c r="CU6" s="905"/>
      <c r="CV6" s="905"/>
      <c r="CW6" s="905"/>
      <c r="CX6" s="244"/>
      <c r="CZ6"/>
      <c r="DA6" s="745" t="s">
        <v>212</v>
      </c>
      <c r="DB6" s="745"/>
      <c r="DC6" s="745"/>
      <c r="DD6" s="745"/>
      <c r="DE6" s="745"/>
      <c r="DO6" s="1064" t="s">
        <v>319</v>
      </c>
      <c r="DP6" s="1065"/>
      <c r="DQ6" s="1065"/>
      <c r="DR6" s="1065"/>
      <c r="DS6" s="1065"/>
      <c r="DT6" s="1065"/>
      <c r="DU6" s="1065"/>
      <c r="DV6" s="1066"/>
      <c r="DW6" s="1067" t="s">
        <v>319</v>
      </c>
      <c r="DX6" s="1068"/>
      <c r="DY6" s="1068"/>
      <c r="DZ6" s="1068"/>
      <c r="EA6" s="1068"/>
      <c r="EB6" s="1069"/>
      <c r="EC6" s="1070" t="s">
        <v>375</v>
      </c>
      <c r="ED6" s="1071"/>
      <c r="EE6" s="1071"/>
      <c r="EF6" s="1071"/>
      <c r="EG6" s="1071"/>
      <c r="EH6" s="1071"/>
      <c r="EI6" s="1071"/>
      <c r="EJ6" s="1072"/>
      <c r="EK6" s="1073" t="s">
        <v>320</v>
      </c>
      <c r="EL6" s="1074"/>
      <c r="EM6" s="1074"/>
      <c r="EN6" s="1075"/>
      <c r="EO6" s="1073" t="s">
        <v>324</v>
      </c>
      <c r="EP6" s="1074"/>
      <c r="EQ6" s="1074"/>
      <c r="ER6" s="1075"/>
      <c r="ES6" s="888" t="s">
        <v>378</v>
      </c>
      <c r="ET6" s="889"/>
      <c r="EU6" s="889"/>
      <c r="EV6" s="890"/>
      <c r="EW6" s="888" t="s">
        <v>379</v>
      </c>
      <c r="EX6" s="889"/>
      <c r="EY6" s="889"/>
      <c r="EZ6" s="890"/>
      <c r="FA6" s="888" t="s">
        <v>380</v>
      </c>
      <c r="FB6" s="889"/>
      <c r="FC6" s="889"/>
      <c r="FD6" s="890"/>
      <c r="FE6" s="888" t="s">
        <v>381</v>
      </c>
      <c r="FF6" s="889"/>
      <c r="FG6" s="889"/>
      <c r="FH6" s="890"/>
      <c r="FI6" s="898" t="s">
        <v>592</v>
      </c>
      <c r="FJ6" s="899"/>
      <c r="FK6" s="899"/>
      <c r="FL6" s="1076"/>
      <c r="FM6" s="897" t="s">
        <v>380</v>
      </c>
      <c r="FN6" s="897"/>
      <c r="FO6" s="898" t="s">
        <v>619</v>
      </c>
      <c r="FP6" s="899"/>
      <c r="FQ6" s="899"/>
      <c r="FR6" s="900"/>
      <c r="FS6" s="901" t="s">
        <v>609</v>
      </c>
      <c r="FT6" s="902"/>
      <c r="FU6" t="s">
        <v>612</v>
      </c>
      <c r="FV6" s="897" t="s">
        <v>378</v>
      </c>
      <c r="FW6" s="897"/>
      <c r="FX6" s="897" t="s">
        <v>379</v>
      </c>
      <c r="FY6" s="897"/>
      <c r="FZ6" s="897" t="s">
        <v>381</v>
      </c>
      <c r="GA6" s="897"/>
      <c r="GB6" s="897" t="s">
        <v>377</v>
      </c>
      <c r="GC6" s="897"/>
    </row>
    <row r="7" spans="1:185" ht="193" customHeight="1">
      <c r="A7" s="1012" t="s">
        <v>287</v>
      </c>
      <c r="B7" s="1013"/>
      <c r="C7" s="1013"/>
      <c r="D7" s="1014"/>
      <c r="E7" s="958"/>
      <c r="F7" s="959"/>
      <c r="G7" s="960"/>
      <c r="H7" s="967" t="s">
        <v>485</v>
      </c>
      <c r="I7" s="952"/>
      <c r="J7" s="954"/>
      <c r="K7" s="323" t="s">
        <v>516</v>
      </c>
      <c r="L7" s="323" t="s">
        <v>517</v>
      </c>
      <c r="M7" s="323" t="s">
        <v>518</v>
      </c>
      <c r="N7" s="904"/>
      <c r="O7" s="904"/>
      <c r="P7" s="904"/>
      <c r="Q7" s="904"/>
      <c r="R7" s="907"/>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1015"/>
      <c r="B8" s="1016"/>
      <c r="C8" s="1016"/>
      <c r="D8" s="1017"/>
      <c r="E8" s="961"/>
      <c r="F8" s="962"/>
      <c r="G8" s="963"/>
      <c r="H8" s="904"/>
      <c r="I8" s="943" t="s">
        <v>382</v>
      </c>
      <c r="J8" s="951"/>
      <c r="K8" s="943" t="s">
        <v>325</v>
      </c>
      <c r="L8" s="944"/>
      <c r="M8" s="944"/>
      <c r="N8" s="944"/>
      <c r="O8" s="944"/>
      <c r="P8" s="944"/>
      <c r="Q8" s="944"/>
      <c r="R8" s="944"/>
      <c r="S8" s="971" t="s">
        <v>382</v>
      </c>
      <c r="T8" s="944"/>
      <c r="U8" s="951"/>
      <c r="V8" s="943" t="s">
        <v>383</v>
      </c>
      <c r="W8" s="944"/>
      <c r="X8" s="945"/>
      <c r="Y8" s="211"/>
      <c r="Z8" s="211"/>
      <c r="AA8" s="296"/>
      <c r="BB8" s="225"/>
      <c r="CA8" s="111"/>
      <c r="CB8" s="230"/>
      <c r="CC8" s="296"/>
      <c r="CX8" s="244"/>
      <c r="DA8" s="244"/>
      <c r="DB8" s="244"/>
      <c r="DC8" s="244"/>
      <c r="DD8" s="244"/>
      <c r="DE8" s="244"/>
      <c r="DF8" s="244"/>
      <c r="DG8" s="244"/>
      <c r="DH8" t="s">
        <v>492</v>
      </c>
      <c r="DI8" t="s">
        <v>493</v>
      </c>
      <c r="DJ8" t="s">
        <v>494</v>
      </c>
      <c r="DO8" s="643"/>
      <c r="DS8" s="1078" t="s">
        <v>162</v>
      </c>
      <c r="DT8" s="1078"/>
      <c r="DU8" s="1078"/>
      <c r="DV8" s="1079"/>
      <c r="DW8" s="643"/>
      <c r="DZ8" s="1080" t="s">
        <v>162</v>
      </c>
      <c r="EA8" s="1080"/>
      <c r="EB8" s="1081"/>
      <c r="EG8" s="1080" t="s">
        <v>162</v>
      </c>
      <c r="EH8" s="1080"/>
      <c r="EI8" s="1080"/>
      <c r="EJ8" s="644"/>
      <c r="EK8" s="279"/>
      <c r="EL8" s="247"/>
      <c r="EM8" s="891" t="s">
        <v>162</v>
      </c>
      <c r="EN8" s="892"/>
      <c r="EO8" s="279"/>
      <c r="EP8" s="247"/>
      <c r="EQ8" s="891" t="s">
        <v>162</v>
      </c>
      <c r="ER8" s="892"/>
      <c r="ES8" s="279"/>
      <c r="ET8" s="247"/>
      <c r="EU8" s="891" t="s">
        <v>162</v>
      </c>
      <c r="EV8" s="892"/>
      <c r="EW8" s="279"/>
      <c r="EX8" s="247"/>
      <c r="EY8" s="891" t="s">
        <v>162</v>
      </c>
      <c r="EZ8" s="892"/>
      <c r="FA8" s="279"/>
      <c r="FB8" s="247"/>
      <c r="FC8" s="891" t="s">
        <v>162</v>
      </c>
      <c r="FD8" s="892"/>
      <c r="FE8" s="279"/>
      <c r="FF8" s="247"/>
      <c r="FG8" s="891" t="s">
        <v>162</v>
      </c>
      <c r="FH8" s="892"/>
      <c r="FI8" s="279"/>
      <c r="FJ8" s="247"/>
      <c r="FK8" s="891" t="s">
        <v>162</v>
      </c>
      <c r="FL8" s="892"/>
      <c r="FN8" s="636" t="s">
        <v>160</v>
      </c>
      <c r="FO8" s="279"/>
      <c r="FP8" s="247"/>
      <c r="FQ8" s="891" t="s">
        <v>162</v>
      </c>
      <c r="FR8" s="1077"/>
      <c r="FS8" s="279"/>
      <c r="FT8" s="683" t="s">
        <v>160</v>
      </c>
      <c r="FW8" s="636" t="s">
        <v>160</v>
      </c>
      <c r="FY8" s="636" t="s">
        <v>160</v>
      </c>
      <c r="GA8" s="636" t="s">
        <v>160</v>
      </c>
      <c r="GC8" s="636" t="s">
        <v>160</v>
      </c>
    </row>
    <row r="9" spans="1:185">
      <c r="A9" s="241">
        <f>IF(ISNUMBER(A7),A7+1,1)</f>
        <v>1</v>
      </c>
      <c r="B9" s="127" t="str">
        <f t="shared" ref="B9:B39" si="0">CHOOSE(MOD(WEEKDAY(DATE(A$6,A$2,A9)),7)+1,"lø","sø","ma","ti","on","to","fr",)</f>
        <v>to</v>
      </c>
      <c r="C9" s="128" t="s">
        <v>206</v>
      </c>
      <c r="D9" s="129" t="str">
        <f t="shared" ref="D9:D39" si="1">IF(B9="ma",(DATE(A$6,A$2,A9)-DATE(A$6,1,1)+7)/7,"")</f>
        <v/>
      </c>
      <c r="E9" s="932"/>
      <c r="F9" s="933"/>
      <c r="G9" s="934"/>
      <c r="H9" s="294"/>
      <c r="I9" s="519"/>
      <c r="J9" s="407"/>
      <c r="K9" s="374"/>
      <c r="L9" s="374"/>
      <c r="M9" s="374"/>
      <c r="N9" s="313">
        <f>BA9</f>
        <v>0</v>
      </c>
      <c r="O9" s="313">
        <f>CA9</f>
        <v>0</v>
      </c>
      <c r="P9" s="313">
        <f>IF(Stamoplysninger!$H$29="JA",Maj!DG9,CX9)</f>
        <v>0</v>
      </c>
      <c r="Q9" s="313">
        <f>IF(OR(C9="Lejrskole",C9="Ekskursion"),0,N9-O9-P9)</f>
        <v>0</v>
      </c>
      <c r="R9" s="314"/>
      <c r="S9" s="319"/>
      <c r="T9" s="320"/>
      <c r="U9" s="320"/>
      <c r="V9" s="429"/>
      <c r="W9" s="406"/>
      <c r="X9" s="633"/>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f>IF(AND(C9="Skema 1",B9="to"),Arbejdstidsoversigt!$E$75,"")</f>
        <v>0</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9" si="8">SUM(AG9:AK9)*24</f>
        <v>0</v>
      </c>
      <c r="BC9" s="1">
        <f>IF($C$9="Lejrskole",$L$9,0)</f>
        <v>0</v>
      </c>
      <c r="BD9" s="1">
        <f t="shared" ref="BD9:BD39" si="9">IF(C9="Ekskursion",L9,0)</f>
        <v>0</v>
      </c>
      <c r="BE9" s="1">
        <f t="shared" ref="BE9:BE39" si="10">IF(C9="fagdag",L9,0)</f>
        <v>0</v>
      </c>
      <c r="BF9" s="1">
        <f t="shared" ref="BF9:BF39" si="11">IF(C9="emnedag",L9,0)</f>
        <v>0</v>
      </c>
      <c r="BG9" s="209" t="str">
        <f>IF(AND(C9="Skema 1",B9="ma"),Skemaoplysninger!$E$30,"")</f>
        <v/>
      </c>
      <c r="BH9" s="209" t="str">
        <f>IF(AND(C9="Skema 1",B9="ti"),Skemaoplysninger!$G$30,"")</f>
        <v/>
      </c>
      <c r="BI9" s="209" t="str">
        <f>IF(AND(C9="Skema 1",B9="on"),Skemaoplysninger!$I$30,"")</f>
        <v/>
      </c>
      <c r="BJ9" s="209">
        <f>IF(AND(C9="Skema 1",B9="to"),Skemaoplysninger!$K$30,"")</f>
        <v>0</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9" si="12">IF(C9="fagdag",M9,0)</f>
        <v>0</v>
      </c>
      <c r="CC9" s="1">
        <f t="shared" ref="CC9:CC39" si="13">IF(C9="emnedag",M9,0)</f>
        <v>0</v>
      </c>
      <c r="CD9" s="209" t="str">
        <f>IF(AND(C9="Skema 1",B9="ma"),Skemaoplysninger!$E$31,"")</f>
        <v/>
      </c>
      <c r="CE9" s="209" t="str">
        <f>IF(AND(C9="Skema 1",B9="ti"),Skemaoplysninger!$G$31,"")</f>
        <v/>
      </c>
      <c r="CF9" s="209" t="str">
        <f>IF(AND(C9="Skema 1",B9="on"),Skemaoplysninger!$I$31,"")</f>
        <v/>
      </c>
      <c r="CG9" s="209">
        <f>IF(AND(C9="Skema 1",B9="to"),Skemaoplysninger!$K$31,"")</f>
        <v>0</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4">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5">IF(AND(I9="X",S9="X"),V9,0)</f>
        <v>0</v>
      </c>
      <c r="FT9" s="649">
        <f t="shared" ref="FT9:FT37"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fr</v>
      </c>
      <c r="C10" s="128" t="s">
        <v>206</v>
      </c>
      <c r="D10" s="129" t="str">
        <f t="shared" si="1"/>
        <v/>
      </c>
      <c r="E10" s="932"/>
      <c r="F10" s="933"/>
      <c r="G10" s="934"/>
      <c r="H10" s="294"/>
      <c r="I10" s="519"/>
      <c r="J10" s="407"/>
      <c r="K10" s="374"/>
      <c r="L10" s="374"/>
      <c r="M10" s="374"/>
      <c r="N10" s="313">
        <f t="shared" ref="N10:N39" si="19">BA10</f>
        <v>0</v>
      </c>
      <c r="O10" s="313">
        <f t="shared" ref="O10:O39" si="20">CA10</f>
        <v>0</v>
      </c>
      <c r="P10" s="313">
        <f>IF(Stamoplysninger!$H$29="JA",Maj!DG10,CX10)</f>
        <v>0</v>
      </c>
      <c r="Q10" s="313">
        <f t="shared" ref="Q10:Q39" si="21">IF(OR(C10="Lejrskole",C10="Ekskursion"),0,N10-O10-P10)</f>
        <v>0</v>
      </c>
      <c r="R10" s="314"/>
      <c r="S10" s="319"/>
      <c r="T10" s="320"/>
      <c r="U10" s="320"/>
      <c r="V10" s="429"/>
      <c r="W10" s="406"/>
      <c r="X10" s="633"/>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f>IF(AND(C10="Skema 1",B10="fr"),Arbejdstidsoversigt!$E$76,"")</f>
        <v>0</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6">
        <f t="shared" si="8"/>
        <v>0</v>
      </c>
      <c r="BC10" s="1">
        <f t="shared" ref="BC10:BC39" si="24">IF(C10="Lejrskole",L10,0)</f>
        <v>0</v>
      </c>
      <c r="BD10" s="1">
        <f t="shared" si="9"/>
        <v>0</v>
      </c>
      <c r="BE10" s="1">
        <f t="shared" si="10"/>
        <v>0</v>
      </c>
      <c r="BF10" s="1">
        <f t="shared" si="11"/>
        <v>0</v>
      </c>
      <c r="BG10" s="209" t="str">
        <f>IF(AND(C10="Skema 1",B10="ma"),Skemaoplysninger!$E$30,"")</f>
        <v/>
      </c>
      <c r="BH10" s="209" t="str">
        <f>IF(AND(C10="Skema 1",B10="ti"),Skemaoplysninger!$G$30,"")</f>
        <v/>
      </c>
      <c r="BI10" s="209" t="str">
        <f>IF(AND(C10="Skema 1",B10="on"),Skemaoplysninger!$I$30,"")</f>
        <v/>
      </c>
      <c r="BJ10" s="209" t="str">
        <f>IF(AND(C10="Skema 1",B10="to"),Skemaoplysninger!$K$30,"")</f>
        <v/>
      </c>
      <c r="BK10" s="209">
        <f>IF(AND(C10="Skema 1",B10="fr"),Skemaoplysninger!$M$30,"")</f>
        <v>0</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9" si="25">SUM(BG10:BZ10)*24+SUM(BC10:BF10)</f>
        <v>0</v>
      </c>
      <c r="CB10" s="1">
        <f t="shared" si="12"/>
        <v>0</v>
      </c>
      <c r="CC10" s="1">
        <f t="shared" si="13"/>
        <v>0</v>
      </c>
      <c r="CD10" s="209" t="str">
        <f>IF(AND(C10="Skema 1",B10="ma"),Skemaoplysninger!$E$31,"")</f>
        <v/>
      </c>
      <c r="CE10" s="209" t="str">
        <f>IF(AND(C10="Skema 1",B10="ti"),Skemaoplysninger!$G$31,"")</f>
        <v/>
      </c>
      <c r="CF10" s="209" t="str">
        <f>IF(AND(C10="Skema 1",B10="on"),Skemaoplysninger!$I$31,"")</f>
        <v/>
      </c>
      <c r="CG10" s="209" t="str">
        <f>IF(AND(C10="Skema 1",B10="to"),Skemaoplysninger!$K$31,"")</f>
        <v/>
      </c>
      <c r="CH10" s="209">
        <f>IF(AND(C10="Skema 1",B10="fr"),Skemaoplysninger!$M$31,"")</f>
        <v>0</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lø</v>
      </c>
      <c r="C11" s="128" t="s">
        <v>120</v>
      </c>
      <c r="D11" s="129" t="str">
        <f t="shared" si="1"/>
        <v/>
      </c>
      <c r="E11" s="932"/>
      <c r="F11" s="933"/>
      <c r="G11" s="934"/>
      <c r="H11" s="294"/>
      <c r="I11" s="407"/>
      <c r="J11" s="407"/>
      <c r="K11" s="374"/>
      <c r="L11" s="374"/>
      <c r="M11" s="374"/>
      <c r="N11" s="313">
        <f t="shared" si="19"/>
        <v>0</v>
      </c>
      <c r="O11" s="313">
        <f t="shared" si="20"/>
        <v>0</v>
      </c>
      <c r="P11" s="313">
        <f>IF(Stamoplysninger!$H$29="JA",Maj!DG11,CX11)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t="str">
        <f>IF(AND(C11="Skema 1",B11="ma"),Skemaoplysninger!$E$30,"")</f>
        <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t="str">
        <f>IF(AND(C11="Skema 1",B11="ma"),Skemaoplysninger!$E$31,"")</f>
        <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sø</v>
      </c>
      <c r="C12" s="128" t="s">
        <v>120</v>
      </c>
      <c r="D12" s="129" t="str">
        <f t="shared" si="1"/>
        <v/>
      </c>
      <c r="E12" s="932"/>
      <c r="F12" s="933"/>
      <c r="G12" s="934"/>
      <c r="H12" s="294"/>
      <c r="I12" s="407"/>
      <c r="J12" s="407"/>
      <c r="K12" s="374"/>
      <c r="L12" s="374"/>
      <c r="M12" s="374"/>
      <c r="N12" s="313">
        <f t="shared" si="19"/>
        <v>0</v>
      </c>
      <c r="O12" s="313">
        <f t="shared" si="20"/>
        <v>0</v>
      </c>
      <c r="P12" s="313">
        <f>IF(Stamoplysninger!$H$29="JA",Maj!DG12,CX12)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t="str">
        <f>IF(AND(C12="Skema 1",B12="ti"),Skemaoplysninger!$G$30,"")</f>
        <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t="str">
        <f>IF(AND(C12="Skema 1",B12="ti"),Skemaoplysninger!$G$31,"")</f>
        <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ma</v>
      </c>
      <c r="C13" s="128" t="s">
        <v>206</v>
      </c>
      <c r="D13" s="129">
        <f t="shared" si="1"/>
        <v>18.714285714285715</v>
      </c>
      <c r="E13" s="932"/>
      <c r="F13" s="933"/>
      <c r="G13" s="934"/>
      <c r="H13" s="294"/>
      <c r="I13" s="609"/>
      <c r="J13" s="407"/>
      <c r="K13" s="374"/>
      <c r="L13" s="374"/>
      <c r="M13" s="374"/>
      <c r="N13" s="313">
        <f t="shared" si="19"/>
        <v>0</v>
      </c>
      <c r="O13" s="313">
        <f t="shared" si="20"/>
        <v>0</v>
      </c>
      <c r="P13" s="313">
        <f>IF(Stamoplysninger!$H$29="JA",Maj!DG13,CX13)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f>IF(AND(C13="Skema 1",B13="ma"),Arbejdstidsoversigt!$E$72,"")</f>
        <v>0</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f>IF(AND(C13="Skema 1",B13="ma"),Skemaoplysninger!$E$30,"")</f>
        <v>0</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f>IF(AND(C13="Skema 1",B13="ma"),Skemaoplysninger!$E$31,"")</f>
        <v>0</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ti</v>
      </c>
      <c r="C14" s="128" t="s">
        <v>206</v>
      </c>
      <c r="D14" s="129" t="str">
        <f t="shared" si="1"/>
        <v/>
      </c>
      <c r="E14" s="932"/>
      <c r="F14" s="933"/>
      <c r="G14" s="934"/>
      <c r="H14" s="294"/>
      <c r="I14" s="609"/>
      <c r="J14" s="407"/>
      <c r="K14" s="374"/>
      <c r="L14" s="374"/>
      <c r="M14" s="374"/>
      <c r="N14" s="313">
        <f t="shared" si="19"/>
        <v>0</v>
      </c>
      <c r="O14" s="313">
        <f t="shared" si="20"/>
        <v>0</v>
      </c>
      <c r="P14" s="313">
        <f>IF(Stamoplysninger!$H$29="JA",Maj!DG14,CX14)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f>IF(AND(C14="Skema 1",B14="ti"),Arbejdstidsoversigt!$E$73,"")</f>
        <v>0</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t="str">
        <f>IF(AND(C14="Skema 1",B14="ma"),Skemaoplysninger!$E$30,"")</f>
        <v/>
      </c>
      <c r="BH14" s="209">
        <f>IF(AND(C14="Skema 1",B14="ti"),Skemaoplysninger!$G$30,"")</f>
        <v>0</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t="str">
        <f>IF(AND(C14="Skema 1",B14="ma"),Skemaoplysninger!$E$31,"")</f>
        <v/>
      </c>
      <c r="CE14" s="209">
        <f>IF(AND(C14="Skema 1",B14="ti"),Skemaoplysninger!$G$31,"")</f>
        <v>0</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on</v>
      </c>
      <c r="C15" s="128" t="s">
        <v>206</v>
      </c>
      <c r="D15" s="129" t="str">
        <f t="shared" si="1"/>
        <v/>
      </c>
      <c r="E15" s="932"/>
      <c r="F15" s="933"/>
      <c r="G15" s="934"/>
      <c r="H15" s="294"/>
      <c r="I15" s="519"/>
      <c r="J15" s="407"/>
      <c r="K15" s="374"/>
      <c r="L15" s="374"/>
      <c r="M15" s="374"/>
      <c r="N15" s="313">
        <f t="shared" si="19"/>
        <v>0</v>
      </c>
      <c r="O15" s="313">
        <f t="shared" si="20"/>
        <v>0</v>
      </c>
      <c r="P15" s="313">
        <f>IF(Stamoplysninger!$H$29="JA",Maj!DG15,CX15)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f>IF(AND(C15="Skema 1",B15="on"),Arbejdstidsoversigt!$E$74,"")</f>
        <v>0</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t="str">
        <f>IF(AND(C15="Skema 1",B15="ma"),Skemaoplysninger!$E$30,"")</f>
        <v/>
      </c>
      <c r="BH15" s="209" t="str">
        <f>IF(AND(C15="Skema 1",B15="ti"),Skemaoplysninger!$G$30,"")</f>
        <v/>
      </c>
      <c r="BI15" s="209">
        <f>IF(AND(C15="Skema 1",B15="on"),Skemaoplysninger!$I$30,"")</f>
        <v>0</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t="str">
        <f>IF(AND(C15="Skema 1",B15="ma"),Skemaoplysninger!$E$31,"")</f>
        <v/>
      </c>
      <c r="CE15" s="209" t="str">
        <f>IF(AND(C15="Skema 1",B15="ti"),Skemaoplysninger!$G$31,"")</f>
        <v/>
      </c>
      <c r="CF15" s="209">
        <f>IF(AND(C15="Skema 1",B15="on"),Skemaoplysninger!$I$31,"")</f>
        <v>0</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to</v>
      </c>
      <c r="C16" s="128" t="s">
        <v>206</v>
      </c>
      <c r="D16" s="129" t="str">
        <f t="shared" si="1"/>
        <v/>
      </c>
      <c r="E16" s="932"/>
      <c r="F16" s="933"/>
      <c r="G16" s="934"/>
      <c r="H16" s="294"/>
      <c r="I16" s="609"/>
      <c r="J16" s="407"/>
      <c r="K16" s="374"/>
      <c r="L16" s="374"/>
      <c r="M16" s="374"/>
      <c r="N16" s="313">
        <f t="shared" si="19"/>
        <v>0</v>
      </c>
      <c r="O16" s="313">
        <f t="shared" si="20"/>
        <v>0</v>
      </c>
      <c r="P16" s="313">
        <f>IF(Stamoplysninger!$H$29="JA",Maj!DG16,CX16)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f>IF(AND(C16="Skema 1",B16="to"),Arbejdstidsoversigt!$E$75,"")</f>
        <v>0</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t="str">
        <f>IF(AND(C16="Skema 1",B16="ti"),Skemaoplysninger!$G$30,"")</f>
        <v/>
      </c>
      <c r="BI16" s="209" t="str">
        <f>IF(AND(C16="Skema 1",B16="on"),Skemaoplysninger!$I$30,"")</f>
        <v/>
      </c>
      <c r="BJ16" s="209">
        <f>IF(AND(C16="Skema 1",B16="to"),Skemaoplysninger!$K$30,"")</f>
        <v>0</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t="str">
        <f>IF(AND(C16="Skema 1",B16="ti"),Skemaoplysninger!$G$31,"")</f>
        <v/>
      </c>
      <c r="CF16" s="209" t="str">
        <f>IF(AND(C16="Skema 1",B16="on"),Skemaoplysninger!$I$31,"")</f>
        <v/>
      </c>
      <c r="CG16" s="209">
        <f>IF(AND(C16="Skema 1",B16="to"),Skemaoplysninger!$K$31,"")</f>
        <v>0</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4"/>
        <v/>
      </c>
      <c r="DL16" t="str">
        <f t="shared" si="14"/>
        <v/>
      </c>
      <c r="DM16" t="str">
        <f t="shared" si="14"/>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fr</v>
      </c>
      <c r="C17" s="128" t="s">
        <v>206</v>
      </c>
      <c r="D17" s="129" t="str">
        <f t="shared" si="1"/>
        <v/>
      </c>
      <c r="E17" s="932"/>
      <c r="F17" s="933"/>
      <c r="G17" s="934"/>
      <c r="H17" s="294"/>
      <c r="I17" s="609"/>
      <c r="J17" s="407"/>
      <c r="K17" s="374"/>
      <c r="L17" s="374"/>
      <c r="M17" s="374"/>
      <c r="N17" s="313">
        <f t="shared" si="19"/>
        <v>0</v>
      </c>
      <c r="O17" s="313">
        <f t="shared" si="20"/>
        <v>0</v>
      </c>
      <c r="P17" s="313">
        <f>IF(Stamoplysninger!$H$29="JA",Maj!DG17,CX17)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f>IF(AND(C17="Skema 1",B17="fr"),Arbejdstidsoversigt!$E$76,"")</f>
        <v>0</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t="str">
        <f>IF(AND(C17="Skema 1",B17="ma"),Skemaoplysninger!$E$30,"")</f>
        <v/>
      </c>
      <c r="BH17" s="209" t="str">
        <f>IF(AND(C17="Skema 1",B17="ti"),Skemaoplysninger!$G$30,"")</f>
        <v/>
      </c>
      <c r="BI17" s="209" t="str">
        <f>IF(AND(C17="Skema 1",B17="on"),Skemaoplysninger!$I$30,"")</f>
        <v/>
      </c>
      <c r="BJ17" s="209" t="str">
        <f>IF(AND(C17="Skema 1",B17="to"),Skemaoplysninger!$K$30,"")</f>
        <v/>
      </c>
      <c r="BK17" s="209">
        <f>IF(AND(C17="Skema 1",B17="fr"),Skemaoplysninger!$M$30,"")</f>
        <v>0</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t="str">
        <f>IF(AND(C17="Skema 1",B17="ma"),Skemaoplysninger!$E$31,"")</f>
        <v/>
      </c>
      <c r="CE17" s="209" t="str">
        <f>IF(AND(C17="Skema 1",B17="ti"),Skemaoplysninger!$G$31,"")</f>
        <v/>
      </c>
      <c r="CF17" s="209" t="str">
        <f>IF(AND(C17="Skema 1",B17="on"),Skemaoplysninger!$I$31,"")</f>
        <v/>
      </c>
      <c r="CG17" s="209" t="str">
        <f>IF(AND(C17="Skema 1",B17="to"),Skemaoplysninger!$K$31,"")</f>
        <v/>
      </c>
      <c r="CH17" s="209">
        <f>IF(AND(C17="Skema 1",B17="fr"),Skemaoplysninger!$M$31,"")</f>
        <v>0</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4"/>
        <v/>
      </c>
      <c r="DL17" t="str">
        <f t="shared" si="14"/>
        <v/>
      </c>
      <c r="DM17" t="str">
        <f t="shared" si="14"/>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lø</v>
      </c>
      <c r="C18" s="128" t="s">
        <v>120</v>
      </c>
      <c r="D18" s="129" t="str">
        <f t="shared" si="1"/>
        <v/>
      </c>
      <c r="E18" s="932"/>
      <c r="F18" s="933"/>
      <c r="G18" s="934"/>
      <c r="H18" s="294"/>
      <c r="I18" s="407"/>
      <c r="J18" s="407"/>
      <c r="K18" s="374"/>
      <c r="L18" s="374"/>
      <c r="M18" s="374"/>
      <c r="N18" s="313">
        <f t="shared" si="19"/>
        <v>0</v>
      </c>
      <c r="O18" s="313">
        <f t="shared" si="20"/>
        <v>0</v>
      </c>
      <c r="P18" s="313">
        <f>IF(Stamoplysninger!$H$29="JA",Maj!DG18,CX18)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t="str">
        <f>IF(AND(C18="Skema 1",B18="ma"),Skemaoplysninger!$E$30,"")</f>
        <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t="str">
        <f>IF(AND(C18="Skema 1",B18="ma"),Skemaoplysninger!$E$31,"")</f>
        <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4"/>
        <v/>
      </c>
      <c r="DL18" t="str">
        <f t="shared" si="14"/>
        <v/>
      </c>
      <c r="DM18" t="str">
        <f t="shared" si="14"/>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sø</v>
      </c>
      <c r="C19" s="128" t="s">
        <v>120</v>
      </c>
      <c r="D19" s="129" t="str">
        <f t="shared" si="1"/>
        <v/>
      </c>
      <c r="E19" s="932"/>
      <c r="F19" s="933"/>
      <c r="G19" s="934"/>
      <c r="H19" s="294"/>
      <c r="I19" s="407"/>
      <c r="J19" s="407"/>
      <c r="K19" s="374"/>
      <c r="L19" s="374"/>
      <c r="M19" s="374"/>
      <c r="N19" s="313">
        <f t="shared" si="19"/>
        <v>0</v>
      </c>
      <c r="O19" s="313">
        <f t="shared" si="20"/>
        <v>0</v>
      </c>
      <c r="P19" s="313">
        <f>IF(Stamoplysninger!$H$29="JA",Maj!DG19,CX19)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4"/>
        <v/>
      </c>
      <c r="DL19" t="str">
        <f t="shared" si="14"/>
        <v/>
      </c>
      <c r="DM19" t="str">
        <f t="shared" si="14"/>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ma</v>
      </c>
      <c r="C20" s="128" t="s">
        <v>206</v>
      </c>
      <c r="D20" s="129">
        <f t="shared" si="1"/>
        <v>19.714285714285715</v>
      </c>
      <c r="E20" s="932"/>
      <c r="F20" s="933"/>
      <c r="G20" s="934"/>
      <c r="H20" s="294"/>
      <c r="I20" s="609"/>
      <c r="J20" s="407"/>
      <c r="K20" s="374"/>
      <c r="L20" s="374"/>
      <c r="M20" s="374"/>
      <c r="N20" s="313">
        <f t="shared" si="19"/>
        <v>0</v>
      </c>
      <c r="O20" s="313">
        <f t="shared" si="20"/>
        <v>0</v>
      </c>
      <c r="P20" s="313">
        <f>IF(Stamoplysninger!$H$29="JA",Maj!DG20,CX20)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f>IF(AND(C20="Skema 1",B20="ma"),Arbejdstidsoversigt!$E$72,"")</f>
        <v>0</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f>IF(AND(C20="Skema 1",B20="ma"),Skemaoplysninger!$E$30,"")</f>
        <v>0</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f>IF(AND(C20="Skema 1",B20="ma"),Skemaoplysninger!$E$31,"")</f>
        <v>0</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ti</v>
      </c>
      <c r="C21" s="128" t="s">
        <v>206</v>
      </c>
      <c r="D21" s="129" t="str">
        <f t="shared" si="1"/>
        <v/>
      </c>
      <c r="E21" s="964"/>
      <c r="F21" s="965"/>
      <c r="G21" s="966"/>
      <c r="H21" s="293"/>
      <c r="I21" s="609"/>
      <c r="J21" s="407"/>
      <c r="K21" s="374"/>
      <c r="L21" s="374"/>
      <c r="M21" s="374"/>
      <c r="N21" s="313">
        <f t="shared" si="19"/>
        <v>0</v>
      </c>
      <c r="O21" s="313">
        <f t="shared" si="20"/>
        <v>0</v>
      </c>
      <c r="P21" s="313">
        <f>IF(Stamoplysninger!$H$29="JA",Maj!DG21,CX21)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f>IF(AND(C21="Skema 1",B21="ti"),Arbejdstidsoversigt!$E$73,"")</f>
        <v>0</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t="str">
        <f>IF(AND(C21="Skema 1",B21="ma"),Skemaoplysninger!$E$30,"")</f>
        <v/>
      </c>
      <c r="BH21" s="209">
        <f>IF(AND(C21="Skema 1",B21="ti"),Skemaoplysninger!$G$30,"")</f>
        <v>0</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t="str">
        <f>IF(AND(C21="Skema 1",B21="ma"),Skemaoplysninger!$E$31,"")</f>
        <v/>
      </c>
      <c r="CE21" s="209">
        <f>IF(AND(C21="Skema 1",B21="ti"),Skemaoplysninger!$G$31,"")</f>
        <v>0</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on</v>
      </c>
      <c r="C22" s="128" t="s">
        <v>206</v>
      </c>
      <c r="D22" s="129" t="str">
        <f t="shared" si="1"/>
        <v/>
      </c>
      <c r="E22" s="964"/>
      <c r="F22" s="965"/>
      <c r="G22" s="966"/>
      <c r="H22" s="293"/>
      <c r="I22" s="519"/>
      <c r="J22" s="407"/>
      <c r="K22" s="374"/>
      <c r="L22" s="374"/>
      <c r="M22" s="374"/>
      <c r="N22" s="313">
        <f t="shared" si="19"/>
        <v>0</v>
      </c>
      <c r="O22" s="313">
        <f t="shared" si="20"/>
        <v>0</v>
      </c>
      <c r="P22" s="313">
        <f>IF(Stamoplysninger!$H$29="JA",Maj!DG22,CX22)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f>IF(AND(C22="Skema 1",B22="on"),Arbejdstidsoversigt!$E$74,"")</f>
        <v>0</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t="str">
        <f>IF(AND(C22="Skema 1",B22="ti"),Skemaoplysninger!$G$30,"")</f>
        <v/>
      </c>
      <c r="BI22" s="209">
        <f>IF(AND(C22="Skema 1",B22="on"),Skemaoplysninger!$I$30,"")</f>
        <v>0</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t="str">
        <f>IF(AND(C22="Skema 1",B22="ti"),Skemaoplysninger!$G$31,"")</f>
        <v/>
      </c>
      <c r="CF22" s="209">
        <f>IF(AND(C22="Skema 1",B22="on"),Skemaoplysninger!$I$31,"")</f>
        <v>0</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4"/>
        <v/>
      </c>
      <c r="DL22" t="str">
        <f t="shared" si="14"/>
        <v/>
      </c>
      <c r="DM22" t="str">
        <f t="shared" si="14"/>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to</v>
      </c>
      <c r="C23" s="128" t="s">
        <v>206</v>
      </c>
      <c r="D23" s="129" t="str">
        <f t="shared" si="1"/>
        <v/>
      </c>
      <c r="E23" s="964"/>
      <c r="F23" s="965"/>
      <c r="G23" s="966"/>
      <c r="H23" s="293"/>
      <c r="I23" s="519"/>
      <c r="J23" s="407"/>
      <c r="K23" s="374"/>
      <c r="L23" s="374"/>
      <c r="M23" s="374"/>
      <c r="N23" s="313">
        <f t="shared" si="19"/>
        <v>0</v>
      </c>
      <c r="O23" s="313">
        <f t="shared" si="20"/>
        <v>0</v>
      </c>
      <c r="P23" s="313">
        <f>IF(Stamoplysninger!$H$29="JA",Maj!DG23,CX23)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f>IF(AND(C23="Skema 1",B23="to"),Arbejdstidsoversigt!$E$75,"")</f>
        <v>0</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t="str">
        <f>IF(AND(C23="Skema 1",B23="on"),Skemaoplysninger!$I$30,"")</f>
        <v/>
      </c>
      <c r="BJ23" s="209">
        <f>IF(AND(C23="Skema 1",B23="to"),Skemaoplysninger!$K$30,"")</f>
        <v>0</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t="str">
        <f>IF(AND(C23="Skema 1",B23="on"),Skemaoplysninger!$I$31,"")</f>
        <v/>
      </c>
      <c r="CG23" s="209">
        <f>IF(AND(C23="Skema 1",B23="to"),Skemaoplysninger!$K$31,"")</f>
        <v>0</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4"/>
        <v/>
      </c>
      <c r="DL23" t="str">
        <f t="shared" si="14"/>
        <v/>
      </c>
      <c r="DM23" t="str">
        <f t="shared" si="14"/>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fr</v>
      </c>
      <c r="C24" s="128" t="s">
        <v>206</v>
      </c>
      <c r="D24" s="129" t="str">
        <f t="shared" si="1"/>
        <v/>
      </c>
      <c r="E24" s="932"/>
      <c r="F24" s="933"/>
      <c r="G24" s="934"/>
      <c r="H24" s="294"/>
      <c r="I24" s="519"/>
      <c r="J24" s="407"/>
      <c r="K24" s="374"/>
      <c r="L24" s="374"/>
      <c r="M24" s="374"/>
      <c r="N24" s="313">
        <f t="shared" si="19"/>
        <v>0</v>
      </c>
      <c r="O24" s="313">
        <f t="shared" si="20"/>
        <v>0</v>
      </c>
      <c r="P24" s="313">
        <f>IF(Stamoplysninger!$H$29="JA",Maj!DG24,CX24)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f>IF(AND(C24="Skema 1",B24="fr"),Arbejdstidsoversigt!$E$76,"")</f>
        <v>0</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t="str">
        <f>IF(AND(C24="Skema 1",B24="ma"),Skemaoplysninger!$E$30,"")</f>
        <v/>
      </c>
      <c r="BH24" s="209" t="str">
        <f>IF(AND(C24="Skema 1",B24="ti"),Skemaoplysninger!$G$30,"")</f>
        <v/>
      </c>
      <c r="BI24" s="209" t="str">
        <f>IF(AND(C24="Skema 1",B24="on"),Skemaoplysninger!$I$30,"")</f>
        <v/>
      </c>
      <c r="BJ24" s="209" t="str">
        <f>IF(AND(C24="Skema 1",B24="to"),Skemaoplysninger!$K$30,"")</f>
        <v/>
      </c>
      <c r="BK24" s="209">
        <f>IF(AND(C24="Skema 1",B24="fr"),Skemaoplysninger!$M$30,"")</f>
        <v>0</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t="str">
        <f>IF(AND(C24="Skema 1",B24="ma"),Skemaoplysninger!$E$31,"")</f>
        <v/>
      </c>
      <c r="CE24" s="209" t="str">
        <f>IF(AND(C24="Skema 1",B24="ti"),Skemaoplysninger!$G$31,"")</f>
        <v/>
      </c>
      <c r="CF24" s="209" t="str">
        <f>IF(AND(C24="Skema 1",B24="on"),Skemaoplysninger!$I$31,"")</f>
        <v/>
      </c>
      <c r="CG24" s="209" t="str">
        <f>IF(AND(C24="Skema 1",B24="to"),Skemaoplysninger!$K$31,"")</f>
        <v/>
      </c>
      <c r="CH24" s="209">
        <f>IF(AND(C24="Skema 1",B24="fr"),Skemaoplysninger!$M$31,"")</f>
        <v>0</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4"/>
        <v/>
      </c>
      <c r="DL24" t="str">
        <f t="shared" si="14"/>
        <v/>
      </c>
      <c r="DM24" t="str">
        <f t="shared" si="14"/>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lø</v>
      </c>
      <c r="C25" s="128" t="s">
        <v>120</v>
      </c>
      <c r="D25" s="129" t="str">
        <f t="shared" si="1"/>
        <v/>
      </c>
      <c r="E25" s="932"/>
      <c r="F25" s="933"/>
      <c r="G25" s="934"/>
      <c r="H25" s="294"/>
      <c r="I25" s="407"/>
      <c r="J25" s="407"/>
      <c r="K25" s="374"/>
      <c r="L25" s="374"/>
      <c r="M25" s="374"/>
      <c r="N25" s="313">
        <f t="shared" si="19"/>
        <v>0</v>
      </c>
      <c r="O25" s="313">
        <f t="shared" si="20"/>
        <v>0</v>
      </c>
      <c r="P25" s="313">
        <f>IF(Stamoplysninger!$H$29="JA",Maj!DG25,CX25)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t="str">
        <f>IF(AND(C25="Skema 1",B25="ma"),Skemaoplysninger!$E$30,"")</f>
        <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t="str">
        <f>IF(AND(C25="Skema 1",B25="ma"),Skemaoplysninger!$E$31,"")</f>
        <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4"/>
        <v/>
      </c>
      <c r="DL25" t="str">
        <f t="shared" si="14"/>
        <v/>
      </c>
      <c r="DM25" t="str">
        <f t="shared" si="14"/>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sø</v>
      </c>
      <c r="C26" s="128" t="s">
        <v>120</v>
      </c>
      <c r="D26" s="129" t="str">
        <f t="shared" si="1"/>
        <v/>
      </c>
      <c r="E26" s="932"/>
      <c r="F26" s="933"/>
      <c r="G26" s="934"/>
      <c r="H26" s="294"/>
      <c r="I26" s="407"/>
      <c r="J26" s="407"/>
      <c r="K26" s="374"/>
      <c r="L26" s="374"/>
      <c r="M26" s="374"/>
      <c r="N26" s="313">
        <f t="shared" si="19"/>
        <v>0</v>
      </c>
      <c r="O26" s="313">
        <f t="shared" si="20"/>
        <v>0</v>
      </c>
      <c r="P26" s="313">
        <f>IF(Stamoplysninger!$H$29="JA",Maj!DG26,CX26)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4"/>
        <v/>
      </c>
      <c r="DL26" t="str">
        <f t="shared" si="14"/>
        <v/>
      </c>
      <c r="DM26" t="str">
        <f t="shared" si="14"/>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ma</v>
      </c>
      <c r="C27" s="128" t="s">
        <v>206</v>
      </c>
      <c r="D27" s="129">
        <f t="shared" si="1"/>
        <v>20.714285714285715</v>
      </c>
      <c r="E27" s="932"/>
      <c r="F27" s="933"/>
      <c r="G27" s="934"/>
      <c r="H27" s="294"/>
      <c r="I27" s="519"/>
      <c r="J27" s="407"/>
      <c r="K27" s="374"/>
      <c r="L27" s="374"/>
      <c r="M27" s="374"/>
      <c r="N27" s="313">
        <f t="shared" si="19"/>
        <v>0</v>
      </c>
      <c r="O27" s="313">
        <f t="shared" si="20"/>
        <v>0</v>
      </c>
      <c r="P27" s="313">
        <f>IF(Stamoplysninger!$H$29="JA",Maj!DG27,CX27)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f>IF(AND(C27="Skema 1",B27="ma"),Arbejdstidsoversigt!$E$72,"")</f>
        <v>0</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f>IF(AND(C27="Skema 1",B27="ma"),Skemaoplysninger!$E$30,"")</f>
        <v>0</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f>IF(AND(C27="Skema 1",B27="ma"),Skemaoplysninger!$E$31,"")</f>
        <v>0</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ti</v>
      </c>
      <c r="C28" s="128" t="s">
        <v>206</v>
      </c>
      <c r="D28" s="129" t="str">
        <f t="shared" si="1"/>
        <v/>
      </c>
      <c r="E28" s="932"/>
      <c r="F28" s="933"/>
      <c r="G28" s="934"/>
      <c r="H28" s="294"/>
      <c r="I28" s="519"/>
      <c r="J28" s="407"/>
      <c r="K28" s="374"/>
      <c r="L28" s="374"/>
      <c r="M28" s="374"/>
      <c r="N28" s="313">
        <f t="shared" si="19"/>
        <v>0</v>
      </c>
      <c r="O28" s="313">
        <f t="shared" si="20"/>
        <v>0</v>
      </c>
      <c r="P28" s="313">
        <f>IF(Stamoplysninger!$H$29="JA",Maj!DG28,CX28)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f>IF(AND(C28="Skema 1",B28="ti"),Arbejdstidsoversigt!$E$73,"")</f>
        <v>0</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t="str">
        <f>IF(AND(C28="Skema 1",B28="ma"),Skemaoplysninger!$E$30,"")</f>
        <v/>
      </c>
      <c r="BH28" s="209">
        <f>IF(AND(C28="Skema 1",B28="ti"),Skemaoplysninger!$G$30,"")</f>
        <v>0</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t="str">
        <f>IF(AND(C28="Skema 1",B28="ma"),Skemaoplysninger!$E$31,"")</f>
        <v/>
      </c>
      <c r="CE28" s="209">
        <f>IF(AND(C28="Skema 1",B28="ti"),Skemaoplysninger!$G$31,"")</f>
        <v>0</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on</v>
      </c>
      <c r="C29" s="128" t="s">
        <v>206</v>
      </c>
      <c r="D29" s="129" t="str">
        <f t="shared" si="1"/>
        <v/>
      </c>
      <c r="E29" s="932"/>
      <c r="F29" s="933"/>
      <c r="G29" s="934"/>
      <c r="H29" s="294"/>
      <c r="I29" s="519"/>
      <c r="J29" s="407"/>
      <c r="K29" s="374"/>
      <c r="L29" s="374"/>
      <c r="M29" s="374"/>
      <c r="N29" s="313">
        <f t="shared" si="19"/>
        <v>0</v>
      </c>
      <c r="O29" s="313">
        <f t="shared" si="20"/>
        <v>0</v>
      </c>
      <c r="P29" s="313">
        <f>IF(Stamoplysninger!$H$29="JA",Maj!DG29,CX29)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f>IF(AND(C29="Skema 1",B29="on"),Arbejdstidsoversigt!$E$74,"")</f>
        <v>0</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t="str">
        <f>IF(AND(C29="Skema 1",B29="ma"),Skemaoplysninger!$E$30,"")</f>
        <v/>
      </c>
      <c r="BH29" s="209" t="str">
        <f>IF(AND(C29="Skema 1",B29="ti"),Skemaoplysninger!$G$30,"")</f>
        <v/>
      </c>
      <c r="BI29" s="209">
        <f>IF(AND(C29="Skema 1",B29="on"),Skemaoplysninger!$I$30,"")</f>
        <v>0</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t="str">
        <f>IF(AND(C29="Skema 1",B29="ma"),Skemaoplysninger!$E$31,"")</f>
        <v/>
      </c>
      <c r="CE29" s="209" t="str">
        <f>IF(AND(C29="Skema 1",B29="ti"),Skemaoplysninger!$G$31,"")</f>
        <v/>
      </c>
      <c r="CF29" s="209">
        <f>IF(AND(C29="Skema 1",B29="on"),Skemaoplysninger!$I$31,"")</f>
        <v>0</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4"/>
        <v/>
      </c>
      <c r="DL29" t="str">
        <f t="shared" si="14"/>
        <v/>
      </c>
      <c r="DM29" t="str">
        <f t="shared" si="14"/>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to</v>
      </c>
      <c r="C30" s="128" t="s">
        <v>206</v>
      </c>
      <c r="D30" s="129" t="str">
        <f t="shared" si="1"/>
        <v/>
      </c>
      <c r="E30" s="932"/>
      <c r="F30" s="933"/>
      <c r="G30" s="934"/>
      <c r="H30" s="294"/>
      <c r="I30" s="519"/>
      <c r="J30" s="407"/>
      <c r="K30" s="374"/>
      <c r="L30" s="374"/>
      <c r="M30" s="374"/>
      <c r="N30" s="313">
        <f t="shared" si="19"/>
        <v>0</v>
      </c>
      <c r="O30" s="313">
        <f t="shared" si="20"/>
        <v>0</v>
      </c>
      <c r="P30" s="313">
        <f>IF(Stamoplysninger!$H$29="JA",Maj!DG30,CX30)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f>IF(AND(C30="Skema 1",B30="to"),Arbejdstidsoversigt!$E$75,"")</f>
        <v>0</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t="str">
        <f>IF(AND(C30="Skema 1",B30="ti"),Skemaoplysninger!$G$30,"")</f>
        <v/>
      </c>
      <c r="BI30" s="209" t="str">
        <f>IF(AND(C30="Skema 1",B30="on"),Skemaoplysninger!$I$30,"")</f>
        <v/>
      </c>
      <c r="BJ30" s="209">
        <f>IF(AND(C30="Skema 1",B30="to"),Skemaoplysninger!$K$30,"")</f>
        <v>0</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t="str">
        <f>IF(AND(C30="Skema 1",B30="ti"),Skemaoplysninger!$G$31,"")</f>
        <v/>
      </c>
      <c r="CF30" s="209" t="str">
        <f>IF(AND(C30="Skema 1",B30="on"),Skemaoplysninger!$I$31,"")</f>
        <v/>
      </c>
      <c r="CG30" s="209">
        <f>IF(AND(C30="Skema 1",B30="to"),Skemaoplysninger!$K$31,"")</f>
        <v>0</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4"/>
        <v/>
      </c>
      <c r="DL30" t="str">
        <f t="shared" si="14"/>
        <v/>
      </c>
      <c r="DM30" t="str">
        <f t="shared" si="14"/>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9"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fr</v>
      </c>
      <c r="C31" s="128" t="s">
        <v>206</v>
      </c>
      <c r="D31" s="129" t="str">
        <f t="shared" si="1"/>
        <v/>
      </c>
      <c r="E31" s="932"/>
      <c r="F31" s="933"/>
      <c r="G31" s="934"/>
      <c r="H31" s="294"/>
      <c r="I31" s="519"/>
      <c r="J31" s="407"/>
      <c r="K31" s="374"/>
      <c r="L31" s="374"/>
      <c r="M31" s="374"/>
      <c r="N31" s="313">
        <f t="shared" si="19"/>
        <v>0</v>
      </c>
      <c r="O31" s="313">
        <f t="shared" si="20"/>
        <v>0</v>
      </c>
      <c r="P31" s="313">
        <f>IF(Stamoplysninger!$H$29="JA",Maj!DG31,CX31)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f>IF(AND(C31="Skema 1",B31="fr"),Arbejdstidsoversigt!$E$76,"")</f>
        <v>0</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t="str">
        <f>IF(AND(C31="Skema 1",B31="on"),Skemaoplysninger!$I$30,"")</f>
        <v/>
      </c>
      <c r="BJ31" s="209" t="str">
        <f>IF(AND(C31="Skema 1",B31="to"),Skemaoplysninger!$K$30,"")</f>
        <v/>
      </c>
      <c r="BK31" s="209">
        <f>IF(AND(C31="Skema 1",B31="fr"),Skemaoplysninger!$M$30,"")</f>
        <v>0</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t="str">
        <f>IF(AND(C31="Skema 1",B31="on"),Skemaoplysninger!$I$31,"")</f>
        <v/>
      </c>
      <c r="CG31" s="209" t="str">
        <f>IF(AND(C31="Skema 1",B31="to"),Skemaoplysninger!$K$31,"")</f>
        <v/>
      </c>
      <c r="CH31" s="209">
        <f>IF(AND(C31="Skema 1",B31="fr"),Skemaoplysninger!$M$31,"")</f>
        <v>0</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4"/>
        <v/>
      </c>
      <c r="DL31" t="str">
        <f t="shared" si="14"/>
        <v/>
      </c>
      <c r="DM31" t="str">
        <f t="shared" si="14"/>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lø</v>
      </c>
      <c r="C32" s="128" t="s">
        <v>120</v>
      </c>
      <c r="D32" s="129" t="str">
        <f t="shared" si="1"/>
        <v/>
      </c>
      <c r="E32" s="964"/>
      <c r="F32" s="965"/>
      <c r="G32" s="966"/>
      <c r="H32" s="294"/>
      <c r="I32" s="407"/>
      <c r="J32" s="407"/>
      <c r="K32" s="374"/>
      <c r="L32" s="374"/>
      <c r="M32" s="374"/>
      <c r="N32" s="313">
        <f t="shared" si="19"/>
        <v>0</v>
      </c>
      <c r="O32" s="313">
        <f t="shared" si="20"/>
        <v>0</v>
      </c>
      <c r="P32" s="313">
        <f>IF(Stamoplysninger!$H$29="JA",Maj!DG32,CX32)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t="str">
        <f>IF(AND(C32="Skema 1",B32="ma"),Skemaoplysninger!$E$30,"")</f>
        <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t="str">
        <f>IF(AND(C32="Skema 1",B32="ma"),Skemaoplysninger!$E$31,"")</f>
        <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4"/>
        <v/>
      </c>
      <c r="DL32" t="str">
        <f t="shared" si="14"/>
        <v/>
      </c>
      <c r="DM32" t="str">
        <f t="shared" si="14"/>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sø</v>
      </c>
      <c r="C33" s="128" t="s">
        <v>120</v>
      </c>
      <c r="D33" s="129" t="str">
        <f t="shared" si="1"/>
        <v/>
      </c>
      <c r="E33" s="932"/>
      <c r="F33" s="933"/>
      <c r="G33" s="934"/>
      <c r="H33" s="294"/>
      <c r="I33" s="407"/>
      <c r="J33" s="407"/>
      <c r="K33" s="374"/>
      <c r="L33" s="374"/>
      <c r="M33" s="374"/>
      <c r="N33" s="313">
        <f t="shared" si="19"/>
        <v>0</v>
      </c>
      <c r="O33" s="313">
        <f t="shared" si="20"/>
        <v>0</v>
      </c>
      <c r="P33" s="313">
        <f>IF(Stamoplysninger!$H$29="JA",Maj!DG33,CX33)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4"/>
        <v/>
      </c>
      <c r="DL33" t="str">
        <f t="shared" si="14"/>
        <v/>
      </c>
      <c r="DM33" t="str">
        <f t="shared" si="14"/>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ma</v>
      </c>
      <c r="C34" s="128" t="s">
        <v>206</v>
      </c>
      <c r="D34" s="129">
        <f t="shared" si="1"/>
        <v>21.714285714285715</v>
      </c>
      <c r="E34" s="932"/>
      <c r="F34" s="933"/>
      <c r="G34" s="934"/>
      <c r="H34" s="294"/>
      <c r="I34" s="519"/>
      <c r="J34" s="407"/>
      <c r="K34" s="374"/>
      <c r="L34" s="374"/>
      <c r="M34" s="374"/>
      <c r="N34" s="313">
        <f t="shared" si="19"/>
        <v>0</v>
      </c>
      <c r="O34" s="313">
        <f t="shared" si="20"/>
        <v>0</v>
      </c>
      <c r="P34" s="313">
        <f>IF(Stamoplysninger!$H$29="JA",Maj!DG34,CX34)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f>IF(AND(C34="Skema 1",B34="ma"),Arbejdstidsoversigt!$E$72,"")</f>
        <v>0</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f>IF(AND(C34="Skema 1",B34="ma"),Skemaoplysninger!$E$30,"")</f>
        <v>0</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f>IF(AND(C34="Skema 1",B34="ma"),Skemaoplysninger!$E$31,"")</f>
        <v>0</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4"/>
        <v/>
      </c>
      <c r="DL34" t="str">
        <f t="shared" si="14"/>
        <v/>
      </c>
      <c r="DM34" t="str">
        <f t="shared" si="14"/>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ti</v>
      </c>
      <c r="C35" s="128" t="s">
        <v>206</v>
      </c>
      <c r="D35" s="129" t="str">
        <f t="shared" si="1"/>
        <v/>
      </c>
      <c r="E35" s="932"/>
      <c r="F35" s="933"/>
      <c r="G35" s="934"/>
      <c r="H35" s="294"/>
      <c r="I35" s="519"/>
      <c r="J35" s="407"/>
      <c r="K35" s="374"/>
      <c r="L35" s="374"/>
      <c r="M35" s="374"/>
      <c r="N35" s="313">
        <f t="shared" si="19"/>
        <v>0</v>
      </c>
      <c r="O35" s="313">
        <f t="shared" si="20"/>
        <v>0</v>
      </c>
      <c r="P35" s="313">
        <f>IF(Stamoplysninger!$H$29="JA",Maj!DG35,CX35)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f>IF(AND(C35="Skema 1",B35="ti"),Arbejdstidsoversigt!$E$73,"")</f>
        <v>0</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t="str">
        <f>IF(AND(C35="Skema 1",B35="ma"),Skemaoplysninger!$E$30,"")</f>
        <v/>
      </c>
      <c r="BH35" s="209">
        <f>IF(AND(C35="Skema 1",B35="ti"),Skemaoplysninger!$G$30,"")</f>
        <v>0</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t="str">
        <f>IF(AND(C35="Skema 1",B35="ma"),Skemaoplysninger!$E$31,"")</f>
        <v/>
      </c>
      <c r="CE35" s="209">
        <f>IF(AND(C35="Skema 1",B35="ti"),Skemaoplysninger!$G$31,"")</f>
        <v>0</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on</v>
      </c>
      <c r="C36" s="128" t="s">
        <v>206</v>
      </c>
      <c r="D36" s="129" t="str">
        <f t="shared" si="1"/>
        <v/>
      </c>
      <c r="E36" s="932"/>
      <c r="F36" s="933"/>
      <c r="G36" s="934"/>
      <c r="H36" s="294"/>
      <c r="I36" s="519"/>
      <c r="J36" s="407"/>
      <c r="K36" s="374"/>
      <c r="L36" s="374"/>
      <c r="M36" s="374"/>
      <c r="N36" s="313">
        <f t="shared" si="19"/>
        <v>0</v>
      </c>
      <c r="O36" s="313">
        <f t="shared" si="20"/>
        <v>0</v>
      </c>
      <c r="P36" s="313">
        <f>IF(Stamoplysninger!$H$29="JA",Maj!DG36,CX36)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f>IF(AND(C36="Skema 1",B36="on"),Arbejdstidsoversigt!$E$74,"")</f>
        <v>0</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t="str">
        <f>IF(AND(C36="Skema 1",B36="ma"),Skemaoplysninger!$E$30,"")</f>
        <v/>
      </c>
      <c r="BH36" s="209" t="str">
        <f>IF(AND(C36="Skema 1",B36="ti"),Skemaoplysninger!$G$30,"")</f>
        <v/>
      </c>
      <c r="BI36" s="209">
        <f>IF(AND(C36="Skema 1",B36="on"),Skemaoplysninger!$I$30,"")</f>
        <v>0</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t="str">
        <f>IF(AND(C36="Skema 1",B36="ma"),Skemaoplysninger!$E$31,"")</f>
        <v/>
      </c>
      <c r="CE36" s="209" t="str">
        <f>IF(AND(C36="Skema 1",B36="ti"),Skemaoplysninger!$G$31,"")</f>
        <v/>
      </c>
      <c r="CF36" s="209">
        <f>IF(AND(C36="Skema 1",B36="on"),Skemaoplysninger!$I$31,"")</f>
        <v>0</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4"/>
        <v/>
      </c>
      <c r="DL36" t="str">
        <f t="shared" si="14"/>
        <v/>
      </c>
      <c r="DM36" t="str">
        <f t="shared" si="14"/>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to</v>
      </c>
      <c r="C37" s="128" t="s">
        <v>119</v>
      </c>
      <c r="D37" s="129" t="str">
        <f t="shared" si="1"/>
        <v/>
      </c>
      <c r="E37" s="932" t="s">
        <v>544</v>
      </c>
      <c r="F37" s="933"/>
      <c r="G37" s="934"/>
      <c r="H37" s="294"/>
      <c r="I37" s="407"/>
      <c r="J37" s="407"/>
      <c r="K37" s="374"/>
      <c r="L37" s="374"/>
      <c r="M37" s="374"/>
      <c r="N37" s="313">
        <f t="shared" si="19"/>
        <v>0</v>
      </c>
      <c r="O37" s="313">
        <f t="shared" si="20"/>
        <v>0</v>
      </c>
      <c r="P37" s="313">
        <f>IF(Stamoplysninger!$H$29="JA",Maj!DG37,CX37)</f>
        <v>0</v>
      </c>
      <c r="Q37" s="313">
        <f t="shared" si="21"/>
        <v>0</v>
      </c>
      <c r="R37" s="314"/>
      <c r="S37" s="319"/>
      <c r="T37" s="320"/>
      <c r="U37" s="320"/>
      <c r="V37" s="429"/>
      <c r="W37" s="406"/>
      <c r="X37" s="633"/>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8"/>
        <v>0</v>
      </c>
      <c r="BC37" s="1">
        <f t="shared" si="24"/>
        <v>0</v>
      </c>
      <c r="BD37" s="1">
        <f t="shared" si="9"/>
        <v>0</v>
      </c>
      <c r="BE37" s="1">
        <f t="shared" si="10"/>
        <v>0</v>
      </c>
      <c r="BF37" s="1">
        <f t="shared" si="11"/>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2"/>
        <v>0</v>
      </c>
      <c r="CC37" s="1">
        <f t="shared" si="13"/>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t="str">
        <f t="shared" si="28"/>
        <v>Kristi himmelfatsdag</v>
      </c>
      <c r="DJ37" t="str">
        <f t="shared" si="29"/>
        <v/>
      </c>
      <c r="DK37" t="str">
        <f t="shared" si="14"/>
        <v/>
      </c>
      <c r="DL37" t="str">
        <f t="shared" si="14"/>
        <v>Kristi himmelfatsdag</v>
      </c>
      <c r="DM37" t="str">
        <f t="shared" si="14"/>
        <v/>
      </c>
      <c r="DN37" t="str">
        <f t="shared" si="30"/>
        <v>Kristi himmelfatsdag</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32">IF(AND(I37="X",S37="X"),V37,0)</f>
        <v>0</v>
      </c>
      <c r="FT37" s="649">
        <f t="shared" ref="FT37:FT39" si="33">IF(AND(AND(C37="ikke relevant",I37="X",S37="X")),V37,0)</f>
        <v>0</v>
      </c>
      <c r="FU37">
        <f t="shared" ref="FU37:FU39"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fr</v>
      </c>
      <c r="C38" s="128" t="s">
        <v>128</v>
      </c>
      <c r="D38" s="129" t="str">
        <f t="shared" si="1"/>
        <v/>
      </c>
      <c r="E38" s="932"/>
      <c r="F38" s="933"/>
      <c r="G38" s="934"/>
      <c r="H38" s="294"/>
      <c r="I38" s="519"/>
      <c r="J38" s="407"/>
      <c r="K38" s="374"/>
      <c r="L38" s="374"/>
      <c r="M38" s="374"/>
      <c r="N38" s="313">
        <f t="shared" si="19"/>
        <v>0</v>
      </c>
      <c r="O38" s="313">
        <f t="shared" si="20"/>
        <v>0</v>
      </c>
      <c r="P38" s="313">
        <f>IF(Stamoplysninger!$H$29="JA",Maj!DG38,CX38)</f>
        <v>0</v>
      </c>
      <c r="Q38" s="313">
        <f t="shared" si="21"/>
        <v>0</v>
      </c>
      <c r="R38" s="314"/>
      <c r="S38" s="319"/>
      <c r="T38" s="320"/>
      <c r="U38" s="435"/>
      <c r="V38" s="429"/>
      <c r="W38" s="406"/>
      <c r="X38" s="633"/>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8"/>
        <v>0</v>
      </c>
      <c r="BC38" s="1">
        <f t="shared" si="24"/>
        <v>0</v>
      </c>
      <c r="BD38" s="1">
        <f t="shared" si="9"/>
        <v>0</v>
      </c>
      <c r="BE38" s="1">
        <f t="shared" si="10"/>
        <v>0</v>
      </c>
      <c r="BF38" s="1">
        <f t="shared" si="11"/>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2"/>
        <v>0</v>
      </c>
      <c r="CC38" s="1">
        <f t="shared" si="13"/>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4"/>
        <v/>
      </c>
      <c r="DL38" t="str">
        <f t="shared" si="14"/>
        <v/>
      </c>
      <c r="DM38" t="str">
        <f t="shared" si="14"/>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lø</v>
      </c>
      <c r="C39" s="128" t="s">
        <v>120</v>
      </c>
      <c r="D39" s="129" t="str">
        <f t="shared" si="1"/>
        <v/>
      </c>
      <c r="E39" s="964"/>
      <c r="F39" s="965"/>
      <c r="G39" s="966"/>
      <c r="H39" s="293"/>
      <c r="I39" s="519"/>
      <c r="J39" s="407"/>
      <c r="K39" s="374"/>
      <c r="L39" s="374"/>
      <c r="M39" s="374"/>
      <c r="N39" s="313">
        <f t="shared" si="19"/>
        <v>0</v>
      </c>
      <c r="O39" s="313">
        <f t="shared" si="20"/>
        <v>0</v>
      </c>
      <c r="P39" s="313">
        <f>IF(Stamoplysninger!$H$29="JA",Maj!DG39,CX39)</f>
        <v>0</v>
      </c>
      <c r="Q39" s="313">
        <f t="shared" si="21"/>
        <v>0</v>
      </c>
      <c r="R39" s="314"/>
      <c r="S39" s="319"/>
      <c r="T39" s="320"/>
      <c r="U39" s="213"/>
      <c r="V39" s="429"/>
      <c r="W39" s="406"/>
      <c r="X39" s="634"/>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6">
        <f t="shared" si="8"/>
        <v>0</v>
      </c>
      <c r="BC39" s="1">
        <f t="shared" si="24"/>
        <v>0</v>
      </c>
      <c r="BD39" s="1">
        <f t="shared" si="9"/>
        <v>0</v>
      </c>
      <c r="BE39" s="1">
        <f t="shared" si="10"/>
        <v>0</v>
      </c>
      <c r="BF39" s="1">
        <f t="shared" si="11"/>
        <v>0</v>
      </c>
      <c r="BG39" s="209" t="str">
        <f>IF(AND(C39="Skema 1",B39="ma"),Skemaoplysninger!$E$30,"")</f>
        <v/>
      </c>
      <c r="BH39" s="209" t="str">
        <f>IF(AND(C39="Skema 1",B39="ti"),Skemaoplysninger!$G$30,"")</f>
        <v/>
      </c>
      <c r="BI39" s="209" t="str">
        <f>IF(AND(C39="Skema 1",B39="on"),Skemaoplysninger!$I$30,"")</f>
        <v/>
      </c>
      <c r="BJ39" s="209" t="str">
        <f>IF(AND(C39="Skema 1",B39="to"),Skemaoplysninger!$K$30,"")</f>
        <v/>
      </c>
      <c r="BK39" s="209" t="str">
        <f>IF(AND(C39="Skema 1",B39="fr"),Skemaoplysninger!$M$30,"")</f>
        <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2"/>
        <v>0</v>
      </c>
      <c r="CC39" s="1">
        <f t="shared" si="13"/>
        <v>0</v>
      </c>
      <c r="CD39" s="209" t="str">
        <f>IF(AND(C39="Skema 1",B39="ma"),Skemaoplysninger!$E$31,"")</f>
        <v/>
      </c>
      <c r="CE39" s="209" t="str">
        <f>IF(AND(C39="Skema 1",B39="ti"),Skemaoplysninger!$G$31,"")</f>
        <v/>
      </c>
      <c r="CF39" s="209" t="str">
        <f>IF(AND(C39="Skema 1",B39="on"),Skemaoplysninger!$I$31,"")</f>
        <v/>
      </c>
      <c r="CG39" s="209" t="str">
        <f>IF(AND(C39="Skema 1",B39="to"),Skemaoplysninger!$K$31,"")</f>
        <v/>
      </c>
      <c r="CH39" s="209" t="str">
        <f>IF(AND(C39="Skema 1",B39="fr"),Skemaoplysninger!$M$31,"")</f>
        <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 t="shared" si="27"/>
        <v/>
      </c>
      <c r="DI39">
        <f t="shared" si="28"/>
        <v>0</v>
      </c>
      <c r="DJ39">
        <f t="shared" si="29"/>
        <v>0</v>
      </c>
      <c r="DK39" t="str">
        <f>IF(DH39=0,"",DH39)</f>
        <v/>
      </c>
      <c r="DL39" t="str">
        <f>IF(DI39=0,"",DI39)</f>
        <v/>
      </c>
      <c r="DM39" t="str">
        <f>IF(DJ39=0,"",DJ39)</f>
        <v/>
      </c>
      <c r="DN39" t="str">
        <f t="shared" si="30"/>
        <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2"/>
        <v>0</v>
      </c>
      <c r="FT39" s="649">
        <f t="shared" si="33"/>
        <v>0</v>
      </c>
      <c r="FU39">
        <f t="shared" si="34"/>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7" t="s">
        <v>675</v>
      </c>
      <c r="B40" s="988"/>
      <c r="C40" s="988"/>
      <c r="D40" s="988"/>
      <c r="E40" s="988"/>
      <c r="F40" s="988"/>
      <c r="G40" s="988"/>
      <c r="H40" s="988"/>
      <c r="I40" s="989"/>
      <c r="J40" s="308"/>
      <c r="K40" s="316"/>
      <c r="L40" s="316"/>
      <c r="M40" s="316"/>
      <c r="N40" s="317">
        <f>SUM(N9:N39)</f>
        <v>0</v>
      </c>
      <c r="O40" s="317">
        <f>SUM(O9:O39)</f>
        <v>0</v>
      </c>
      <c r="P40" s="317">
        <f>SUM(P9:P39)</f>
        <v>0</v>
      </c>
      <c r="Q40" s="317">
        <f>SUM(Q9:Q39)</f>
        <v>0</v>
      </c>
      <c r="R40"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35">SUM(AA9:AA39)</f>
        <v>0</v>
      </c>
      <c r="AB40" s="231">
        <f t="shared" si="35"/>
        <v>0</v>
      </c>
      <c r="AC40" s="231">
        <f t="shared" si="35"/>
        <v>0</v>
      </c>
      <c r="AD40" s="231">
        <f t="shared" si="35"/>
        <v>0</v>
      </c>
      <c r="AE40" s="231">
        <f t="shared" si="35"/>
        <v>0</v>
      </c>
      <c r="AF40" s="231">
        <f t="shared" si="35"/>
        <v>0</v>
      </c>
      <c r="BA40" s="1">
        <f>SUM(BA9:BA39)</f>
        <v>0</v>
      </c>
      <c r="BB40" s="111"/>
      <c r="BC40" s="231">
        <f>SUM(BC9:BC39)</f>
        <v>0</v>
      </c>
      <c r="BD40" s="231">
        <f>SUM(BD9:BD39)</f>
        <v>0</v>
      </c>
      <c r="BE40" s="231">
        <f>SUM(BE9:BE39)</f>
        <v>0</v>
      </c>
      <c r="BF40" s="231">
        <f>SUM(BF9:BF39)</f>
        <v>0</v>
      </c>
      <c r="BR40" s="209" t="str">
        <f>IF(AND(C40="Skema 3",B40="ti"),Skemaoplysninger!$Z$30,"")</f>
        <v/>
      </c>
      <c r="CA40" s="231">
        <f>SUM(CA9:CA39)</f>
        <v>0</v>
      </c>
      <c r="CB40" s="231">
        <f>SUM(CB9:CB39)</f>
        <v>0</v>
      </c>
      <c r="CC40" s="231">
        <f>SUM(CC9:CC39)</f>
        <v>0</v>
      </c>
      <c r="CX40" s="245"/>
      <c r="CY40" s="245">
        <f t="shared" ref="CY40:DG40" si="36">SUM(CY9:CY39)</f>
        <v>0</v>
      </c>
      <c r="CZ40" s="245">
        <f t="shared" si="36"/>
        <v>0</v>
      </c>
      <c r="DA40" s="245">
        <f t="shared" si="36"/>
        <v>0</v>
      </c>
      <c r="DB40" s="245">
        <f t="shared" si="36"/>
        <v>0</v>
      </c>
      <c r="DC40" s="245">
        <f t="shared" si="36"/>
        <v>0</v>
      </c>
      <c r="DD40" s="245">
        <f t="shared" si="36"/>
        <v>0</v>
      </c>
      <c r="DE40" s="245">
        <f t="shared" si="36"/>
        <v>0</v>
      </c>
      <c r="DF40" s="245">
        <f t="shared" si="36"/>
        <v>0</v>
      </c>
      <c r="DG40" s="245">
        <f t="shared" si="36"/>
        <v>0</v>
      </c>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31"/>
      <c r="AB41" s="210"/>
      <c r="AC41" s="210"/>
      <c r="AD41" s="231"/>
      <c r="AE41" s="231"/>
      <c r="AG41" s="231"/>
      <c r="BC41" s="231"/>
      <c r="BD41" s="231"/>
      <c r="BE41" s="231"/>
      <c r="BF41" s="231"/>
      <c r="BG41" s="111"/>
      <c r="CB41" s="231"/>
      <c r="CC41" s="231"/>
      <c r="CD41" s="111"/>
      <c r="CX41" s="244"/>
      <c r="CZ41"/>
    </row>
    <row r="42" spans="1:185" ht="70" customHeight="1">
      <c r="A42" s="973" t="str">
        <f>"Arbejdstid for "&amp;A7&amp;" måned:"</f>
        <v>Arbejdstid for Maj måned:</v>
      </c>
      <c r="B42" s="974"/>
      <c r="C42" s="974"/>
      <c r="D42" s="974"/>
      <c r="E42" s="974"/>
      <c r="F42" s="974"/>
      <c r="G42" s="974"/>
      <c r="H42" s="325" t="s">
        <v>255</v>
      </c>
      <c r="I42" s="974" t="s">
        <v>221</v>
      </c>
      <c r="J42" s="975"/>
      <c r="K42" s="976"/>
      <c r="L42" s="258"/>
      <c r="M42" s="1026" t="str">
        <f>"Ulempetimer og weekendtimer i "&amp;A5&amp;""</f>
        <v>Ulempetimer og weekendtimer i Maj måneds kalender for: . Måneden vedr. normperioden:  - .</v>
      </c>
      <c r="N42" s="1004"/>
      <c r="O42" s="1004"/>
      <c r="P42" s="1004"/>
      <c r="Q42" s="1004"/>
      <c r="R42" s="1004"/>
      <c r="S42" s="1004"/>
      <c r="T42" s="1004"/>
      <c r="U42" s="1004"/>
      <c r="V42" s="1004"/>
      <c r="W42" s="1004"/>
      <c r="X42" s="1005"/>
      <c r="Y42" s="235"/>
      <c r="Z42" s="235"/>
      <c r="AD42" s="89"/>
      <c r="AE42" s="89"/>
      <c r="BM42" s="1"/>
      <c r="CJ42" s="1"/>
      <c r="CU42" s="244"/>
      <c r="CV42" s="244"/>
      <c r="CY42"/>
      <c r="CZ42"/>
    </row>
    <row r="43" spans="1:185">
      <c r="A43" s="977" t="s">
        <v>528</v>
      </c>
      <c r="B43" s="978"/>
      <c r="C43" s="978"/>
      <c r="D43" s="978"/>
      <c r="E43" s="978"/>
      <c r="F43" s="978"/>
      <c r="G43" s="978"/>
      <c r="H43" s="252">
        <f>D78</f>
        <v>22</v>
      </c>
      <c r="I43" s="990">
        <f>IF(Stamoplysninger!$E$12="Ja",1924/Arbejdstidsoversigt!$K$9*Stamoplysninger!$E$15*H43,H43*7.4*Stamoplysninger!$E$15)</f>
        <v>162.17624521072798</v>
      </c>
      <c r="J43" s="991"/>
      <c r="K43" s="992"/>
      <c r="L43" s="254"/>
      <c r="M43" s="1027" t="s">
        <v>496</v>
      </c>
      <c r="N43" s="1028"/>
      <c r="O43" s="1028"/>
      <c r="P43" s="1028"/>
      <c r="Q43" s="1028"/>
      <c r="R43" s="1028"/>
      <c r="S43" s="1028"/>
      <c r="T43" s="1028"/>
      <c r="U43" s="1029"/>
      <c r="V43" s="1108">
        <f>P65+P69+P72+P74</f>
        <v>0</v>
      </c>
      <c r="W43" s="1108"/>
      <c r="X43" s="1109"/>
      <c r="Y43" s="235"/>
      <c r="Z43" s="235"/>
      <c r="AD43" s="89"/>
      <c r="AE43" s="89"/>
      <c r="BM43" s="1"/>
      <c r="CJ43" s="1"/>
      <c r="CU43" s="244"/>
      <c r="CV43" s="244"/>
      <c r="CY43"/>
      <c r="CZ43"/>
    </row>
    <row r="44" spans="1:185">
      <c r="A44" s="977" t="str">
        <f>"Ferie "&amp;A7&amp;" måned"</f>
        <v>Ferie Maj måned</v>
      </c>
      <c r="B44" s="978"/>
      <c r="C44" s="978"/>
      <c r="D44" s="978"/>
      <c r="E44" s="978"/>
      <c r="F44" s="978"/>
      <c r="G44" s="978"/>
      <c r="H44" s="253" t="str">
        <f>IF(D73&gt;0,$D$73,"0")</f>
        <v>0</v>
      </c>
      <c r="I44" s="979">
        <f>H44*7.4*Stamoplysninger!$E$15</f>
        <v>0</v>
      </c>
      <c r="J44" s="980"/>
      <c r="K44" s="981"/>
      <c r="L44" s="254"/>
      <c r="M44" s="1033" t="s">
        <v>259</v>
      </c>
      <c r="N44" s="1034"/>
      <c r="O44" s="1034"/>
      <c r="P44" s="1034"/>
      <c r="Q44" s="1034"/>
      <c r="R44" s="1034"/>
      <c r="S44" s="1034"/>
      <c r="T44" s="1034"/>
      <c r="U44" s="1035"/>
      <c r="V44" s="1110">
        <f>Q66+Q68+Q71+Q73</f>
        <v>0</v>
      </c>
      <c r="W44" s="1110"/>
      <c r="X44" s="1111"/>
      <c r="Y44" s="235"/>
      <c r="Z44" s="235"/>
      <c r="AD44" s="89"/>
      <c r="AE44" s="89"/>
      <c r="BM44" s="1"/>
      <c r="CJ44" s="1"/>
      <c r="CU44" s="244"/>
      <c r="CV44" s="244"/>
      <c r="CY44"/>
      <c r="CZ44"/>
    </row>
    <row r="45" spans="1:185">
      <c r="A45" s="977" t="str">
        <f>"Søgnehelligdage i "&amp;A7&amp;" måned"</f>
        <v>Søgnehelligdage i Maj måned</v>
      </c>
      <c r="B45" s="978"/>
      <c r="C45" s="978"/>
      <c r="D45" s="978"/>
      <c r="E45" s="978"/>
      <c r="F45" s="978"/>
      <c r="G45" s="978"/>
      <c r="H45" s="253">
        <f>IF(D72&gt;0,D72,0)</f>
        <v>1</v>
      </c>
      <c r="I45" s="979">
        <f>H45*7.4*Stamoplysninger!$E$15</f>
        <v>7.4</v>
      </c>
      <c r="J45" s="980"/>
      <c r="K45" s="981"/>
      <c r="L45" s="255"/>
      <c r="M45" s="1143" t="s">
        <v>295</v>
      </c>
      <c r="N45" s="1144"/>
      <c r="O45" s="1144"/>
      <c r="P45" s="1144"/>
      <c r="Q45" s="1144"/>
      <c r="R45" s="1144"/>
      <c r="S45" s="1144"/>
      <c r="T45" s="1144"/>
      <c r="U45" s="1145"/>
      <c r="V45" s="1148">
        <f>April!V52</f>
        <v>0</v>
      </c>
      <c r="W45" s="1149"/>
      <c r="X45" s="1152"/>
      <c r="Y45" s="235"/>
      <c r="Z45" s="235"/>
      <c r="AD45" s="89"/>
      <c r="AE45" s="89"/>
      <c r="BM45" s="1"/>
      <c r="CJ45" s="1"/>
      <c r="CU45" s="244"/>
      <c r="CV45" s="244"/>
      <c r="CY45"/>
      <c r="CZ45"/>
    </row>
    <row r="46" spans="1:185">
      <c r="A46" s="977" t="str">
        <f>"Nettoarbejdstid ialt i "&amp;A7&amp;" måned"</f>
        <v>Nettoarbejdstid ialt i Maj måned</v>
      </c>
      <c r="B46" s="978"/>
      <c r="C46" s="978"/>
      <c r="D46" s="978"/>
      <c r="E46" s="978"/>
      <c r="F46" s="978"/>
      <c r="G46" s="978"/>
      <c r="H46" s="256">
        <f>H43-H44-H45</f>
        <v>21</v>
      </c>
      <c r="I46" s="979">
        <f>I43-I44-I45</f>
        <v>154.77624521072798</v>
      </c>
      <c r="J46" s="980"/>
      <c r="K46" s="981"/>
      <c r="L46" s="255"/>
      <c r="M46" s="1041" t="s">
        <v>301</v>
      </c>
      <c r="N46" s="1042"/>
      <c r="O46" s="1042"/>
      <c r="P46" s="1042"/>
      <c r="Q46" s="1042"/>
      <c r="R46" s="1042"/>
      <c r="S46" s="1042"/>
      <c r="T46" s="1042"/>
      <c r="U46" s="1043"/>
      <c r="V46" s="1044">
        <f>SUM(V44:X45)</f>
        <v>0</v>
      </c>
      <c r="W46" s="1045"/>
      <c r="X46" s="1046"/>
      <c r="Y46" s="235"/>
      <c r="Z46" s="235"/>
      <c r="AD46" s="89"/>
      <c r="AE46" s="89"/>
      <c r="BM46" s="1"/>
      <c r="CJ46" s="1"/>
      <c r="CU46" s="244"/>
      <c r="CV46" s="244"/>
      <c r="CY46"/>
      <c r="CZ46"/>
    </row>
    <row r="47" spans="1:185">
      <c r="A47" s="993" t="str">
        <f>"Planlagt arbejdstid efter ovennstående "&amp;A7&amp;" måned kalender"</f>
        <v>Planlagt arbejdstid efter ovennstående Maj måned kalender</v>
      </c>
      <c r="B47" s="994"/>
      <c r="C47" s="994"/>
      <c r="D47" s="994"/>
      <c r="E47" s="994"/>
      <c r="F47" s="994"/>
      <c r="G47" s="994"/>
      <c r="H47" s="468">
        <f>D64+D65+D66+D67+D68+D69+D70</f>
        <v>20</v>
      </c>
      <c r="I47" s="995">
        <f>N40+R40+V106</f>
        <v>0</v>
      </c>
      <c r="J47" s="996"/>
      <c r="K47" s="997"/>
      <c r="L47" s="381"/>
      <c r="M47" s="1053" t="s">
        <v>293</v>
      </c>
      <c r="N47" s="1054"/>
      <c r="O47" s="1054"/>
      <c r="P47" s="1054"/>
      <c r="Q47" s="1054"/>
      <c r="R47" s="1054"/>
      <c r="S47" s="1054"/>
      <c r="T47" s="1054"/>
      <c r="U47" s="1054"/>
      <c r="V47" s="1054"/>
      <c r="W47" s="1054"/>
      <c r="X47" s="1055"/>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1056" t="s">
        <v>462</v>
      </c>
      <c r="N48" s="1057"/>
      <c r="O48" s="1057"/>
      <c r="P48" s="1057"/>
      <c r="Q48" s="1057"/>
      <c r="R48" s="1057"/>
      <c r="S48" s="1057"/>
      <c r="T48" s="1057"/>
      <c r="U48" s="1058"/>
      <c r="V48" s="1059" t="s">
        <v>221</v>
      </c>
      <c r="W48" s="1060"/>
      <c r="X48" s="1061"/>
      <c r="Y48" s="235"/>
      <c r="Z48" s="235"/>
      <c r="AD48" s="89"/>
      <c r="AE48" s="89"/>
      <c r="BM48" s="1"/>
      <c r="CJ48" s="1"/>
      <c r="CU48" s="244"/>
      <c r="CV48" s="244"/>
      <c r="CY48"/>
      <c r="CZ48"/>
    </row>
    <row r="49" spans="1:110">
      <c r="A49" s="1020" t="str">
        <f>"Arbejde særligt planlagt for "&amp;A7&amp;" måned efter fanen skemaoplysninger"</f>
        <v>Arbejde særligt planlagt for Maj måned efter fanen skemaoplysninger</v>
      </c>
      <c r="B49" s="1021"/>
      <c r="C49" s="1021"/>
      <c r="D49" s="1021"/>
      <c r="E49" s="1021"/>
      <c r="F49" s="1021"/>
      <c r="G49" s="1021"/>
      <c r="H49" s="1022"/>
      <c r="I49" s="996">
        <f>Skemaoplysninger!T91</f>
        <v>0</v>
      </c>
      <c r="J49" s="1018"/>
      <c r="K49" s="1019"/>
      <c r="L49" s="383"/>
      <c r="M49" s="882"/>
      <c r="N49" s="883"/>
      <c r="O49" s="883"/>
      <c r="P49" s="883"/>
      <c r="Q49" s="883"/>
      <c r="R49" s="883"/>
      <c r="S49" s="883"/>
      <c r="T49" s="883"/>
      <c r="U49" s="884"/>
      <c r="V49" s="1062"/>
      <c r="W49" s="1062"/>
      <c r="X49" s="1063"/>
      <c r="Y49"/>
      <c r="Z49" s="235"/>
      <c r="AA49" s="235"/>
      <c r="AG49" s="89"/>
      <c r="AH49" s="89"/>
      <c r="BA49" s="235"/>
      <c r="BO49" s="1"/>
      <c r="CL49" s="1"/>
      <c r="CV49" s="244"/>
      <c r="CW49" s="244"/>
      <c r="CY49"/>
      <c r="CZ49"/>
    </row>
    <row r="50" spans="1:110">
      <c r="A50" s="982" t="s">
        <v>291</v>
      </c>
      <c r="B50" s="983"/>
      <c r="C50" s="983"/>
      <c r="D50" s="983"/>
      <c r="E50" s="983"/>
      <c r="F50" s="983"/>
      <c r="G50" s="983"/>
      <c r="H50" s="983"/>
      <c r="I50" s="984">
        <f>V40+X40-FA40+R106</f>
        <v>0</v>
      </c>
      <c r="J50" s="985"/>
      <c r="K50" s="986"/>
      <c r="L50" s="237"/>
      <c r="M50" s="882"/>
      <c r="N50" s="883"/>
      <c r="O50" s="883"/>
      <c r="P50" s="883"/>
      <c r="Q50" s="883"/>
      <c r="R50" s="883"/>
      <c r="S50" s="883"/>
      <c r="T50" s="883"/>
      <c r="U50" s="884"/>
      <c r="V50" s="885"/>
      <c r="W50" s="886"/>
      <c r="X50" s="887"/>
      <c r="Y50"/>
      <c r="Z50" s="235"/>
      <c r="AA50" s="235"/>
      <c r="AE50" s="89"/>
      <c r="AF50" s="243"/>
      <c r="AG50" s="89"/>
      <c r="BN50" s="1"/>
      <c r="CK50" s="1"/>
      <c r="CV50" s="244"/>
      <c r="CW50" s="244"/>
      <c r="CY50"/>
      <c r="CZ50"/>
    </row>
    <row r="51" spans="1:110" ht="17" thickBot="1">
      <c r="A51" s="257" t="str">
        <f>"Faktisk arbejdstid ialt i "&amp;A7&amp;" måned"</f>
        <v>Faktisk arbejdstid ialt i Maj måned</v>
      </c>
      <c r="B51" s="309"/>
      <c r="C51" s="310"/>
      <c r="D51" s="310"/>
      <c r="E51" s="310"/>
      <c r="F51" s="310"/>
      <c r="G51" s="310"/>
      <c r="H51" s="311"/>
      <c r="I51" s="1023">
        <f>I47+I50+I49+I48</f>
        <v>0</v>
      </c>
      <c r="J51" s="1024"/>
      <c r="K51" s="1025"/>
      <c r="L51" s="330"/>
      <c r="M51" s="882"/>
      <c r="N51" s="883"/>
      <c r="O51" s="883"/>
      <c r="P51" s="883"/>
      <c r="Q51" s="883"/>
      <c r="R51" s="883"/>
      <c r="S51" s="883"/>
      <c r="T51" s="883"/>
      <c r="U51" s="884"/>
      <c r="V51" s="885"/>
      <c r="W51" s="886"/>
      <c r="X51" s="887"/>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882"/>
      <c r="N52" s="883"/>
      <c r="O52" s="883"/>
      <c r="P52" s="883"/>
      <c r="Q52" s="883"/>
      <c r="R52" s="883"/>
      <c r="S52" s="883"/>
      <c r="T52" s="883"/>
      <c r="U52" s="884"/>
      <c r="V52" s="885"/>
      <c r="W52" s="886"/>
      <c r="X52" s="887"/>
      <c r="Y52" s="235"/>
      <c r="Z52" s="235"/>
      <c r="AA52" s="235"/>
      <c r="AB52" s="235"/>
      <c r="AC52" s="213"/>
      <c r="AD52" s="243"/>
      <c r="AE52" s="243"/>
      <c r="AF52" s="243"/>
      <c r="AG52" s="243"/>
      <c r="AH52" s="235"/>
      <c r="AJ52" s="235"/>
      <c r="AK52" s="235"/>
      <c r="AO52" s="89"/>
      <c r="AP52" s="89"/>
      <c r="BW52" s="1"/>
      <c r="CT52" s="1"/>
      <c r="CY52"/>
      <c r="CZ52"/>
      <c r="DE52" s="244"/>
      <c r="DF52" s="244"/>
    </row>
    <row r="53" spans="1:110" ht="26" thickBot="1">
      <c r="A53" s="1026" t="s">
        <v>483</v>
      </c>
      <c r="B53" s="1004"/>
      <c r="C53" s="1004"/>
      <c r="D53" s="1004"/>
      <c r="E53" s="1004"/>
      <c r="F53" s="1004"/>
      <c r="G53" s="1004"/>
      <c r="H53" s="698" t="s">
        <v>669</v>
      </c>
      <c r="I53" s="974" t="s">
        <v>477</v>
      </c>
      <c r="J53" s="974"/>
      <c r="K53" s="976"/>
      <c r="L53" s="492"/>
      <c r="M53" s="1047" t="s">
        <v>294</v>
      </c>
      <c r="N53" s="1048"/>
      <c r="O53" s="1048"/>
      <c r="P53" s="1048"/>
      <c r="Q53" s="1048"/>
      <c r="R53" s="1048"/>
      <c r="S53" s="1048"/>
      <c r="T53" s="1048"/>
      <c r="U53" s="1049"/>
      <c r="V53" s="1096">
        <f>V46-SUM(V49:X52)</f>
        <v>0</v>
      </c>
      <c r="W53" s="1097"/>
      <c r="X53" s="1098"/>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153"/>
      <c r="B54" s="1154"/>
      <c r="C54" s="1154"/>
      <c r="D54" s="1154"/>
      <c r="E54" s="1154"/>
      <c r="F54" s="1154"/>
      <c r="G54" s="1154"/>
      <c r="H54" s="597">
        <f>April!H61</f>
        <v>0</v>
      </c>
      <c r="I54" s="1006"/>
      <c r="J54" s="1006"/>
      <c r="K54" s="1007"/>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32" customHeight="1">
      <c r="A55" s="879" t="s">
        <v>527</v>
      </c>
      <c r="B55" s="880"/>
      <c r="C55" s="880"/>
      <c r="D55" s="880"/>
      <c r="E55" s="880"/>
      <c r="F55" s="880"/>
      <c r="G55" s="916"/>
      <c r="H55" s="595"/>
      <c r="I55" s="1087"/>
      <c r="J55" s="1088"/>
      <c r="K55" s="1089"/>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7" customHeight="1">
      <c r="A56" s="879" t="s">
        <v>670</v>
      </c>
      <c r="B56" s="880"/>
      <c r="C56" s="880"/>
      <c r="D56" s="880"/>
      <c r="E56" s="880"/>
      <c r="F56" s="880"/>
      <c r="G56" s="880"/>
      <c r="H56" s="880"/>
      <c r="I56" s="880"/>
      <c r="J56" s="880"/>
      <c r="K56" s="881"/>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10" t="s">
        <v>671</v>
      </c>
      <c r="B57" s="1011"/>
      <c r="C57" s="913" t="s">
        <v>509</v>
      </c>
      <c r="D57" s="914"/>
      <c r="E57" s="915" t="s">
        <v>510</v>
      </c>
      <c r="F57" s="880"/>
      <c r="G57" s="916"/>
      <c r="H57" s="925" t="s">
        <v>479</v>
      </c>
      <c r="I57" s="925"/>
      <c r="J57" s="925"/>
      <c r="K57" s="92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917"/>
      <c r="B58" s="918"/>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919"/>
      <c r="B60" s="920"/>
      <c r="C60" s="921"/>
      <c r="D60" s="920"/>
      <c r="E60" s="922"/>
      <c r="F60" s="923"/>
      <c r="G60" s="924"/>
      <c r="H60" s="596"/>
      <c r="I60" s="911"/>
      <c r="J60" s="911"/>
      <c r="K60" s="912"/>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919"/>
      <c r="B61" s="920"/>
      <c r="C61" s="921"/>
      <c r="D61" s="920"/>
      <c r="E61" s="922"/>
      <c r="F61" s="923"/>
      <c r="G61" s="924"/>
      <c r="H61" s="596"/>
      <c r="I61" s="911"/>
      <c r="J61" s="911"/>
      <c r="K61" s="912"/>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7" thickBot="1">
      <c r="A62" s="908" t="s">
        <v>480</v>
      </c>
      <c r="B62" s="909"/>
      <c r="C62" s="910"/>
      <c r="D62" s="910"/>
      <c r="E62" s="910"/>
      <c r="F62" s="910"/>
      <c r="G62" s="910"/>
      <c r="H62" s="598">
        <f>H55+H54-SUM(H58:H61)</f>
        <v>0</v>
      </c>
      <c r="I62" s="927">
        <f>I54+I55-SUM(I58:K61)</f>
        <v>0</v>
      </c>
      <c r="J62" s="928"/>
      <c r="K62" s="9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t="18" hidden="1" customHeight="1">
      <c r="A63" s="434"/>
      <c r="B63" s="434"/>
      <c r="C63" s="434"/>
      <c r="D63" s="434"/>
      <c r="E63" s="434"/>
      <c r="F63" s="434"/>
      <c r="G63" s="434"/>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122" t="s">
        <v>206</v>
      </c>
      <c r="B64" s="122"/>
      <c r="C64" s="122"/>
      <c r="D64" s="122">
        <f>COUNTIF([0]!Maj,"Skema 1")</f>
        <v>20</v>
      </c>
      <c r="E64" s="389"/>
      <c r="F64" s="122" t="s">
        <v>186</v>
      </c>
      <c r="G64" s="122">
        <f>COUNTIFS($B$9:$B$39,"ma",[0]!Maj,"Skema 1")</f>
        <v>4</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09" hidden="1">
      <c r="A65" s="1128" t="s">
        <v>207</v>
      </c>
      <c r="B65" s="1128"/>
      <c r="C65" s="1128"/>
      <c r="D65" s="490">
        <f>COUNTIF([0]!Maj,"Skema 2")</f>
        <v>0</v>
      </c>
      <c r="E65" s="491"/>
      <c r="F65" s="490" t="s">
        <v>187</v>
      </c>
      <c r="G65" s="490">
        <f>COUNTIFS($B$9:$B$39,"ti",[0]!Maj,"Skema 1")</f>
        <v>4</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09" hidden="1">
      <c r="A66" s="1128" t="s">
        <v>208</v>
      </c>
      <c r="B66" s="1128"/>
      <c r="C66" s="1128"/>
      <c r="D66" s="490">
        <f>COUNTIF([0]!Maj,"Skema 3")</f>
        <v>0</v>
      </c>
      <c r="E66" s="491"/>
      <c r="F66" s="490" t="s">
        <v>188</v>
      </c>
      <c r="G66" s="490">
        <f>COUNTIFS($B$9:$B$39,"on",[0]!Maj,"Skema 1")</f>
        <v>4</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Y66"/>
      <c r="Z66"/>
      <c r="AA66" s="89"/>
      <c r="AB66" s="89"/>
      <c r="BI66" s="1"/>
      <c r="CF66" s="1"/>
      <c r="CQ66" s="244"/>
      <c r="CR66" s="244"/>
      <c r="CY66"/>
      <c r="CZ66"/>
    </row>
    <row r="67" spans="1:109" hidden="1">
      <c r="A67" s="1128" t="s">
        <v>209</v>
      </c>
      <c r="B67" s="1128"/>
      <c r="C67" s="1128"/>
      <c r="D67" s="490">
        <f>COUNTIF([0]!Maj,"Skema 4")</f>
        <v>0</v>
      </c>
      <c r="E67" s="491"/>
      <c r="F67" s="490" t="s">
        <v>190</v>
      </c>
      <c r="G67" s="490">
        <f>COUNTIFS($B$9:$B$39,"to",[0]!Maj,"Skema 1")</f>
        <v>4</v>
      </c>
      <c r="H67" s="490"/>
      <c r="I67" s="668" t="s">
        <v>591</v>
      </c>
      <c r="J67" s="650"/>
      <c r="K67" s="503"/>
      <c r="L67" s="653"/>
      <c r="M67" s="656"/>
      <c r="N67" s="656"/>
      <c r="O67" s="4"/>
      <c r="P67" s="669"/>
      <c r="Q67" s="671"/>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0" t="s">
        <v>112</v>
      </c>
      <c r="B68" s="490"/>
      <c r="C68" s="490"/>
      <c r="D68" s="490">
        <f>COUNTIF([0]!Maj,"Fagdag")+COUNTIF([0]!Maj,"emnedag")</f>
        <v>0</v>
      </c>
      <c r="E68" s="491"/>
      <c r="F68" s="490" t="s">
        <v>189</v>
      </c>
      <c r="G68" s="490">
        <f>COUNTIFS($B$9:$B$39,"fr",[0]!Maj,"Skema 1")</f>
        <v>4</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4" t="s">
        <v>111</v>
      </c>
      <c r="B69" s="490"/>
      <c r="C69" s="490"/>
      <c r="D69" s="490">
        <f>COUNTIF([0]!Maj,"Lejrskole")+COUNTIF([0]!Maj,"Ekskursion")</f>
        <v>0</v>
      </c>
      <c r="E69" s="491"/>
      <c r="F69" s="490"/>
      <c r="G69" s="490"/>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110</v>
      </c>
      <c r="B70" s="490"/>
      <c r="C70" s="490"/>
      <c r="D70" s="490">
        <f>COUNTIF([0]!Maj,"Pæd.dag")</f>
        <v>0</v>
      </c>
      <c r="E70" s="491"/>
      <c r="F70" s="490" t="s">
        <v>191</v>
      </c>
      <c r="G70" s="490">
        <f>COUNTIFS($B$9:$B$39,"ma",[0]!Maj,"Skema 2")</f>
        <v>0</v>
      </c>
      <c r="H70" s="490"/>
      <c r="I70" s="653" t="s">
        <v>594</v>
      </c>
      <c r="J70" s="653"/>
      <c r="K70" s="653"/>
      <c r="L70" s="653"/>
      <c r="M70" s="657"/>
      <c r="N70" s="657"/>
      <c r="O70" s="4"/>
      <c r="P70" s="669"/>
      <c r="Q70" s="671"/>
      <c r="R70" s="227"/>
      <c r="S70" s="227"/>
      <c r="T70" s="227"/>
      <c r="U70" s="227"/>
      <c r="V70" s="227"/>
      <c r="W70" s="117"/>
      <c r="X70" s="117"/>
      <c r="Y70" s="235"/>
      <c r="Z70" s="235"/>
      <c r="AA70" s="235"/>
      <c r="AB70" s="213"/>
      <c r="AC70" s="243"/>
      <c r="AD70" s="243"/>
      <c r="AE70" s="243"/>
      <c r="AG70" s="235"/>
      <c r="AI70" s="235"/>
      <c r="AJ70" s="235"/>
      <c r="AN70" s="89"/>
      <c r="AO70" s="89"/>
      <c r="BV70" s="1"/>
      <c r="CS70" s="1"/>
      <c r="CY70"/>
      <c r="CZ70"/>
      <c r="DD70" s="244"/>
      <c r="DE70" s="244"/>
    </row>
    <row r="71" spans="1:109" hidden="1">
      <c r="A71" s="490" t="s">
        <v>120</v>
      </c>
      <c r="B71" s="490"/>
      <c r="C71" s="490"/>
      <c r="D71" s="490">
        <f>COUNTIF([0]!Maj,"Weekend")</f>
        <v>9</v>
      </c>
      <c r="E71" s="491"/>
      <c r="F71" s="490" t="s">
        <v>192</v>
      </c>
      <c r="G71" s="490">
        <f>COUNTIFS($B$9:$B$39,"ti",[0]!Maj,"Skema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Y71"/>
      <c r="Z71"/>
      <c r="AM71" s="1"/>
      <c r="BJ71" s="1"/>
      <c r="BU71" s="244"/>
      <c r="BV71" s="244"/>
      <c r="CY71"/>
      <c r="CZ71"/>
    </row>
    <row r="72" spans="1:109" hidden="1">
      <c r="A72" s="490" t="s">
        <v>127</v>
      </c>
      <c r="B72" s="490"/>
      <c r="C72" s="490"/>
      <c r="D72" s="490">
        <f>COUNTIF([0]!Maj,"SH-dag")</f>
        <v>1</v>
      </c>
      <c r="E72" s="491"/>
      <c r="F72" s="490" t="s">
        <v>193</v>
      </c>
      <c r="G72" s="490">
        <f>COUNTIFS($B$9:$B$39,"on",[0]!Maj,"Skema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Y72"/>
      <c r="Z72"/>
      <c r="AM72" s="1"/>
      <c r="BJ72" s="1"/>
      <c r="BU72" s="244"/>
      <c r="BV72" s="244"/>
      <c r="CY72"/>
      <c r="CZ72"/>
    </row>
    <row r="73" spans="1:109" hidden="1">
      <c r="A73" s="490" t="s">
        <v>109</v>
      </c>
      <c r="B73" s="490"/>
      <c r="C73" s="490"/>
      <c r="D73" s="490">
        <f>COUNTIF([0]!Maj,"Feriedag")</f>
        <v>0</v>
      </c>
      <c r="E73" s="491"/>
      <c r="F73" s="490" t="s">
        <v>194</v>
      </c>
      <c r="G73" s="490">
        <f>COUNTIFS($B$9:$B$39,"to",[0]!Maj,"Skema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Y73"/>
      <c r="Z73"/>
      <c r="AM73" s="1"/>
      <c r="BJ73" s="1"/>
      <c r="BU73" s="244"/>
      <c r="BV73" s="244"/>
      <c r="CY73"/>
      <c r="CZ73"/>
    </row>
    <row r="74" spans="1:109" hidden="1">
      <c r="A74" s="490" t="s">
        <v>178</v>
      </c>
      <c r="B74" s="490"/>
      <c r="C74" s="490"/>
      <c r="D74" s="490">
        <f>COUNTIF([0]!Maj,"Nul-dag")</f>
        <v>1</v>
      </c>
      <c r="E74" s="491"/>
      <c r="F74" s="490" t="s">
        <v>195</v>
      </c>
      <c r="G74" s="490">
        <f>COUNTIFS($B$9:$B$39,"fr",[0]!Maj,"Skema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V74" t="s">
        <v>605</v>
      </c>
      <c r="Y74"/>
      <c r="Z74"/>
      <c r="AM74" s="1"/>
      <c r="BJ74" s="1"/>
      <c r="BU74" s="244"/>
      <c r="BV74" s="244"/>
      <c r="CY74"/>
      <c r="CZ74"/>
    </row>
    <row r="75" spans="1:109" hidden="1">
      <c r="A75" s="490" t="s">
        <v>415</v>
      </c>
      <c r="B75" s="490"/>
      <c r="C75" s="490"/>
      <c r="D75" s="490">
        <f>COUNTIF([0]!Maj,"Orlov")</f>
        <v>0</v>
      </c>
      <c r="E75" s="491"/>
      <c r="F75" s="496"/>
      <c r="G75" s="496"/>
      <c r="H75" s="496"/>
      <c r="I75" s="653" t="s">
        <v>604</v>
      </c>
      <c r="J75" s="653"/>
      <c r="K75" s="653"/>
      <c r="L75" s="653"/>
      <c r="M75" s="659"/>
      <c r="N75" s="659"/>
      <c r="O75" s="4"/>
      <c r="P75" s="652"/>
      <c r="R75">
        <f>IF(C10="ikke relevant",V10*-1+X10*-1,0)</f>
        <v>0</v>
      </c>
      <c r="S75" t="s">
        <v>610</v>
      </c>
      <c r="V75">
        <f>IF(C10="ikke relevant",R10*-1,0)</f>
        <v>0</v>
      </c>
      <c r="Y75"/>
      <c r="Z75"/>
      <c r="AM75" s="1"/>
      <c r="BJ75" s="1"/>
      <c r="BU75" s="244"/>
      <c r="BV75" s="244"/>
      <c r="CY75"/>
      <c r="CZ75"/>
    </row>
    <row r="76" spans="1:109" hidden="1">
      <c r="A76" s="490" t="s">
        <v>160</v>
      </c>
      <c r="B76" s="490"/>
      <c r="C76" s="490"/>
      <c r="D76" s="490">
        <f>COUNTIF([0]!Maj,"Ikke relevant")</f>
        <v>0</v>
      </c>
      <c r="E76" s="491"/>
      <c r="F76" s="490" t="s">
        <v>196</v>
      </c>
      <c r="G76" s="490">
        <f>COUNTIFS($B$9:$B$39,"ma",[0]!Maj,"Skema 3")</f>
        <v>0</v>
      </c>
      <c r="H76" s="490"/>
      <c r="I76" s="653"/>
      <c r="J76" s="653"/>
      <c r="K76" s="653"/>
      <c r="L76" s="503"/>
      <c r="M76" s="659"/>
      <c r="N76" s="659"/>
      <c r="O76" s="4"/>
      <c r="P76" s="652"/>
      <c r="R76">
        <f>IF(C11="ikke relevant",V11*-1+X11*-1,0)</f>
        <v>0</v>
      </c>
      <c r="V76">
        <f>IF(C11="ikke relevant",R11*-1,0)</f>
        <v>0</v>
      </c>
      <c r="Y76"/>
      <c r="Z76"/>
      <c r="AM76" s="1"/>
      <c r="BJ76" s="1"/>
      <c r="BU76" s="244"/>
      <c r="BV76" s="244"/>
      <c r="CY76"/>
      <c r="CZ76"/>
    </row>
    <row r="77" spans="1:109" hidden="1">
      <c r="A77" s="490" t="s">
        <v>108</v>
      </c>
      <c r="B77" s="490"/>
      <c r="C77" s="490"/>
      <c r="D77" s="490">
        <f>SUM(D64:D76)</f>
        <v>31</v>
      </c>
      <c r="E77" s="490"/>
      <c r="F77" s="490" t="s">
        <v>197</v>
      </c>
      <c r="G77" s="490">
        <f>COUNTIFS($B$9:$B$39,"ti",[0]!Maj,"Skema 3")</f>
        <v>0</v>
      </c>
      <c r="H77" s="490"/>
      <c r="I77" s="653"/>
      <c r="J77" s="653"/>
      <c r="K77" s="653"/>
      <c r="L77" s="503"/>
      <c r="M77" s="659"/>
      <c r="N77" s="659"/>
      <c r="O77" s="4"/>
      <c r="P77" s="652"/>
      <c r="R77">
        <f t="shared" ref="R77:R105" si="39">IF(C12="ikke relevant",V12*-1+X12*-1,0)</f>
        <v>0</v>
      </c>
      <c r="V77">
        <f t="shared" ref="V77:V105" si="40">IF(C12="ikke relevant",R12*-1,0)</f>
        <v>0</v>
      </c>
      <c r="Y77"/>
      <c r="Z77" s="1"/>
      <c r="AX77" s="1"/>
      <c r="BI77" s="244"/>
      <c r="BJ77" s="244"/>
      <c r="CY77"/>
      <c r="CZ77"/>
    </row>
    <row r="78" spans="1:109" hidden="1">
      <c r="A78" s="490" t="s">
        <v>239</v>
      </c>
      <c r="B78" s="490"/>
      <c r="C78" s="490"/>
      <c r="D78" s="490">
        <f>D77-D71-A88-D76</f>
        <v>22</v>
      </c>
      <c r="E78" s="497"/>
      <c r="F78" s="490" t="s">
        <v>198</v>
      </c>
      <c r="G78" s="490">
        <f>COUNTIFS($B$9:$B$39,"on",[0]!Maj,"Skema 3")</f>
        <v>0</v>
      </c>
      <c r="H78" s="490"/>
      <c r="I78" s="653"/>
      <c r="J78" s="653"/>
      <c r="K78" s="653"/>
      <c r="L78" s="503"/>
      <c r="M78" s="659"/>
      <c r="N78" s="659"/>
      <c r="O78" s="4"/>
      <c r="P78" s="652"/>
      <c r="R78">
        <f t="shared" si="39"/>
        <v>0</v>
      </c>
      <c r="V78">
        <f t="shared" si="40"/>
        <v>0</v>
      </c>
      <c r="Y78"/>
      <c r="Z78" s="1"/>
      <c r="AX78" s="1"/>
      <c r="BI78" s="244"/>
      <c r="BJ78" s="244"/>
      <c r="CY78"/>
      <c r="CZ78"/>
    </row>
    <row r="79" spans="1:109" hidden="1">
      <c r="A79" s="490"/>
      <c r="B79" s="490"/>
      <c r="C79" s="490"/>
      <c r="D79" s="490"/>
      <c r="E79" s="490"/>
      <c r="F79" s="490" t="s">
        <v>199</v>
      </c>
      <c r="G79" s="490">
        <f>COUNTIFS($B$9:$B$39,"to",[0]!Maj,"Skema 3")</f>
        <v>0</v>
      </c>
      <c r="H79" s="490"/>
      <c r="I79" s="655"/>
      <c r="J79" s="653"/>
      <c r="K79" s="653"/>
      <c r="L79" s="503"/>
      <c r="M79" s="651"/>
      <c r="N79" s="651"/>
      <c r="O79" s="4"/>
      <c r="P79" s="652"/>
      <c r="R79">
        <f t="shared" si="39"/>
        <v>0</v>
      </c>
      <c r="V79">
        <f t="shared" si="40"/>
        <v>0</v>
      </c>
      <c r="Y79"/>
      <c r="Z79" s="1"/>
      <c r="AO79" s="1"/>
      <c r="BL79" s="1"/>
      <c r="BW79" s="244"/>
      <c r="BX79" s="244"/>
      <c r="CY79"/>
      <c r="CZ79"/>
    </row>
    <row r="80" spans="1:109" hidden="1">
      <c r="A80" s="490"/>
      <c r="B80" s="490"/>
      <c r="C80" s="490"/>
      <c r="D80" s="490"/>
      <c r="E80" s="490"/>
      <c r="F80" s="490" t="s">
        <v>200</v>
      </c>
      <c r="G80" s="490">
        <f>COUNTIFS($B$9:$B$39,"fr",[0]!Maj,"Skema 3")</f>
        <v>0</v>
      </c>
      <c r="H80" s="490"/>
      <c r="I80" s="498"/>
      <c r="J80" s="503"/>
      <c r="K80" s="503"/>
      <c r="L80" s="503"/>
      <c r="M80" s="4"/>
      <c r="N80" s="4"/>
      <c r="O80" s="4"/>
      <c r="P80" s="4"/>
      <c r="R80">
        <f t="shared" si="39"/>
        <v>0</v>
      </c>
      <c r="V80">
        <f t="shared" si="40"/>
        <v>0</v>
      </c>
      <c r="Y80"/>
      <c r="Z80" s="1"/>
      <c r="AO80" s="1"/>
      <c r="BL80" s="1"/>
      <c r="BW80" s="244"/>
      <c r="BX80" s="244"/>
      <c r="CY80"/>
      <c r="CZ80"/>
    </row>
    <row r="81" spans="1:111" hidden="1">
      <c r="A81" s="490" t="s">
        <v>292</v>
      </c>
      <c r="B81" s="490"/>
      <c r="C81" s="490"/>
      <c r="D81" s="490"/>
      <c r="E81" s="490"/>
      <c r="F81" s="490"/>
      <c r="G81" s="490"/>
      <c r="H81" s="490"/>
      <c r="I81" s="498"/>
      <c r="J81" s="503"/>
      <c r="K81" s="503"/>
      <c r="L81" s="503"/>
      <c r="M81" s="4"/>
      <c r="N81" s="4"/>
      <c r="O81" s="4"/>
      <c r="P81" s="4"/>
      <c r="R81">
        <f t="shared" si="39"/>
        <v>0</v>
      </c>
      <c r="V81">
        <f t="shared" si="40"/>
        <v>0</v>
      </c>
      <c r="Y81"/>
      <c r="Z81" s="1"/>
      <c r="AO81" s="1"/>
      <c r="BL81" s="1"/>
      <c r="BW81" s="244"/>
      <c r="BX81" s="244"/>
      <c r="CY81"/>
      <c r="CZ81"/>
    </row>
    <row r="82" spans="1:111" hidden="1">
      <c r="A82" s="490"/>
      <c r="B82" s="490"/>
      <c r="C82" s="490"/>
      <c r="D82" s="490"/>
      <c r="E82" s="490"/>
      <c r="F82" s="490" t="s">
        <v>201</v>
      </c>
      <c r="G82" s="490">
        <f>COUNTIFS($B$9:$B$39,"ma",[0]!Maj,"Skema 4")</f>
        <v>0</v>
      </c>
      <c r="H82" s="490"/>
      <c r="I82" s="498"/>
      <c r="J82" s="503"/>
      <c r="K82" s="503"/>
      <c r="L82" s="503"/>
      <c r="M82" s="4"/>
      <c r="N82" s="4"/>
      <c r="O82" s="4"/>
      <c r="P82" s="4"/>
      <c r="R82">
        <f t="shared" si="39"/>
        <v>0</v>
      </c>
      <c r="V82">
        <f t="shared" si="40"/>
        <v>0</v>
      </c>
      <c r="Y82"/>
      <c r="Z82" s="1"/>
      <c r="AO82" s="1"/>
      <c r="BL82" s="1"/>
      <c r="BW82" s="244"/>
      <c r="BX82" s="244"/>
      <c r="CY82"/>
      <c r="CZ82"/>
    </row>
    <row r="83" spans="1:111" hidden="1">
      <c r="A83" s="490">
        <f>COUNTIF(C11:C12,"Skema 1")+COUNTIF(C11:C12,"Skema 2")+COUNTIF(C11:C12,"Skema 3")+COUNTIF(C11:C12,"Skema 4")+COUNTIF(C11:C12,"Fagdag")+COUNTIF(C11:C12,"Emnedag")+COUNTIF(C11:C12,"Lejrskole")+COUNTIF(C11:C12,"Ekskursion")+COUNTIF(C11:C12,"Pæd.dag")</f>
        <v>0</v>
      </c>
      <c r="B83" s="490"/>
      <c r="C83" s="490"/>
      <c r="D83" s="490"/>
      <c r="E83" s="490"/>
      <c r="F83" s="490" t="s">
        <v>202</v>
      </c>
      <c r="G83" s="490">
        <f>COUNTIFS($B$9:$B$39,"ti",[0]!Maj,"Skema 4")</f>
        <v>0</v>
      </c>
      <c r="H83" s="490"/>
      <c r="I83" s="498"/>
      <c r="J83" s="503"/>
      <c r="K83" s="503"/>
      <c r="L83" s="503"/>
      <c r="M83" s="4"/>
      <c r="N83" s="4"/>
      <c r="O83" s="4"/>
      <c r="P83" s="4"/>
      <c r="R83">
        <f t="shared" si="39"/>
        <v>0</v>
      </c>
      <c r="V83">
        <f t="shared" si="40"/>
        <v>0</v>
      </c>
      <c r="Y83"/>
      <c r="Z83" s="1"/>
      <c r="AO83" s="1"/>
      <c r="BL83" s="1"/>
      <c r="BW83" s="244"/>
      <c r="BX83" s="244"/>
      <c r="CY83"/>
      <c r="CZ83"/>
    </row>
    <row r="84" spans="1:111" hidden="1">
      <c r="A84" s="490">
        <f>COUNTIF(C18:C19,"Skema 1")+COUNTIF(C18:C19,"Skema 2")+COUNTIF(C18:C19,"Skema 3")+COUNTIF(C18:C19,"Skema 4")+COUNTIF(C18:C19,"Fagdag")+COUNTIF(C18:C19,"Emnedag")+COUNTIF(C18:C19,"Lejrskole")+COUNTIF(C18:C19,"Ekskursion")+COUNTIF(C18:C19,"Pæd.dag")</f>
        <v>0</v>
      </c>
      <c r="B84" s="490"/>
      <c r="C84" s="490"/>
      <c r="D84" s="490"/>
      <c r="E84" s="490"/>
      <c r="F84" s="490" t="s">
        <v>203</v>
      </c>
      <c r="G84" s="490">
        <f>COUNTIFS($B$9:$B$39,"on",[0]!Maj,"Skema 4")</f>
        <v>0</v>
      </c>
      <c r="H84" s="490"/>
      <c r="I84" s="498"/>
      <c r="J84" s="503"/>
      <c r="K84" s="503"/>
      <c r="L84" s="503"/>
      <c r="M84" s="4"/>
      <c r="N84" s="4"/>
      <c r="O84" s="4"/>
      <c r="P84" s="4"/>
      <c r="R84">
        <f t="shared" si="39"/>
        <v>0</v>
      </c>
      <c r="V84">
        <f t="shared" si="40"/>
        <v>0</v>
      </c>
      <c r="Y84"/>
      <c r="Z84" s="1"/>
      <c r="AO84" s="1"/>
      <c r="BL84" s="1"/>
      <c r="BW84" s="244"/>
      <c r="BX84" s="244"/>
      <c r="CY84"/>
      <c r="CZ84"/>
    </row>
    <row r="85" spans="1:111" hidden="1">
      <c r="A85" s="490">
        <f>COUNTIF(C25:C26,"Skema 1")+COUNTIF(C25:C26,"Skema 2")+COUNTIF(C25:C26,"Skema 3")+COUNTIF(C25:C26,"Skema 4")+COUNTIF(C25:C26,"Fagdag")+COUNTIF(C25:C26,"Emnedag")+COUNTIF(C25:C26,"Lejrskole")+COUNTIF(C25:C26,"Ekskursion")+COUNTIF(C25:C26,"Pæd.dag")</f>
        <v>0</v>
      </c>
      <c r="B85" s="490"/>
      <c r="C85" s="490"/>
      <c r="D85" s="490"/>
      <c r="E85" s="490"/>
      <c r="F85" s="490" t="s">
        <v>204</v>
      </c>
      <c r="G85" s="490">
        <f>COUNTIFS($B$9:$B$39,"to",[0]!Maj,"Skema 4")</f>
        <v>0</v>
      </c>
      <c r="H85" s="490"/>
      <c r="I85" s="498"/>
      <c r="J85" s="503"/>
      <c r="K85" s="503"/>
      <c r="L85" s="503"/>
      <c r="M85" s="4"/>
      <c r="N85" s="4"/>
      <c r="O85" s="4"/>
      <c r="P85" s="4"/>
      <c r="R85">
        <f t="shared" si="39"/>
        <v>0</v>
      </c>
      <c r="V85">
        <f t="shared" si="40"/>
        <v>0</v>
      </c>
      <c r="Y85"/>
      <c r="Z85"/>
      <c r="AO85" s="1">
        <f>SUM(N85:AN85)</f>
        <v>0</v>
      </c>
      <c r="BL85" s="1">
        <f>SUM(AI85:BK85)</f>
        <v>0</v>
      </c>
      <c r="BW85" s="244"/>
      <c r="BX85" s="244"/>
      <c r="CY85"/>
      <c r="CZ85"/>
    </row>
    <row r="86" spans="1:111" hidden="1">
      <c r="A86" s="490">
        <f>COUNTIF(C32:C33,"Skema 1")+COUNTIF(C32:C33,"Skema 2")+COUNTIF(C32:C33,"Skema 3")+COUNTIF(C32:C33,"Skema 4")+COUNTIF(C32:C33,"Fagdag")+COUNTIF(C32:C33,"Emnedag")+COUNTIF(C32:C33,"Lejrskole")+COUNTIF(C32:C33,"Ekskursion")+COUNTIF(C32:C33,"Pæd.dag")</f>
        <v>0</v>
      </c>
      <c r="B86" s="490"/>
      <c r="C86" s="490"/>
      <c r="D86" s="490"/>
      <c r="E86" s="490"/>
      <c r="F86" s="490" t="s">
        <v>205</v>
      </c>
      <c r="G86" s="490">
        <f>COUNTIFS($B$9:$B$39,"fr",[0]!Maj,"Skema 4")</f>
        <v>0</v>
      </c>
      <c r="H86" s="490"/>
      <c r="I86" s="490"/>
      <c r="J86" s="493"/>
      <c r="K86" s="493"/>
      <c r="L86" s="40"/>
      <c r="R86">
        <f t="shared" si="39"/>
        <v>0</v>
      </c>
      <c r="V86">
        <f t="shared" si="40"/>
        <v>0</v>
      </c>
      <c r="Y86"/>
      <c r="Z86"/>
      <c r="AO86" s="1">
        <f>SUM(N86:AN86)</f>
        <v>0</v>
      </c>
      <c r="BL86" s="1">
        <f>SUM(AI86:BK86)</f>
        <v>0</v>
      </c>
      <c r="BW86" s="244"/>
      <c r="BX86" s="244"/>
      <c r="CY86"/>
      <c r="CZ86"/>
    </row>
    <row r="87" spans="1:111" hidden="1">
      <c r="A87" s="490">
        <f>COUNTIF(C39,"Skema 1")+COUNTIF(C39,"Skema 2")+COUNTIF(C39,"Skema 3")+COUNTIF(C39,"Skema 4")+COUNTIF(C39,"Fagdag")+COUNTIF(C39,"Emnedag")+COUNTIF(C39,"Lejrskole")+COUNTIF(C39,"Ekskursion")+COUNTIF(C39,"Pæd.dag")</f>
        <v>0</v>
      </c>
      <c r="B87" s="490"/>
      <c r="C87" s="490"/>
      <c r="D87" s="490"/>
      <c r="E87" s="490"/>
      <c r="F87" s="490"/>
      <c r="G87" s="495">
        <f>SUM(G64:G86)</f>
        <v>20</v>
      </c>
      <c r="H87" s="493"/>
      <c r="I87" s="490"/>
      <c r="J87" s="493"/>
      <c r="K87" s="493"/>
      <c r="L87" s="40"/>
      <c r="R87">
        <f t="shared" si="39"/>
        <v>0</v>
      </c>
      <c r="V87">
        <f t="shared" si="40"/>
        <v>0</v>
      </c>
      <c r="Y87"/>
      <c r="Z87"/>
      <c r="AO87" s="1">
        <f>SUM(N87:AN87)</f>
        <v>0</v>
      </c>
      <c r="BL87" s="1">
        <f>SUM(AI87:BK87)</f>
        <v>0</v>
      </c>
      <c r="BW87" s="244"/>
      <c r="BX87" s="244"/>
      <c r="CY87"/>
      <c r="CZ87"/>
    </row>
    <row r="88" spans="1:111" hidden="1">
      <c r="A88" s="490">
        <f>SUM(A83:A87)</f>
        <v>0</v>
      </c>
      <c r="B88" s="493"/>
      <c r="C88" s="493"/>
      <c r="D88" s="493"/>
      <c r="E88" s="490"/>
      <c r="F88" s="490"/>
      <c r="G88" s="490"/>
      <c r="H88" s="40"/>
      <c r="I88" s="493"/>
      <c r="J88" s="493"/>
      <c r="K88" s="493"/>
      <c r="L88" s="40"/>
      <c r="R88">
        <f t="shared" si="39"/>
        <v>0</v>
      </c>
      <c r="V88">
        <f t="shared" si="40"/>
        <v>0</v>
      </c>
      <c r="Y88"/>
      <c r="Z88"/>
      <c r="AO88" s="1">
        <f>SUM(N88:AN88)</f>
        <v>0</v>
      </c>
      <c r="BL88" s="1">
        <f>SUM(AI88:BK88)</f>
        <v>0</v>
      </c>
      <c r="BW88" s="244"/>
      <c r="BX88" s="244"/>
      <c r="CY88"/>
      <c r="CZ88"/>
    </row>
    <row r="89" spans="1:111" hidden="1">
      <c r="A89" s="493"/>
      <c r="B89" s="493"/>
      <c r="C89" s="493"/>
      <c r="D89" s="493"/>
      <c r="E89" s="490"/>
      <c r="F89" s="490"/>
      <c r="G89" s="490"/>
      <c r="H89" s="40"/>
      <c r="I89" s="40"/>
      <c r="J89" s="493"/>
      <c r="K89" s="493"/>
      <c r="L89" s="40"/>
      <c r="R89">
        <f t="shared" si="39"/>
        <v>0</v>
      </c>
      <c r="V89">
        <f t="shared" si="40"/>
        <v>0</v>
      </c>
      <c r="Y89"/>
      <c r="Z89"/>
      <c r="BW89" s="244"/>
      <c r="BX89" s="244"/>
      <c r="CY89"/>
      <c r="CZ89"/>
    </row>
    <row r="90" spans="1:111" hidden="1">
      <c r="A90" s="493"/>
      <c r="B90" s="493"/>
      <c r="C90" s="493"/>
      <c r="D90" s="493"/>
      <c r="E90" s="490"/>
      <c r="F90" s="490"/>
      <c r="G90" s="490"/>
      <c r="H90" s="40"/>
      <c r="I90" s="40"/>
      <c r="J90" s="40"/>
      <c r="K90" s="40"/>
      <c r="L90" s="40"/>
      <c r="R90">
        <f t="shared" si="39"/>
        <v>0</v>
      </c>
      <c r="V90">
        <f t="shared" si="40"/>
        <v>0</v>
      </c>
      <c r="Y90"/>
      <c r="Z90"/>
      <c r="BW90" s="244"/>
      <c r="BX90" s="244"/>
      <c r="CY90"/>
      <c r="CZ90"/>
    </row>
    <row r="91" spans="1:111" hidden="1">
      <c r="A91" s="493"/>
      <c r="B91" s="493"/>
      <c r="C91" s="493"/>
      <c r="D91" s="493"/>
      <c r="E91" s="490"/>
      <c r="F91" s="490"/>
      <c r="G91" s="490"/>
      <c r="H91" s="40"/>
      <c r="I91" s="40"/>
      <c r="J91" s="40"/>
      <c r="K91" s="40"/>
      <c r="L91" s="40"/>
      <c r="R91">
        <f t="shared" si="39"/>
        <v>0</v>
      </c>
      <c r="V91">
        <f t="shared" si="40"/>
        <v>0</v>
      </c>
      <c r="Y91"/>
      <c r="Z91"/>
      <c r="BW91" s="244"/>
      <c r="BX91" s="244"/>
      <c r="CY91"/>
      <c r="CZ91"/>
    </row>
    <row r="92" spans="1:111" hidden="1">
      <c r="A92" s="493"/>
      <c r="B92" s="493"/>
      <c r="C92" s="493"/>
      <c r="D92" s="493"/>
      <c r="E92" s="490"/>
      <c r="F92" s="490"/>
      <c r="G92" s="490"/>
      <c r="I92" s="40"/>
      <c r="J92" s="40"/>
      <c r="K92" s="40"/>
      <c r="L92" s="40"/>
      <c r="R92">
        <f t="shared" si="39"/>
        <v>0</v>
      </c>
      <c r="V92">
        <f t="shared" si="40"/>
        <v>0</v>
      </c>
      <c r="Y92"/>
      <c r="Z92"/>
      <c r="BW92" s="244"/>
      <c r="BX92" s="244"/>
      <c r="CY92"/>
      <c r="CZ92"/>
    </row>
    <row r="93" spans="1:111" hidden="1">
      <c r="A93" s="493"/>
      <c r="B93" s="493"/>
      <c r="C93" s="493"/>
      <c r="D93" s="493"/>
      <c r="E93" s="490"/>
      <c r="F93" s="490"/>
      <c r="G93" s="490"/>
      <c r="I93" s="40"/>
      <c r="J93" s="40"/>
      <c r="K93" s="40"/>
      <c r="L93" s="40"/>
      <c r="R93">
        <f t="shared" si="39"/>
        <v>0</v>
      </c>
      <c r="V93">
        <f t="shared" si="40"/>
        <v>0</v>
      </c>
      <c r="Y93"/>
      <c r="Z93"/>
      <c r="AF93" s="228"/>
      <c r="BW93" s="244"/>
      <c r="BX93" s="244"/>
      <c r="CY93"/>
      <c r="CZ93"/>
    </row>
    <row r="94" spans="1:111" hidden="1">
      <c r="A94" s="493"/>
      <c r="B94" s="493"/>
      <c r="C94" s="493"/>
      <c r="D94" s="493"/>
      <c r="E94" s="490"/>
      <c r="F94" s="490"/>
      <c r="G94" s="490"/>
      <c r="I94" s="40"/>
      <c r="J94" s="40"/>
      <c r="K94" s="40"/>
      <c r="L94" s="40"/>
      <c r="R94">
        <f t="shared" si="39"/>
        <v>0</v>
      </c>
      <c r="V94">
        <f t="shared" si="40"/>
        <v>0</v>
      </c>
      <c r="Y94"/>
      <c r="Z94"/>
      <c r="AD94" s="4"/>
      <c r="AE94" s="228"/>
      <c r="AF94" s="228"/>
      <c r="AG94" s="228"/>
      <c r="AH94" s="228"/>
      <c r="CY94"/>
      <c r="CZ94"/>
      <c r="DF94" s="244"/>
      <c r="DG94" s="244"/>
    </row>
    <row r="95" spans="1:111" hidden="1">
      <c r="A95" s="493"/>
      <c r="B95" s="493"/>
      <c r="C95" s="493"/>
      <c r="D95" s="493"/>
      <c r="E95" s="490"/>
      <c r="F95" s="490"/>
      <c r="G95" s="490"/>
      <c r="I95" s="40"/>
      <c r="J95" s="40"/>
      <c r="K95" s="40"/>
      <c r="L95" s="40"/>
      <c r="R95">
        <f t="shared" si="39"/>
        <v>0</v>
      </c>
      <c r="V95">
        <f t="shared" si="40"/>
        <v>0</v>
      </c>
      <c r="Y95"/>
      <c r="Z95"/>
      <c r="AD95" s="4"/>
      <c r="AE95" s="228"/>
      <c r="AG95" s="228"/>
      <c r="AH95" s="228"/>
      <c r="CY95"/>
      <c r="CZ95"/>
      <c r="DF95" s="244"/>
      <c r="DG95" s="244"/>
    </row>
    <row r="96" spans="1:111" hidden="1">
      <c r="A96" s="493"/>
      <c r="B96" s="493"/>
      <c r="C96" s="493"/>
      <c r="D96" s="493"/>
      <c r="E96" s="490"/>
      <c r="F96" s="490"/>
      <c r="G96" s="490"/>
      <c r="I96" s="40"/>
      <c r="J96" s="40"/>
      <c r="K96" s="40"/>
      <c r="L96" s="40"/>
      <c r="R96">
        <f t="shared" si="39"/>
        <v>0</v>
      </c>
      <c r="V96">
        <f t="shared" si="40"/>
        <v>0</v>
      </c>
    </row>
    <row r="97" spans="1:22" hidden="1">
      <c r="A97" s="493"/>
      <c r="B97" s="493"/>
      <c r="C97" s="493"/>
      <c r="D97" s="493"/>
      <c r="E97" s="490"/>
      <c r="F97" s="490"/>
      <c r="G97" s="490"/>
      <c r="I97" s="40"/>
      <c r="J97" s="40"/>
      <c r="K97" s="40"/>
      <c r="L97" s="40"/>
      <c r="R97">
        <f t="shared" si="39"/>
        <v>0</v>
      </c>
      <c r="V97">
        <f t="shared" si="40"/>
        <v>0</v>
      </c>
    </row>
    <row r="98" spans="1:22" hidden="1">
      <c r="A98" s="493"/>
      <c r="B98" s="493"/>
      <c r="C98" s="493"/>
      <c r="D98" s="493"/>
      <c r="E98" s="493"/>
      <c r="F98" s="493"/>
      <c r="G98" s="493"/>
      <c r="I98" s="40"/>
      <c r="J98" s="40"/>
      <c r="K98" s="40"/>
      <c r="L98" s="40"/>
      <c r="R98">
        <f t="shared" si="39"/>
        <v>0</v>
      </c>
      <c r="V98">
        <f t="shared" si="40"/>
        <v>0</v>
      </c>
    </row>
    <row r="99" spans="1:22" hidden="1">
      <c r="A99" s="493"/>
      <c r="I99" s="40"/>
      <c r="J99" s="40"/>
      <c r="K99" s="40"/>
      <c r="L99" s="40"/>
      <c r="R99">
        <f t="shared" si="39"/>
        <v>0</v>
      </c>
      <c r="V99">
        <f t="shared" si="40"/>
        <v>0</v>
      </c>
    </row>
    <row r="100" spans="1:22" hidden="1">
      <c r="I100" s="40"/>
      <c r="J100" s="40"/>
      <c r="K100" s="40"/>
      <c r="L100" s="439"/>
      <c r="R100">
        <f t="shared" si="39"/>
        <v>0</v>
      </c>
      <c r="V100">
        <f t="shared" si="40"/>
        <v>0</v>
      </c>
    </row>
    <row r="101" spans="1:22" hidden="1">
      <c r="I101" s="40"/>
      <c r="J101" s="40"/>
      <c r="K101" s="40"/>
      <c r="L101" s="439"/>
      <c r="R101">
        <f t="shared" si="39"/>
        <v>0</v>
      </c>
      <c r="V101">
        <f t="shared" si="40"/>
        <v>0</v>
      </c>
    </row>
    <row r="102" spans="1:22" hidden="1">
      <c r="I102" s="40"/>
      <c r="J102" s="40"/>
      <c r="K102" s="40"/>
      <c r="L102" s="439"/>
      <c r="R102">
        <f t="shared" si="39"/>
        <v>0</v>
      </c>
      <c r="V102">
        <f t="shared" si="40"/>
        <v>0</v>
      </c>
    </row>
    <row r="103" spans="1:22" hidden="1">
      <c r="I103" s="439"/>
      <c r="J103" s="40"/>
      <c r="K103" s="40"/>
      <c r="L103" s="439"/>
      <c r="R103">
        <f t="shared" si="39"/>
        <v>0</v>
      </c>
      <c r="V103">
        <f t="shared" si="40"/>
        <v>0</v>
      </c>
    </row>
    <row r="104" spans="1:22" hidden="1">
      <c r="I104" s="439"/>
      <c r="J104" s="439"/>
      <c r="K104" s="439"/>
      <c r="L104" s="439"/>
      <c r="R104">
        <f t="shared" si="39"/>
        <v>0</v>
      </c>
      <c r="V104">
        <f t="shared" si="40"/>
        <v>0</v>
      </c>
    </row>
    <row r="105" spans="1:22" ht="17" hidden="1" thickBot="1">
      <c r="I105" s="439"/>
      <c r="J105" s="439"/>
      <c r="K105" s="439"/>
      <c r="L105" s="439"/>
      <c r="R105">
        <f t="shared" si="39"/>
        <v>0</v>
      </c>
      <c r="V105">
        <f t="shared" si="40"/>
        <v>0</v>
      </c>
    </row>
    <row r="106" spans="1:22" ht="17" hidden="1" thickBot="1">
      <c r="I106" s="439"/>
      <c r="J106" s="439"/>
      <c r="K106" s="439"/>
      <c r="L106" s="439"/>
      <c r="R106" s="684">
        <f>SUM(R75:R105)+FB40</f>
        <v>0</v>
      </c>
      <c r="V106">
        <f>SUM(V75:V105)</f>
        <v>0</v>
      </c>
    </row>
    <row r="107" spans="1:22" hidden="1">
      <c r="I107" s="439"/>
      <c r="J107" s="439"/>
      <c r="K107" s="439"/>
      <c r="L107" s="439"/>
    </row>
    <row r="108" spans="1:22" hidden="1"/>
  </sheetData>
  <sheetProtection sheet="1" objects="1" scenarios="1"/>
  <mergeCells count="174">
    <mergeCell ref="FQ8:FR8"/>
    <mergeCell ref="DS8:DV8"/>
    <mergeCell ref="DZ8:EB8"/>
    <mergeCell ref="EG8:EI8"/>
    <mergeCell ref="EM8:EN8"/>
    <mergeCell ref="EQ8:ER8"/>
    <mergeCell ref="EU8:EV8"/>
    <mergeCell ref="FC8:FD8"/>
    <mergeCell ref="FG8:FH8"/>
    <mergeCell ref="FK8:FL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E30:G30"/>
    <mergeCell ref="E31:G31"/>
    <mergeCell ref="E33:G33"/>
    <mergeCell ref="E34:G34"/>
    <mergeCell ref="E35:G35"/>
    <mergeCell ref="E29:G29"/>
    <mergeCell ref="E26:G26"/>
    <mergeCell ref="I6:I7"/>
    <mergeCell ref="J6:J7"/>
    <mergeCell ref="E17:G17"/>
    <mergeCell ref="E18:G18"/>
    <mergeCell ref="E19:G19"/>
    <mergeCell ref="E20:G20"/>
    <mergeCell ref="E21:G21"/>
    <mergeCell ref="E22:G22"/>
    <mergeCell ref="BG6:BK6"/>
    <mergeCell ref="BL6:BP6"/>
    <mergeCell ref="AG6:AK6"/>
    <mergeCell ref="E6:G8"/>
    <mergeCell ref="K6:L6"/>
    <mergeCell ref="N6:N7"/>
    <mergeCell ref="O6:O7"/>
    <mergeCell ref="E25:G25"/>
    <mergeCell ref="I8:J8"/>
    <mergeCell ref="AA6:AE6"/>
    <mergeCell ref="S6:X6"/>
    <mergeCell ref="S8:U8"/>
    <mergeCell ref="V8:X8"/>
    <mergeCell ref="E15:G15"/>
    <mergeCell ref="E16:G16"/>
    <mergeCell ref="E23:G23"/>
    <mergeCell ref="E24:G24"/>
    <mergeCell ref="E11:G11"/>
    <mergeCell ref="K8:R8"/>
    <mergeCell ref="B2:E2"/>
    <mergeCell ref="E4:G4"/>
    <mergeCell ref="K4:L4"/>
    <mergeCell ref="A5:R5"/>
    <mergeCell ref="P6:P7"/>
    <mergeCell ref="Q6:Q7"/>
    <mergeCell ref="R6:R7"/>
    <mergeCell ref="A4:D4"/>
    <mergeCell ref="S5:X5"/>
    <mergeCell ref="A3:X3"/>
    <mergeCell ref="A7:D8"/>
    <mergeCell ref="H7:H8"/>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I53:K53"/>
    <mergeCell ref="M53:U53"/>
    <mergeCell ref="V53:X53"/>
    <mergeCell ref="I54:K54"/>
    <mergeCell ref="E12:G12"/>
    <mergeCell ref="E13:G13"/>
    <mergeCell ref="E14:G14"/>
    <mergeCell ref="EY8:EZ8"/>
    <mergeCell ref="EW6:EZ6"/>
    <mergeCell ref="M52:U52"/>
    <mergeCell ref="V52:X52"/>
    <mergeCell ref="DA6:DE6"/>
    <mergeCell ref="E9:G9"/>
    <mergeCell ref="E10:G10"/>
    <mergeCell ref="BQ6:BU6"/>
    <mergeCell ref="BV6:BZ6"/>
    <mergeCell ref="CD6:CH6"/>
    <mergeCell ref="CI6:CM6"/>
    <mergeCell ref="CN6:CR6"/>
    <mergeCell ref="CS6:CW6"/>
    <mergeCell ref="AL6:AP6"/>
    <mergeCell ref="AQ6:AU6"/>
    <mergeCell ref="AV6:AZ6"/>
    <mergeCell ref="BC6:BF6"/>
  </mergeCells>
  <phoneticPr fontId="5" type="noConversion"/>
  <conditionalFormatting sqref="A9:H9 D10:H31 A10:C39 D32:E32 H32 D33:H39">
    <cfRule type="expression" dxfId="517" priority="56">
      <formula>OR($C9="ekskursion")</formula>
    </cfRule>
    <cfRule type="expression" dxfId="516" priority="62" stopIfTrue="1">
      <formula>OR($C9="Orlov")</formula>
    </cfRule>
    <cfRule type="expression" dxfId="515" priority="61">
      <formula>OR($C9="weekend")</formula>
    </cfRule>
    <cfRule type="expression" dxfId="514" priority="60">
      <formula>OR($C9="feriedag")</formula>
    </cfRule>
    <cfRule type="expression" dxfId="513" priority="59">
      <formula>OR($C9="fagdag")</formula>
    </cfRule>
    <cfRule type="expression" dxfId="512" priority="58">
      <formula>OR($C9="emnedag")</formula>
    </cfRule>
    <cfRule type="expression" dxfId="511" priority="57">
      <formula>OR($C9="lejrskole")</formula>
    </cfRule>
    <cfRule type="expression" dxfId="510" priority="55">
      <formula>OR($C9="SH-dag")</formula>
    </cfRule>
    <cfRule type="expression" dxfId="509" priority="54">
      <formula>OR($C9="nul-dag")</formula>
    </cfRule>
    <cfRule type="expression" dxfId="508" priority="53">
      <formula>OR($C9="pæd.dag")</formula>
    </cfRule>
    <cfRule type="expression" dxfId="507" priority="52">
      <formula>OR($C9="Ikke relevant")</formula>
    </cfRule>
    <cfRule type="expression" dxfId="506" priority="48">
      <formula>OR($C9="Skema 1")</formula>
    </cfRule>
    <cfRule type="expression" dxfId="505" priority="49">
      <formula>OR($C9="skema 2")</formula>
    </cfRule>
    <cfRule type="expression" dxfId="504" priority="50">
      <formula>OR($C9="Skema 3")</formula>
    </cfRule>
    <cfRule type="expression" dxfId="503" priority="51">
      <formula>OR($C9="Skema 4")</formula>
    </cfRule>
  </conditionalFormatting>
  <conditionalFormatting sqref="E20">
    <cfRule type="expression" dxfId="502" priority="64">
      <formula>OR($D19="nul-dag")</formula>
    </cfRule>
    <cfRule type="expression" dxfId="501" priority="65">
      <formula>OR($D19="SH-dag")</formula>
    </cfRule>
    <cfRule type="expression" dxfId="500" priority="66">
      <formula>OR($D19="ekskursion")</formula>
    </cfRule>
    <cfRule type="expression" dxfId="499" priority="67">
      <formula>OR($D19="lejrskole")</formula>
    </cfRule>
    <cfRule type="expression" dxfId="498" priority="63">
      <formula>OR($D19="pæd.dag")</formula>
    </cfRule>
    <cfRule type="expression" dxfId="497" priority="68">
      <formula>OR($D19="emnedag")</formula>
    </cfRule>
    <cfRule type="expression" dxfId="496" priority="69">
      <formula>OR($D19="fagdag")</formula>
    </cfRule>
    <cfRule type="expression" dxfId="495" priority="70">
      <formula>OR($D19="feriedag")</formula>
    </cfRule>
    <cfRule type="expression" dxfId="494" priority="71">
      <formula>OR($D19="weekend")</formula>
    </cfRule>
    <cfRule type="expression" dxfId="493" priority="72" stopIfTrue="1">
      <formula>OR($D19="skoledag")</formula>
    </cfRule>
    <cfRule type="expression" dxfId="492" priority="73">
      <formula>OR($D19="Ikke relevant")</formula>
    </cfRule>
  </conditionalFormatting>
  <conditionalFormatting sqref="H58:H61">
    <cfRule type="expression" dxfId="491" priority="1">
      <formula>OR($A58&gt;0,)</formula>
    </cfRule>
  </conditionalFormatting>
  <conditionalFormatting sqref="I58:I61">
    <cfRule type="expression" dxfId="490" priority="2">
      <formula>OR($C58&gt;0,)</formula>
    </cfRule>
  </conditionalFormatting>
  <conditionalFormatting sqref="K9:K39">
    <cfRule type="expression" dxfId="489" priority="45">
      <formula>OR($C9="Pæd.dag",)</formula>
    </cfRule>
  </conditionalFormatting>
  <conditionalFormatting sqref="K9:L39">
    <cfRule type="expression" dxfId="488" priority="47">
      <formula>OR($C9="Ekskursion",)</formula>
    </cfRule>
    <cfRule type="expression" dxfId="487" priority="46">
      <formula>OR($C9="Lejrskole",)</formula>
    </cfRule>
  </conditionalFormatting>
  <conditionalFormatting sqref="K9:M39">
    <cfRule type="expression" dxfId="486" priority="44">
      <formula>OR($C9="emnedag",)</formula>
    </cfRule>
    <cfRule type="expression" dxfId="485" priority="43">
      <formula>OR($C9="fagdag",)</formula>
    </cfRule>
  </conditionalFormatting>
  <conditionalFormatting sqref="R9:R39">
    <cfRule type="expression" dxfId="484" priority="74">
      <formula>OR($H9&gt;"0",)</formula>
    </cfRule>
  </conditionalFormatting>
  <conditionalFormatting sqref="V9:V39">
    <cfRule type="expression" dxfId="483" priority="10">
      <formula>OR($S9="X",)</formula>
    </cfRule>
  </conditionalFormatting>
  <conditionalFormatting sqref="V49:X52">
    <cfRule type="expression" dxfId="482" priority="3">
      <formula>OR($M49&gt;0,)</formula>
    </cfRule>
  </conditionalFormatting>
  <conditionalFormatting sqref="W9:W39">
    <cfRule type="expression" dxfId="481" priority="9">
      <formula>OR($T9="X",)</formula>
    </cfRule>
  </conditionalFormatting>
  <conditionalFormatting sqref="X9:X39">
    <cfRule type="expression" dxfId="480" priority="8">
      <formula>OR($U9="X",)</formula>
    </cfRule>
  </conditionalFormatting>
  <dataValidations count="3">
    <dataValidation type="list" allowBlank="1" showInputMessage="1" showErrorMessage="1" sqref="S9:T39 U9:U37 A58:D61" xr:uid="{9B78C96F-D852-524A-9D46-9E93C2474DE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5:I26 I32:I33 I11:I12 I37 I18:I19" xr:uid="{51382E11-A09A-A742-87B3-F3A2F17558A4}">
      <formula1>$W$1:$W$2</formula1>
    </dataValidation>
    <dataValidation type="list" allowBlank="1" showInputMessage="1" showErrorMessage="1" promptTitle="OBS:" prompt="Ved arrangementer med overnatning ydes istedet for ulempe- og weekendgodtgørelse på hhv. 25% og 50% faste tillæg pr. påbegyndt dag. " sqref="J9:J39" xr:uid="{DE3CEED3-B62E-0F4F-83C7-8CE305409852}">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August!$A$89:$A$103</xm:f>
          </x14:formula1>
          <xm:sqref>C9:C39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GC106"/>
  <sheetViews>
    <sheetView zoomScale="90" workbookViewId="0">
      <selection activeCell="GC25" sqref="Y1:GC104857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 min="186" max="190" width="10.83203125"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89"/>
      <c r="Y1"/>
      <c r="Z1" s="89"/>
      <c r="AB1" s="89"/>
      <c r="AC1" s="89"/>
      <c r="AH1" s="89"/>
      <c r="AI1" s="89"/>
      <c r="CX1" s="244"/>
      <c r="CZ1"/>
    </row>
    <row r="2" spans="1:185" ht="21" thickBot="1">
      <c r="A2" s="91">
        <v>6</v>
      </c>
      <c r="B2" s="1101"/>
      <c r="C2" s="1101"/>
      <c r="D2" s="1101"/>
      <c r="E2" s="1101"/>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0" t="s">
        <v>309</v>
      </c>
      <c r="B3" s="1131"/>
      <c r="C3" s="1131"/>
      <c r="D3" s="1131"/>
      <c r="E3" s="1131"/>
      <c r="F3" s="1131"/>
      <c r="G3" s="1131"/>
      <c r="H3" s="1131"/>
      <c r="I3" s="1131"/>
      <c r="J3" s="1131"/>
      <c r="K3" s="1131"/>
      <c r="L3" s="1131"/>
      <c r="M3" s="1131"/>
      <c r="N3" s="1131"/>
      <c r="O3" s="1131"/>
      <c r="P3" s="1131"/>
      <c r="Q3" s="1131"/>
      <c r="R3" s="1131"/>
      <c r="S3" s="1131"/>
      <c r="T3" s="1131"/>
      <c r="U3" s="1131"/>
      <c r="V3" s="1131"/>
      <c r="W3" s="1131"/>
      <c r="X3" s="1132"/>
      <c r="Y3" s="89"/>
      <c r="Z3"/>
      <c r="AC3" s="89"/>
      <c r="AD3" s="89"/>
      <c r="AF3" s="89"/>
      <c r="CT3" s="244"/>
      <c r="CU3" s="244"/>
      <c r="CY3"/>
      <c r="CZ3"/>
      <c r="FI3" s="893" t="s">
        <v>623</v>
      </c>
      <c r="FJ3" s="894"/>
      <c r="FK3" s="894"/>
      <c r="FL3" s="894"/>
      <c r="FM3" s="894"/>
      <c r="FN3" s="894"/>
      <c r="FO3" s="894"/>
      <c r="FP3" s="894"/>
      <c r="FQ3" s="894"/>
      <c r="FR3" s="894"/>
      <c r="FS3" s="894"/>
      <c r="FT3" s="894"/>
      <c r="FU3" s="894"/>
      <c r="FV3" s="894"/>
      <c r="FW3" s="894"/>
      <c r="FX3" s="894"/>
      <c r="FY3" s="894"/>
      <c r="FZ3" s="894"/>
      <c r="GA3" s="894"/>
      <c r="GB3" s="894"/>
      <c r="GC3" s="895"/>
    </row>
    <row r="4" spans="1:185" ht="254" customHeight="1" thickBot="1">
      <c r="A4" s="930" t="s">
        <v>431</v>
      </c>
      <c r="B4" s="931"/>
      <c r="C4" s="931"/>
      <c r="D4" s="931"/>
      <c r="E4" s="935" t="s">
        <v>310</v>
      </c>
      <c r="F4" s="935"/>
      <c r="G4" s="935"/>
      <c r="H4" s="276" t="s">
        <v>413</v>
      </c>
      <c r="I4" s="432" t="s">
        <v>466</v>
      </c>
      <c r="J4" s="432" t="s">
        <v>467</v>
      </c>
      <c r="K4" s="946" t="s">
        <v>514</v>
      </c>
      <c r="L4" s="946"/>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5" t="s">
        <v>621</v>
      </c>
      <c r="FJ4" s="745"/>
      <c r="FK4" s="745"/>
      <c r="FL4" s="745"/>
      <c r="FM4" t="s">
        <v>614</v>
      </c>
      <c r="FO4" s="745" t="s">
        <v>620</v>
      </c>
      <c r="FP4" s="745"/>
      <c r="FQ4" s="745"/>
      <c r="FR4" s="745"/>
    </row>
    <row r="5" spans="1:185" ht="26" customHeight="1" thickBot="1">
      <c r="A5" s="947" t="str">
        <f>""&amp;A7&amp;" måneds kalender for: "&amp;Stamoplysninger!E8&amp;". Måneden vedr. normperioden: "&amp;Stamoplysninger!E11&amp;" - "&amp;Stamoplysninger!G11&amp;"."</f>
        <v>Juni måneds kalender for: . Måneden vedr. normperioden:  - .</v>
      </c>
      <c r="B5" s="948"/>
      <c r="C5" s="948"/>
      <c r="D5" s="948"/>
      <c r="E5" s="948"/>
      <c r="F5" s="948"/>
      <c r="G5" s="948"/>
      <c r="H5" s="948"/>
      <c r="I5" s="948"/>
      <c r="J5" s="948"/>
      <c r="K5" s="948"/>
      <c r="L5" s="948"/>
      <c r="M5" s="948"/>
      <c r="N5" s="948"/>
      <c r="O5" s="948"/>
      <c r="P5" s="948"/>
      <c r="Q5" s="948"/>
      <c r="R5" s="948"/>
      <c r="S5" s="940" t="s">
        <v>396</v>
      </c>
      <c r="T5" s="941"/>
      <c r="U5" s="941"/>
      <c r="V5" s="941"/>
      <c r="W5" s="941"/>
      <c r="X5" s="942"/>
      <c r="Y5" s="242"/>
      <c r="Z5" s="89"/>
      <c r="AB5" s="89"/>
      <c r="AC5" s="89"/>
      <c r="AH5" s="89"/>
      <c r="AI5" s="89"/>
      <c r="CX5" s="244"/>
      <c r="CZ5"/>
      <c r="FI5" s="896" t="s">
        <v>607</v>
      </c>
      <c r="FJ5" s="896"/>
      <c r="FK5" s="896"/>
      <c r="FL5" s="896"/>
      <c r="FM5" s="896"/>
      <c r="FN5" s="896"/>
      <c r="FO5" s="896"/>
      <c r="FP5" s="896"/>
      <c r="FQ5" s="896"/>
      <c r="FR5" s="896"/>
      <c r="FU5" t="s">
        <v>622</v>
      </c>
      <c r="FV5" t="s">
        <v>615</v>
      </c>
      <c r="FX5" t="s">
        <v>616</v>
      </c>
      <c r="FZ5" t="s">
        <v>617</v>
      </c>
      <c r="GB5" s="518" t="s">
        <v>618</v>
      </c>
    </row>
    <row r="6" spans="1:185" ht="47" customHeight="1">
      <c r="A6" s="324">
        <f>Januar!A6</f>
        <v>2025</v>
      </c>
      <c r="B6" s="238"/>
      <c r="C6" s="239"/>
      <c r="D6" s="240"/>
      <c r="E6" s="955" t="s">
        <v>470</v>
      </c>
      <c r="F6" s="956"/>
      <c r="G6" s="957"/>
      <c r="H6" s="321" t="s">
        <v>323</v>
      </c>
      <c r="I6" s="903" t="s">
        <v>465</v>
      </c>
      <c r="J6" s="953" t="s">
        <v>486</v>
      </c>
      <c r="K6" s="949" t="s">
        <v>302</v>
      </c>
      <c r="L6" s="950"/>
      <c r="M6" s="322" t="s">
        <v>303</v>
      </c>
      <c r="N6" s="903" t="s">
        <v>446</v>
      </c>
      <c r="O6" s="903" t="s">
        <v>307</v>
      </c>
      <c r="P6" s="903" t="s">
        <v>455</v>
      </c>
      <c r="Q6" s="903" t="s">
        <v>386</v>
      </c>
      <c r="R6" s="906" t="s">
        <v>515</v>
      </c>
      <c r="S6" s="968" t="s">
        <v>304</v>
      </c>
      <c r="T6" s="969"/>
      <c r="U6" s="969"/>
      <c r="V6" s="969"/>
      <c r="W6" s="969"/>
      <c r="X6" s="970"/>
      <c r="Y6" s="211"/>
      <c r="Z6" s="211"/>
      <c r="AA6" s="905" t="s">
        <v>261</v>
      </c>
      <c r="AB6" s="905"/>
      <c r="AC6" s="905"/>
      <c r="AD6" s="905"/>
      <c r="AE6" s="905"/>
      <c r="AF6" s="208"/>
      <c r="AG6" s="905" t="s">
        <v>222</v>
      </c>
      <c r="AH6" s="905"/>
      <c r="AI6" s="905"/>
      <c r="AJ6" s="905"/>
      <c r="AK6" s="905"/>
      <c r="AL6" s="905" t="s">
        <v>223</v>
      </c>
      <c r="AM6" s="905"/>
      <c r="AN6" s="905"/>
      <c r="AO6" s="905"/>
      <c r="AP6" s="905"/>
      <c r="AQ6" s="905" t="s">
        <v>224</v>
      </c>
      <c r="AR6" s="905"/>
      <c r="AS6" s="905"/>
      <c r="AT6" s="905"/>
      <c r="AU6" s="905"/>
      <c r="AV6" s="905" t="s">
        <v>225</v>
      </c>
      <c r="AW6" s="905"/>
      <c r="AX6" s="905"/>
      <c r="AY6" s="905"/>
      <c r="AZ6" s="905"/>
      <c r="BA6" s="295"/>
      <c r="BB6" s="208"/>
      <c r="BC6" s="905" t="s">
        <v>264</v>
      </c>
      <c r="BD6" s="905"/>
      <c r="BE6" s="905"/>
      <c r="BF6" s="905"/>
      <c r="BG6" s="905" t="s">
        <v>227</v>
      </c>
      <c r="BH6" s="905"/>
      <c r="BI6" s="905"/>
      <c r="BJ6" s="905"/>
      <c r="BK6" s="905"/>
      <c r="BL6" s="905" t="s">
        <v>228</v>
      </c>
      <c r="BM6" s="905"/>
      <c r="BN6" s="905"/>
      <c r="BO6" s="905"/>
      <c r="BP6" s="905"/>
      <c r="BQ6" s="905" t="s">
        <v>229</v>
      </c>
      <c r="BR6" s="905"/>
      <c r="BS6" s="905"/>
      <c r="BT6" s="905"/>
      <c r="BU6" s="905"/>
      <c r="BV6" s="905" t="s">
        <v>230</v>
      </c>
      <c r="BW6" s="905"/>
      <c r="BX6" s="905"/>
      <c r="BY6" s="905"/>
      <c r="BZ6" s="905"/>
      <c r="CD6" s="905" t="s">
        <v>265</v>
      </c>
      <c r="CE6" s="905"/>
      <c r="CF6" s="905"/>
      <c r="CG6" s="905"/>
      <c r="CH6" s="905"/>
      <c r="CI6" s="905" t="s">
        <v>267</v>
      </c>
      <c r="CJ6" s="905"/>
      <c r="CK6" s="905"/>
      <c r="CL6" s="905"/>
      <c r="CM6" s="905"/>
      <c r="CN6" s="905" t="s">
        <v>266</v>
      </c>
      <c r="CO6" s="905"/>
      <c r="CP6" s="905"/>
      <c r="CQ6" s="905"/>
      <c r="CR6" s="905"/>
      <c r="CS6" s="905" t="s">
        <v>268</v>
      </c>
      <c r="CT6" s="905"/>
      <c r="CU6" s="905"/>
      <c r="CV6" s="905"/>
      <c r="CW6" s="905"/>
      <c r="CX6" s="244"/>
      <c r="CZ6"/>
      <c r="DA6" s="745" t="s">
        <v>212</v>
      </c>
      <c r="DB6" s="745"/>
      <c r="DC6" s="745"/>
      <c r="DD6" s="745"/>
      <c r="DE6" s="745"/>
      <c r="DO6" s="1064" t="s">
        <v>319</v>
      </c>
      <c r="DP6" s="1065"/>
      <c r="DQ6" s="1065"/>
      <c r="DR6" s="1065"/>
      <c r="DS6" s="1065"/>
      <c r="DT6" s="1065"/>
      <c r="DU6" s="1065"/>
      <c r="DV6" s="1066"/>
      <c r="DW6" s="1067" t="s">
        <v>319</v>
      </c>
      <c r="DX6" s="1068"/>
      <c r="DY6" s="1068"/>
      <c r="DZ6" s="1068"/>
      <c r="EA6" s="1068"/>
      <c r="EB6" s="1069"/>
      <c r="EC6" s="1070" t="s">
        <v>375</v>
      </c>
      <c r="ED6" s="1071"/>
      <c r="EE6" s="1071"/>
      <c r="EF6" s="1071"/>
      <c r="EG6" s="1071"/>
      <c r="EH6" s="1071"/>
      <c r="EI6" s="1071"/>
      <c r="EJ6" s="1072"/>
      <c r="EK6" s="1073" t="s">
        <v>320</v>
      </c>
      <c r="EL6" s="1074"/>
      <c r="EM6" s="1074"/>
      <c r="EN6" s="1075"/>
      <c r="EO6" s="1073" t="s">
        <v>324</v>
      </c>
      <c r="EP6" s="1074"/>
      <c r="EQ6" s="1074"/>
      <c r="ER6" s="1075"/>
      <c r="ES6" s="888" t="s">
        <v>378</v>
      </c>
      <c r="ET6" s="889"/>
      <c r="EU6" s="889"/>
      <c r="EV6" s="890"/>
      <c r="EW6" s="888" t="s">
        <v>379</v>
      </c>
      <c r="EX6" s="889"/>
      <c r="EY6" s="889"/>
      <c r="EZ6" s="890"/>
      <c r="FA6" s="888" t="s">
        <v>380</v>
      </c>
      <c r="FB6" s="889"/>
      <c r="FC6" s="889"/>
      <c r="FD6" s="890"/>
      <c r="FE6" s="888" t="s">
        <v>381</v>
      </c>
      <c r="FF6" s="889"/>
      <c r="FG6" s="889"/>
      <c r="FH6" s="890"/>
      <c r="FI6" s="898" t="s">
        <v>592</v>
      </c>
      <c r="FJ6" s="899"/>
      <c r="FK6" s="899"/>
      <c r="FL6" s="1076"/>
      <c r="FM6" s="897" t="s">
        <v>380</v>
      </c>
      <c r="FN6" s="897"/>
      <c r="FO6" s="898" t="s">
        <v>619</v>
      </c>
      <c r="FP6" s="899"/>
      <c r="FQ6" s="899"/>
      <c r="FR6" s="900"/>
      <c r="FS6" s="901" t="s">
        <v>609</v>
      </c>
      <c r="FT6" s="902"/>
      <c r="FU6" t="s">
        <v>612</v>
      </c>
      <c r="FV6" s="897" t="s">
        <v>378</v>
      </c>
      <c r="FW6" s="897"/>
      <c r="FX6" s="897" t="s">
        <v>379</v>
      </c>
      <c r="FY6" s="897"/>
      <c r="FZ6" s="897" t="s">
        <v>381</v>
      </c>
      <c r="GA6" s="897"/>
      <c r="GB6" s="897" t="s">
        <v>377</v>
      </c>
      <c r="GC6" s="897"/>
    </row>
    <row r="7" spans="1:185" ht="196" customHeight="1">
      <c r="A7" s="1012" t="s">
        <v>288</v>
      </c>
      <c r="B7" s="1013"/>
      <c r="C7" s="1013"/>
      <c r="D7" s="1014"/>
      <c r="E7" s="958"/>
      <c r="F7" s="959"/>
      <c r="G7" s="960"/>
      <c r="H7" s="967" t="s">
        <v>485</v>
      </c>
      <c r="I7" s="952"/>
      <c r="J7" s="954"/>
      <c r="K7" s="323" t="s">
        <v>516</v>
      </c>
      <c r="L7" s="323" t="s">
        <v>517</v>
      </c>
      <c r="M7" s="323" t="s">
        <v>518</v>
      </c>
      <c r="N7" s="904"/>
      <c r="O7" s="904"/>
      <c r="P7" s="904"/>
      <c r="Q7" s="904"/>
      <c r="R7" s="907"/>
      <c r="S7" s="484" t="s">
        <v>668</v>
      </c>
      <c r="T7" s="322" t="s">
        <v>306</v>
      </c>
      <c r="U7" s="322" t="s">
        <v>400</v>
      </c>
      <c r="V7" s="437" t="s">
        <v>438</v>
      </c>
      <c r="W7" s="437" t="s">
        <v>437</v>
      </c>
      <c r="X7" s="438" t="s">
        <v>397</v>
      </c>
      <c r="Y7" s="211" t="s">
        <v>279</v>
      </c>
      <c r="Z7" s="430"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1015"/>
      <c r="B8" s="1016"/>
      <c r="C8" s="1016"/>
      <c r="D8" s="1017"/>
      <c r="E8" s="961"/>
      <c r="F8" s="962"/>
      <c r="G8" s="963"/>
      <c r="H8" s="904"/>
      <c r="I8" s="943" t="s">
        <v>382</v>
      </c>
      <c r="J8" s="951"/>
      <c r="K8" s="943" t="s">
        <v>325</v>
      </c>
      <c r="L8" s="944"/>
      <c r="M8" s="944"/>
      <c r="N8" s="944"/>
      <c r="O8" s="944"/>
      <c r="P8" s="944"/>
      <c r="Q8" s="944"/>
      <c r="R8" s="944"/>
      <c r="S8" s="971" t="s">
        <v>382</v>
      </c>
      <c r="T8" s="944"/>
      <c r="U8" s="951"/>
      <c r="V8" s="1105" t="s">
        <v>383</v>
      </c>
      <c r="W8" s="1106"/>
      <c r="X8" s="1107"/>
      <c r="Y8" s="211"/>
      <c r="Z8" s="430"/>
      <c r="AA8" s="296"/>
      <c r="BB8" s="225"/>
      <c r="CA8" s="111"/>
      <c r="CB8" s="230"/>
      <c r="CC8" s="296"/>
      <c r="CX8" s="244"/>
      <c r="DA8" s="244"/>
      <c r="DB8" s="244"/>
      <c r="DC8" s="244"/>
      <c r="DD8" s="244"/>
      <c r="DE8" s="244"/>
      <c r="DF8" s="244"/>
      <c r="DG8" s="244"/>
      <c r="DH8" t="s">
        <v>492</v>
      </c>
      <c r="DI8" t="s">
        <v>493</v>
      </c>
      <c r="DJ8" t="s">
        <v>494</v>
      </c>
      <c r="DO8" s="643"/>
      <c r="DS8" s="1078" t="s">
        <v>162</v>
      </c>
      <c r="DT8" s="1078"/>
      <c r="DU8" s="1078"/>
      <c r="DV8" s="1079"/>
      <c r="DW8" s="643"/>
      <c r="DZ8" s="1080" t="s">
        <v>162</v>
      </c>
      <c r="EA8" s="1080"/>
      <c r="EB8" s="1081"/>
      <c r="EG8" s="1080" t="s">
        <v>162</v>
      </c>
      <c r="EH8" s="1080"/>
      <c r="EI8" s="1080"/>
      <c r="EJ8" s="644"/>
      <c r="EK8" s="279"/>
      <c r="EL8" s="247"/>
      <c r="EM8" s="891" t="s">
        <v>162</v>
      </c>
      <c r="EN8" s="892"/>
      <c r="EO8" s="279"/>
      <c r="EP8" s="247"/>
      <c r="EQ8" s="891" t="s">
        <v>162</v>
      </c>
      <c r="ER8" s="892"/>
      <c r="ES8" s="279"/>
      <c r="ET8" s="247"/>
      <c r="EU8" s="891" t="s">
        <v>162</v>
      </c>
      <c r="EV8" s="892"/>
      <c r="EW8" s="279"/>
      <c r="EX8" s="247"/>
      <c r="EY8" s="891" t="s">
        <v>162</v>
      </c>
      <c r="EZ8" s="892"/>
      <c r="FA8" s="279"/>
      <c r="FB8" s="247"/>
      <c r="FC8" s="891" t="s">
        <v>162</v>
      </c>
      <c r="FD8" s="892"/>
      <c r="FE8" s="279"/>
      <c r="FF8" s="247"/>
      <c r="FG8" s="891" t="s">
        <v>162</v>
      </c>
      <c r="FH8" s="892"/>
      <c r="FI8" s="279"/>
      <c r="FJ8" s="247"/>
      <c r="FK8" s="891" t="s">
        <v>162</v>
      </c>
      <c r="FL8" s="892"/>
      <c r="FN8" s="636" t="s">
        <v>160</v>
      </c>
      <c r="FO8" s="279"/>
      <c r="FP8" s="247"/>
      <c r="FQ8" s="891" t="s">
        <v>162</v>
      </c>
      <c r="FR8" s="1077"/>
      <c r="FS8" s="279"/>
      <c r="FT8" s="683" t="s">
        <v>160</v>
      </c>
      <c r="FW8" s="636" t="s">
        <v>160</v>
      </c>
      <c r="FY8" s="636" t="s">
        <v>160</v>
      </c>
      <c r="GA8" s="636" t="s">
        <v>160</v>
      </c>
      <c r="GC8" s="636" t="s">
        <v>160</v>
      </c>
    </row>
    <row r="9" spans="1:185">
      <c r="A9" s="241">
        <f>IF(ISNUMBER(A7),A7+1,1)</f>
        <v>1</v>
      </c>
      <c r="B9" s="127" t="str">
        <f t="shared" ref="B9:B38" si="0">CHOOSE(MOD(WEEKDAY(DATE(A$6,A$2,A9)),7)+1,"lø","sø","ma","ti","on","to","fr",)</f>
        <v>sø</v>
      </c>
      <c r="C9" s="128" t="s">
        <v>120</v>
      </c>
      <c r="D9" s="129" t="str">
        <f t="shared" ref="D9:D38" si="1">IF(B9="ma",(DATE(A$6,A$2,A9)-DATE(A$6,1,1)+7)/7,"")</f>
        <v/>
      </c>
      <c r="E9" s="932"/>
      <c r="F9" s="933"/>
      <c r="G9" s="934"/>
      <c r="H9" s="294"/>
      <c r="I9" s="407"/>
      <c r="J9" s="407"/>
      <c r="K9" s="374"/>
      <c r="L9" s="374"/>
      <c r="M9" s="374"/>
      <c r="N9" s="313">
        <f>BA9</f>
        <v>0</v>
      </c>
      <c r="O9" s="313">
        <f>CA9</f>
        <v>0</v>
      </c>
      <c r="P9" s="313">
        <f>IF(Stamoplysninger!$H$29="JA",Juni!DG9,CX9)</f>
        <v>0</v>
      </c>
      <c r="Q9" s="313">
        <f>IF(OR(C9="Lejrskole",C9="Ekskursion"),0,N9-O9-P9)</f>
        <v>0</v>
      </c>
      <c r="R9" s="314"/>
      <c r="S9" s="319"/>
      <c r="T9" s="320"/>
      <c r="U9" s="320"/>
      <c r="V9" s="429"/>
      <c r="W9" s="429"/>
      <c r="X9" s="635"/>
      <c r="Y9">
        <f>IF($S$9="x",V9-N9,0)</f>
        <v>0</v>
      </c>
      <c r="Z9" s="431">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8" si="7">SUM(AG9:AK9)*24</f>
        <v>0</v>
      </c>
      <c r="BC9" s="1">
        <f>IF($C$9="Lejrskole",$L$9,0)</f>
        <v>0</v>
      </c>
      <c r="BD9" s="1">
        <f t="shared" ref="BD9:BD38" si="8">IF(C9="Ekskursion",L9,0)</f>
        <v>0</v>
      </c>
      <c r="BE9" s="1">
        <f t="shared" ref="BE9:BE38" si="9">IF(C9="fagdag",L9,0)</f>
        <v>0</v>
      </c>
      <c r="BF9" s="1">
        <f t="shared" ref="BF9:BF38" si="10">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8" si="11">IF(C9="fagdag",M9,0)</f>
        <v>0</v>
      </c>
      <c r="CC9" s="1">
        <f t="shared" ref="CC9:CC38" si="12">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3">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4">IF(AND(I9="X",S9="X"),V9,0)</f>
        <v>0</v>
      </c>
      <c r="FT9" s="649">
        <f t="shared" ref="FT9:FT37" si="15">IF(AND(AND(C9="ikke relevant",I9="X",S9="X")),V9,0)</f>
        <v>0</v>
      </c>
      <c r="FU9">
        <f t="shared" ref="FU9:FU28" si="16">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7">IF(ISNUMBER(A9),A9+1,1)</f>
        <v>2</v>
      </c>
      <c r="B10" s="127" t="str">
        <f t="shared" si="0"/>
        <v>ma</v>
      </c>
      <c r="C10" s="128" t="s">
        <v>206</v>
      </c>
      <c r="D10" s="129">
        <f t="shared" si="1"/>
        <v>22.714285714285715</v>
      </c>
      <c r="E10" s="932"/>
      <c r="F10" s="933"/>
      <c r="G10" s="934"/>
      <c r="H10" s="294"/>
      <c r="I10" s="519"/>
      <c r="J10" s="407"/>
      <c r="K10" s="374"/>
      <c r="L10" s="374"/>
      <c r="M10" s="374"/>
      <c r="N10" s="313">
        <f t="shared" ref="N10:N38" si="18">BA10</f>
        <v>0</v>
      </c>
      <c r="O10" s="313">
        <f t="shared" ref="O10:O38" si="19">CA10</f>
        <v>0</v>
      </c>
      <c r="P10" s="313">
        <f>IF(Stamoplysninger!$H$29="JA",Juni!DG10,CX10)</f>
        <v>0</v>
      </c>
      <c r="Q10" s="313">
        <f t="shared" ref="Q10:Q38" si="20">IF(OR(C10="Lejrskole",C10="Ekskursion"),0,N10-O10-P10)</f>
        <v>0</v>
      </c>
      <c r="R10" s="314"/>
      <c r="S10" s="319"/>
      <c r="T10" s="320"/>
      <c r="U10" s="320"/>
      <c r="V10" s="429"/>
      <c r="W10" s="429"/>
      <c r="X10" s="635"/>
      <c r="Y10">
        <f t="shared" ref="Y10:Y38" si="21">IF(S10="x",V10-N10,0)</f>
        <v>0</v>
      </c>
      <c r="Z10" s="431">
        <f t="shared" ref="Z10:Z38" si="22">W10</f>
        <v>0</v>
      </c>
      <c r="AA10" s="1">
        <f t="shared" si="2"/>
        <v>0</v>
      </c>
      <c r="AB10" s="1">
        <f t="shared" si="3"/>
        <v>0</v>
      </c>
      <c r="AC10" s="1">
        <f t="shared" si="4"/>
        <v>0</v>
      </c>
      <c r="AD10" s="1">
        <f t="shared" si="5"/>
        <v>0</v>
      </c>
      <c r="AE10" s="1">
        <f t="shared" si="6"/>
        <v>0</v>
      </c>
      <c r="AF10" s="1">
        <f>IF(C10="Orlov",7.4*Stamoplysninger!$E$15,0)</f>
        <v>0</v>
      </c>
      <c r="AG10">
        <f>IF(AND(C10="Skema 1",B10="ma"),Arbejdstidsoversigt!$E$72,"")</f>
        <v>0</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8" si="23">SUM(AA10:AZ10)</f>
        <v>0</v>
      </c>
      <c r="BB10" s="226">
        <f t="shared" si="7"/>
        <v>0</v>
      </c>
      <c r="BC10" s="1">
        <f t="shared" ref="BC10:BC38" si="24">IF(C10="Lejrskole",L10,0)</f>
        <v>0</v>
      </c>
      <c r="BD10" s="1">
        <f t="shared" si="8"/>
        <v>0</v>
      </c>
      <c r="BE10" s="1">
        <f t="shared" si="9"/>
        <v>0</v>
      </c>
      <c r="BF10" s="1">
        <f t="shared" si="10"/>
        <v>0</v>
      </c>
      <c r="BG10" s="209">
        <f>IF(AND(C10="Skema 1",B10="ma"),Skemaoplysninger!$E$30,"")</f>
        <v>0</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8" si="25">SUM(BG10:BZ10)*24+SUM(BC10:BF10)</f>
        <v>0</v>
      </c>
      <c r="CB10" s="1">
        <f t="shared" si="11"/>
        <v>0</v>
      </c>
      <c r="CC10" s="1">
        <f t="shared" si="12"/>
        <v>0</v>
      </c>
      <c r="CD10" s="209">
        <f>IF(AND(C10="Skema 1",B10="ma"),Skemaoplysninger!$E$31,"")</f>
        <v>0</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8" si="26">SUM(CY10:DF10)</f>
        <v>0</v>
      </c>
      <c r="DH10" t="str">
        <f t="shared" ref="DH10:DH38" si="27">IF(AND(E10&gt;0,H10&gt;0),""&amp;E10&amp;" og "&amp;H10&amp;"","")</f>
        <v/>
      </c>
      <c r="DI10">
        <f t="shared" ref="DI10:DI38" si="28">IF(H10="",E10,"")</f>
        <v>0</v>
      </c>
      <c r="DJ10">
        <f t="shared" ref="DJ10:DJ38" si="29">IF(E10="",H10,"")</f>
        <v>0</v>
      </c>
      <c r="DK10" t="str">
        <f t="shared" si="13"/>
        <v/>
      </c>
      <c r="DL10" t="str">
        <f t="shared" si="13"/>
        <v/>
      </c>
      <c r="DM10" t="str">
        <f t="shared" si="13"/>
        <v/>
      </c>
      <c r="DN10" t="str">
        <f t="shared" ref="DN10:DN38"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4"/>
        <v>0</v>
      </c>
      <c r="FT10" s="649">
        <f t="shared" si="15"/>
        <v>0</v>
      </c>
      <c r="FU10">
        <f t="shared" si="16"/>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7"/>
        <v>3</v>
      </c>
      <c r="B11" s="127" t="str">
        <f t="shared" si="0"/>
        <v>ti</v>
      </c>
      <c r="C11" s="128" t="s">
        <v>206</v>
      </c>
      <c r="D11" s="129" t="str">
        <f t="shared" si="1"/>
        <v/>
      </c>
      <c r="E11" s="932"/>
      <c r="F11" s="933"/>
      <c r="G11" s="934"/>
      <c r="H11" s="294"/>
      <c r="I11" s="519"/>
      <c r="J11" s="407"/>
      <c r="K11" s="374"/>
      <c r="L11" s="374"/>
      <c r="M11" s="374"/>
      <c r="N11" s="313">
        <f t="shared" si="18"/>
        <v>0</v>
      </c>
      <c r="O11" s="313">
        <f t="shared" si="19"/>
        <v>0</v>
      </c>
      <c r="P11" s="313">
        <f>IF(Stamoplysninger!$H$29="JA",Juni!DG11,CX11)</f>
        <v>0</v>
      </c>
      <c r="Q11" s="313">
        <f t="shared" si="20"/>
        <v>0</v>
      </c>
      <c r="R11" s="314"/>
      <c r="S11" s="319"/>
      <c r="T11" s="320"/>
      <c r="U11" s="320"/>
      <c r="V11" s="429"/>
      <c r="W11" s="429"/>
      <c r="X11" s="635"/>
      <c r="Y11">
        <f t="shared" si="21"/>
        <v>0</v>
      </c>
      <c r="Z11" s="431">
        <f t="shared" si="22"/>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f>IF(AND(C11="Skema 1",B11="ti"),Arbejdstidsoversigt!$E$73,"")</f>
        <v>0</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7"/>
        <v>0</v>
      </c>
      <c r="BC11" s="1">
        <f t="shared" si="24"/>
        <v>0</v>
      </c>
      <c r="BD11" s="1">
        <f t="shared" si="8"/>
        <v>0</v>
      </c>
      <c r="BE11" s="1">
        <f t="shared" si="9"/>
        <v>0</v>
      </c>
      <c r="BF11" s="1">
        <f t="shared" si="10"/>
        <v>0</v>
      </c>
      <c r="BG11" s="209" t="str">
        <f>IF(AND(C11="Skema 1",B11="ma"),Skemaoplysninger!$E$30,"")</f>
        <v/>
      </c>
      <c r="BH11" s="209">
        <f>IF(AND(C11="Skema 1",B11="ti"),Skemaoplysninger!$G$30,"")</f>
        <v>0</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1"/>
        <v>0</v>
      </c>
      <c r="CC11" s="1">
        <f t="shared" si="12"/>
        <v>0</v>
      </c>
      <c r="CD11" s="209" t="str">
        <f>IF(AND(C11="Skema 1",B11="ma"),Skemaoplysninger!$E$31,"")</f>
        <v/>
      </c>
      <c r="CE11" s="209">
        <f>IF(AND(C11="Skema 1",B11="ti"),Skemaoplysninger!$G$31,"")</f>
        <v>0</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3"/>
        <v/>
      </c>
      <c r="DL11" t="str">
        <f t="shared" si="13"/>
        <v/>
      </c>
      <c r="DM11" t="str">
        <f t="shared" si="13"/>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4"/>
        <v>0</v>
      </c>
      <c r="FT11" s="649">
        <f t="shared" si="15"/>
        <v>0</v>
      </c>
      <c r="FU11">
        <f t="shared" si="16"/>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7"/>
        <v>4</v>
      </c>
      <c r="B12" s="127" t="str">
        <f t="shared" si="0"/>
        <v>on</v>
      </c>
      <c r="C12" s="128" t="s">
        <v>206</v>
      </c>
      <c r="D12" s="129" t="str">
        <f t="shared" si="1"/>
        <v/>
      </c>
      <c r="E12" s="932"/>
      <c r="F12" s="933"/>
      <c r="G12" s="934"/>
      <c r="H12" s="294"/>
      <c r="I12" s="519"/>
      <c r="J12" s="407"/>
      <c r="K12" s="374"/>
      <c r="L12" s="374"/>
      <c r="M12" s="374"/>
      <c r="N12" s="313">
        <f t="shared" si="18"/>
        <v>0</v>
      </c>
      <c r="O12" s="313">
        <f t="shared" si="19"/>
        <v>0</v>
      </c>
      <c r="P12" s="313">
        <f>IF(Stamoplysninger!$H$29="JA",Juni!DG12,CX12)</f>
        <v>0</v>
      </c>
      <c r="Q12" s="313">
        <f t="shared" si="20"/>
        <v>0</v>
      </c>
      <c r="R12" s="314"/>
      <c r="S12" s="319"/>
      <c r="T12" s="320"/>
      <c r="U12" s="320"/>
      <c r="V12" s="429"/>
      <c r="W12" s="429"/>
      <c r="X12" s="635"/>
      <c r="Y12">
        <f t="shared" si="21"/>
        <v>0</v>
      </c>
      <c r="Z12" s="431">
        <f t="shared" si="22"/>
        <v>0</v>
      </c>
      <c r="AA12" s="1">
        <f t="shared" si="2"/>
        <v>0</v>
      </c>
      <c r="AB12" s="1">
        <f t="shared" si="3"/>
        <v>0</v>
      </c>
      <c r="AC12" s="1">
        <f t="shared" si="4"/>
        <v>0</v>
      </c>
      <c r="AD12" s="1">
        <f t="shared" si="5"/>
        <v>0</v>
      </c>
      <c r="AE12" s="1">
        <f t="shared" si="6"/>
        <v>0</v>
      </c>
      <c r="AF12" s="1">
        <f>IF(C12="Orlov",7.4*Stamoplysninger!$E$15,0)</f>
        <v>0</v>
      </c>
      <c r="AG12" t="str">
        <f>IF(AND(C12="Skema 1",B12="ma"),Arbejdstidsoversigt!$E$72,"")</f>
        <v/>
      </c>
      <c r="AH12" t="str">
        <f>IF(AND(C12="Skema 1",B12="ti"),Arbejdstidsoversigt!$E$73,"")</f>
        <v/>
      </c>
      <c r="AI12">
        <f>IF(AND(C12="Skema 1",B12="on"),Arbejdstidsoversigt!$E$74,"")</f>
        <v>0</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7"/>
        <v>0</v>
      </c>
      <c r="BC12" s="1">
        <f t="shared" si="24"/>
        <v>0</v>
      </c>
      <c r="BD12" s="1">
        <f t="shared" si="8"/>
        <v>0</v>
      </c>
      <c r="BE12" s="1">
        <f t="shared" si="9"/>
        <v>0</v>
      </c>
      <c r="BF12" s="1">
        <f t="shared" si="10"/>
        <v>0</v>
      </c>
      <c r="BG12" s="209" t="str">
        <f>IF(AND(C12="Skema 1",B12="ma"),Skemaoplysninger!$E$30,"")</f>
        <v/>
      </c>
      <c r="BH12" s="209" t="str">
        <f>IF(AND(C12="Skema 1",B12="ti"),Skemaoplysninger!$G$30,"")</f>
        <v/>
      </c>
      <c r="BI12" s="209">
        <f>IF(AND(C12="Skema 1",B12="on"),Skemaoplysninger!$I$30,"")</f>
        <v>0</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1"/>
        <v>0</v>
      </c>
      <c r="CC12" s="1">
        <f t="shared" si="12"/>
        <v>0</v>
      </c>
      <c r="CD12" s="209" t="str">
        <f>IF(AND(C12="Skema 1",B12="ma"),Skemaoplysninger!$E$31,"")</f>
        <v/>
      </c>
      <c r="CE12" s="209" t="str">
        <f>IF(AND(C12="Skema 1",B12="ti"),Skemaoplysninger!$G$31,"")</f>
        <v/>
      </c>
      <c r="CF12" s="209">
        <f>IF(AND(C12="Skema 1",B12="on"),Skemaoplysninger!$I$31,"")</f>
        <v>0</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3"/>
        <v/>
      </c>
      <c r="DL12" t="str">
        <f t="shared" si="13"/>
        <v/>
      </c>
      <c r="DM12" t="str">
        <f t="shared" si="13"/>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4"/>
        <v>0</v>
      </c>
      <c r="FT12" s="649">
        <f t="shared" si="15"/>
        <v>0</v>
      </c>
      <c r="FU12">
        <f t="shared" si="16"/>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7"/>
        <v>5</v>
      </c>
      <c r="B13" s="127" t="str">
        <f t="shared" si="0"/>
        <v>to</v>
      </c>
      <c r="C13" s="128" t="s">
        <v>128</v>
      </c>
      <c r="D13" s="129" t="str">
        <f t="shared" si="1"/>
        <v/>
      </c>
      <c r="E13" s="932" t="s">
        <v>218</v>
      </c>
      <c r="F13" s="933"/>
      <c r="G13" s="934"/>
      <c r="H13" s="294"/>
      <c r="I13" s="519"/>
      <c r="J13" s="407"/>
      <c r="K13" s="374"/>
      <c r="L13" s="374"/>
      <c r="M13" s="374"/>
      <c r="N13" s="313">
        <f t="shared" si="18"/>
        <v>0</v>
      </c>
      <c r="O13" s="313">
        <f t="shared" si="19"/>
        <v>0</v>
      </c>
      <c r="P13" s="313">
        <f>IF(Stamoplysninger!$H$29="JA",Juni!DG13,CX13)</f>
        <v>0</v>
      </c>
      <c r="Q13" s="313">
        <f t="shared" si="20"/>
        <v>0</v>
      </c>
      <c r="R13" s="314"/>
      <c r="S13" s="319"/>
      <c r="T13" s="320"/>
      <c r="U13" s="320"/>
      <c r="V13" s="429"/>
      <c r="W13" s="429"/>
      <c r="X13" s="635"/>
      <c r="Y13">
        <f t="shared" si="21"/>
        <v>0</v>
      </c>
      <c r="Z13" s="431">
        <f t="shared" si="22"/>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7"/>
        <v>0</v>
      </c>
      <c r="BC13" s="1">
        <f t="shared" si="24"/>
        <v>0</v>
      </c>
      <c r="BD13" s="1">
        <f t="shared" si="8"/>
        <v>0</v>
      </c>
      <c r="BE13" s="1">
        <f t="shared" si="9"/>
        <v>0</v>
      </c>
      <c r="BF13" s="1">
        <f t="shared" si="10"/>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1"/>
        <v>0</v>
      </c>
      <c r="CC13" s="1">
        <f t="shared" si="12"/>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t="str">
        <f t="shared" si="28"/>
        <v>Grundlovsdag</v>
      </c>
      <c r="DJ13" t="str">
        <f t="shared" si="29"/>
        <v/>
      </c>
      <c r="DK13" t="str">
        <f t="shared" si="13"/>
        <v/>
      </c>
      <c r="DL13" t="str">
        <f t="shared" si="13"/>
        <v>Grundlovsdag</v>
      </c>
      <c r="DM13" t="str">
        <f t="shared" si="13"/>
        <v/>
      </c>
      <c r="DN13" t="str">
        <f t="shared" si="30"/>
        <v>Grundlovsdag</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4"/>
        <v>0</v>
      </c>
      <c r="FT13" s="649">
        <f t="shared" si="15"/>
        <v>0</v>
      </c>
      <c r="FU13">
        <f t="shared" si="16"/>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7"/>
        <v>6</v>
      </c>
      <c r="B14" s="127" t="str">
        <f t="shared" si="0"/>
        <v>fr</v>
      </c>
      <c r="C14" s="128" t="s">
        <v>206</v>
      </c>
      <c r="D14" s="129" t="str">
        <f t="shared" si="1"/>
        <v/>
      </c>
      <c r="E14" s="932"/>
      <c r="F14" s="933"/>
      <c r="G14" s="934"/>
      <c r="H14" s="294"/>
      <c r="I14" s="519"/>
      <c r="J14" s="407"/>
      <c r="K14" s="374"/>
      <c r="L14" s="374"/>
      <c r="M14" s="374"/>
      <c r="N14" s="313">
        <f t="shared" si="18"/>
        <v>0</v>
      </c>
      <c r="O14" s="313">
        <f t="shared" si="19"/>
        <v>0</v>
      </c>
      <c r="P14" s="313">
        <f>IF(Stamoplysninger!$H$29="JA",Juni!DG14,CX14)</f>
        <v>0</v>
      </c>
      <c r="Q14" s="313">
        <f t="shared" si="20"/>
        <v>0</v>
      </c>
      <c r="R14" s="314"/>
      <c r="S14" s="319"/>
      <c r="T14" s="320"/>
      <c r="U14" s="320"/>
      <c r="V14" s="429"/>
      <c r="W14" s="429"/>
      <c r="X14" s="635"/>
      <c r="Y14">
        <f t="shared" si="21"/>
        <v>0</v>
      </c>
      <c r="Z14" s="431">
        <f t="shared" si="22"/>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f>IF(AND(C14="Skema 1",B14="fr"),Arbejdstidsoversigt!$E$76,"")</f>
        <v>0</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7"/>
        <v>0</v>
      </c>
      <c r="BC14" s="1">
        <f t="shared" si="24"/>
        <v>0</v>
      </c>
      <c r="BD14" s="1">
        <f t="shared" si="8"/>
        <v>0</v>
      </c>
      <c r="BE14" s="1">
        <f t="shared" si="9"/>
        <v>0</v>
      </c>
      <c r="BF14" s="1">
        <f t="shared" si="10"/>
        <v>0</v>
      </c>
      <c r="BG14" s="209" t="str">
        <f>IF(AND(C14="Skema 1",B14="ma"),Skemaoplysninger!$E$30,"")</f>
        <v/>
      </c>
      <c r="BH14" s="209" t="str">
        <f>IF(AND(C14="Skema 1",B14="ti"),Skemaoplysninger!$G$30,"")</f>
        <v/>
      </c>
      <c r="BI14" s="209" t="str">
        <f>IF(AND(C14="Skema 1",B14="on"),Skemaoplysninger!$I$30,"")</f>
        <v/>
      </c>
      <c r="BJ14" s="209" t="str">
        <f>IF(AND(C14="Skema 1",B14="to"),Skemaoplysninger!$K$30,"")</f>
        <v/>
      </c>
      <c r="BK14" s="209">
        <f>IF(AND(C14="Skema 1",B14="fr"),Skemaoplysninger!$M$30,"")</f>
        <v>0</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1"/>
        <v>0</v>
      </c>
      <c r="CC14" s="1">
        <f t="shared" si="12"/>
        <v>0</v>
      </c>
      <c r="CD14" s="209" t="str">
        <f>IF(AND(C14="Skema 1",B14="ma"),Skemaoplysninger!$E$31,"")</f>
        <v/>
      </c>
      <c r="CE14" s="209" t="str">
        <f>IF(AND(C14="Skema 1",B14="ti"),Skemaoplysninger!$G$31,"")</f>
        <v/>
      </c>
      <c r="CF14" s="209" t="str">
        <f>IF(AND(C14="Skema 1",B14="on"),Skemaoplysninger!$I$31,"")</f>
        <v/>
      </c>
      <c r="CG14" s="209" t="str">
        <f>IF(AND(C14="Skema 1",B14="to"),Skemaoplysninger!$K$31,"")</f>
        <v/>
      </c>
      <c r="CH14" s="209">
        <f>IF(AND(C14="Skema 1",B14="fr"),Skemaoplysninger!$M$31,"")</f>
        <v>0</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3"/>
        <v/>
      </c>
      <c r="DL14" t="str">
        <f t="shared" si="13"/>
        <v/>
      </c>
      <c r="DM14" t="str">
        <f t="shared" si="13"/>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4"/>
        <v>0</v>
      </c>
      <c r="FT14" s="649">
        <f t="shared" si="15"/>
        <v>0</v>
      </c>
      <c r="FU14">
        <f t="shared" si="16"/>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7"/>
        <v>7</v>
      </c>
      <c r="B15" s="127" t="str">
        <f t="shared" si="0"/>
        <v>lø</v>
      </c>
      <c r="C15" s="128" t="s">
        <v>120</v>
      </c>
      <c r="D15" s="129" t="str">
        <f t="shared" si="1"/>
        <v/>
      </c>
      <c r="E15" s="932"/>
      <c r="F15" s="933"/>
      <c r="G15" s="934"/>
      <c r="H15" s="294"/>
      <c r="I15" s="407"/>
      <c r="J15" s="407"/>
      <c r="K15" s="374"/>
      <c r="L15" s="374"/>
      <c r="M15" s="374"/>
      <c r="N15" s="313">
        <f t="shared" si="18"/>
        <v>0</v>
      </c>
      <c r="O15" s="313">
        <f t="shared" si="19"/>
        <v>0</v>
      </c>
      <c r="P15" s="313">
        <f>IF(Stamoplysninger!$H$29="JA",Juni!DG15,CX15)</f>
        <v>0</v>
      </c>
      <c r="Q15" s="313">
        <f t="shared" si="20"/>
        <v>0</v>
      </c>
      <c r="R15" s="314"/>
      <c r="S15" s="319"/>
      <c r="T15" s="320"/>
      <c r="U15" s="320"/>
      <c r="V15" s="429"/>
      <c r="W15" s="429"/>
      <c r="X15" s="635"/>
      <c r="Y15">
        <f t="shared" si="21"/>
        <v>0</v>
      </c>
      <c r="Z15" s="431">
        <f t="shared" si="22"/>
        <v>0</v>
      </c>
      <c r="AA15" s="1">
        <f t="shared" si="2"/>
        <v>0</v>
      </c>
      <c r="AB15" s="1">
        <f t="shared" si="3"/>
        <v>0</v>
      </c>
      <c r="AC15" s="1">
        <f t="shared" si="4"/>
        <v>0</v>
      </c>
      <c r="AD15" s="1">
        <f t="shared" si="5"/>
        <v>0</v>
      </c>
      <c r="AE15" s="1">
        <f t="shared" si="6"/>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7"/>
        <v>0</v>
      </c>
      <c r="BC15" s="1">
        <f t="shared" si="24"/>
        <v>0</v>
      </c>
      <c r="BD15" s="1">
        <f t="shared" si="8"/>
        <v>0</v>
      </c>
      <c r="BE15" s="1">
        <f t="shared" si="9"/>
        <v>0</v>
      </c>
      <c r="BF15" s="1">
        <f t="shared" si="10"/>
        <v>0</v>
      </c>
      <c r="BG15" s="209" t="str">
        <f>IF(AND(C15="Skema 1",B15="ma"),Skemaoplysninger!$E$30,"")</f>
        <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1"/>
        <v>0</v>
      </c>
      <c r="CC15" s="1">
        <f t="shared" si="12"/>
        <v>0</v>
      </c>
      <c r="CD15" s="209" t="str">
        <f>IF(AND(C15="Skema 1",B15="ma"),Skemaoplysninger!$E$31,"")</f>
        <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3"/>
        <v/>
      </c>
      <c r="DL15" t="str">
        <f t="shared" si="13"/>
        <v/>
      </c>
      <c r="DM15" t="str">
        <f t="shared" si="13"/>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4"/>
        <v>0</v>
      </c>
      <c r="FT15" s="649">
        <f t="shared" si="15"/>
        <v>0</v>
      </c>
      <c r="FU15">
        <f t="shared" si="16"/>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7"/>
        <v>8</v>
      </c>
      <c r="B16" s="127" t="str">
        <f t="shared" si="0"/>
        <v>sø</v>
      </c>
      <c r="C16" s="128" t="s">
        <v>120</v>
      </c>
      <c r="D16" s="129" t="str">
        <f t="shared" si="1"/>
        <v/>
      </c>
      <c r="E16" s="932" t="s">
        <v>177</v>
      </c>
      <c r="F16" s="933"/>
      <c r="G16" s="934"/>
      <c r="H16" s="294"/>
      <c r="I16" s="407"/>
      <c r="J16" s="407"/>
      <c r="K16" s="374"/>
      <c r="L16" s="374"/>
      <c r="M16" s="374"/>
      <c r="N16" s="313">
        <f t="shared" si="18"/>
        <v>0</v>
      </c>
      <c r="O16" s="313">
        <f t="shared" si="19"/>
        <v>0</v>
      </c>
      <c r="P16" s="313">
        <f>IF(Stamoplysninger!$H$29="JA",Juni!DG16,CX16)</f>
        <v>0</v>
      </c>
      <c r="Q16" s="313">
        <f t="shared" si="20"/>
        <v>0</v>
      </c>
      <c r="R16" s="314"/>
      <c r="S16" s="319"/>
      <c r="T16" s="320"/>
      <c r="U16" s="320"/>
      <c r="V16" s="429"/>
      <c r="W16" s="429"/>
      <c r="X16" s="635"/>
      <c r="Y16">
        <f t="shared" si="21"/>
        <v>0</v>
      </c>
      <c r="Z16" s="431">
        <f t="shared" si="22"/>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7"/>
        <v>0</v>
      </c>
      <c r="BC16" s="1">
        <f t="shared" si="24"/>
        <v>0</v>
      </c>
      <c r="BD16" s="1">
        <f t="shared" si="8"/>
        <v>0</v>
      </c>
      <c r="BE16" s="1">
        <f t="shared" si="9"/>
        <v>0</v>
      </c>
      <c r="BF16" s="1">
        <f t="shared" si="10"/>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1"/>
        <v>0</v>
      </c>
      <c r="CC16" s="1">
        <f t="shared" si="12"/>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t="str">
        <f t="shared" si="28"/>
        <v>Pinsedag</v>
      </c>
      <c r="DJ16" t="str">
        <f t="shared" si="29"/>
        <v/>
      </c>
      <c r="DK16" t="str">
        <f t="shared" si="13"/>
        <v/>
      </c>
      <c r="DL16" t="str">
        <f t="shared" si="13"/>
        <v>Pinsedag</v>
      </c>
      <c r="DM16" t="str">
        <f t="shared" si="13"/>
        <v/>
      </c>
      <c r="DN16" t="str">
        <f t="shared" si="30"/>
        <v>Pinsedag</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4"/>
        <v>0</v>
      </c>
      <c r="FT16" s="649">
        <f t="shared" si="15"/>
        <v>0</v>
      </c>
      <c r="FU16">
        <f t="shared" si="16"/>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7"/>
        <v>9</v>
      </c>
      <c r="B17" s="127" t="str">
        <f t="shared" si="0"/>
        <v>ma</v>
      </c>
      <c r="C17" s="128" t="s">
        <v>119</v>
      </c>
      <c r="D17" s="129">
        <f t="shared" si="1"/>
        <v>23.714285714285715</v>
      </c>
      <c r="E17" s="932" t="s">
        <v>318</v>
      </c>
      <c r="F17" s="933"/>
      <c r="G17" s="934"/>
      <c r="H17" s="294"/>
      <c r="I17" s="407"/>
      <c r="J17" s="407"/>
      <c r="K17" s="374"/>
      <c r="L17" s="374"/>
      <c r="M17" s="374"/>
      <c r="N17" s="313">
        <f t="shared" si="18"/>
        <v>0</v>
      </c>
      <c r="O17" s="313">
        <f t="shared" si="19"/>
        <v>0</v>
      </c>
      <c r="P17" s="313">
        <f>IF(Stamoplysninger!$H$29="JA",Juni!DG17,CX17)</f>
        <v>0</v>
      </c>
      <c r="Q17" s="313">
        <f t="shared" si="20"/>
        <v>0</v>
      </c>
      <c r="R17" s="314"/>
      <c r="S17" s="319"/>
      <c r="T17" s="320"/>
      <c r="U17" s="320"/>
      <c r="V17" s="429"/>
      <c r="W17" s="429"/>
      <c r="X17" s="635"/>
      <c r="Y17">
        <f t="shared" si="21"/>
        <v>0</v>
      </c>
      <c r="Z17" s="431">
        <f t="shared" si="22"/>
        <v>0</v>
      </c>
      <c r="AA17" s="1">
        <f t="shared" si="2"/>
        <v>0</v>
      </c>
      <c r="AB17" s="1">
        <f t="shared" si="3"/>
        <v>0</v>
      </c>
      <c r="AC17" s="1">
        <f t="shared" si="4"/>
        <v>0</v>
      </c>
      <c r="AD17" s="1">
        <f t="shared" si="5"/>
        <v>0</v>
      </c>
      <c r="AE17" s="1">
        <f t="shared" si="6"/>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7"/>
        <v>0</v>
      </c>
      <c r="BC17" s="1">
        <f t="shared" si="24"/>
        <v>0</v>
      </c>
      <c r="BD17" s="1">
        <f t="shared" si="8"/>
        <v>0</v>
      </c>
      <c r="BE17" s="1">
        <f t="shared" si="9"/>
        <v>0</v>
      </c>
      <c r="BF17" s="1">
        <f t="shared" si="10"/>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1"/>
        <v>0</v>
      </c>
      <c r="CC17" s="1">
        <f t="shared" si="12"/>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t="str">
        <f t="shared" si="28"/>
        <v>2. pinsedag</v>
      </c>
      <c r="DJ17" t="str">
        <f t="shared" si="29"/>
        <v/>
      </c>
      <c r="DK17" t="str">
        <f t="shared" si="13"/>
        <v/>
      </c>
      <c r="DL17" t="str">
        <f t="shared" si="13"/>
        <v>2. pinsedag</v>
      </c>
      <c r="DM17" t="str">
        <f t="shared" si="13"/>
        <v/>
      </c>
      <c r="DN17" t="str">
        <f t="shared" si="30"/>
        <v>2. pinsedag</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4"/>
        <v>0</v>
      </c>
      <c r="FT17" s="649">
        <f t="shared" si="15"/>
        <v>0</v>
      </c>
      <c r="FU17">
        <f t="shared" si="16"/>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7"/>
        <v>10</v>
      </c>
      <c r="B18" s="127" t="str">
        <f t="shared" si="0"/>
        <v>ti</v>
      </c>
      <c r="C18" s="128" t="s">
        <v>206</v>
      </c>
      <c r="D18" s="129" t="str">
        <f t="shared" si="1"/>
        <v/>
      </c>
      <c r="E18" s="932"/>
      <c r="F18" s="933"/>
      <c r="G18" s="934"/>
      <c r="H18" s="294"/>
      <c r="I18" s="519"/>
      <c r="J18" s="407"/>
      <c r="K18" s="374"/>
      <c r="L18" s="374"/>
      <c r="M18" s="374"/>
      <c r="N18" s="313">
        <f t="shared" si="18"/>
        <v>0</v>
      </c>
      <c r="O18" s="313">
        <f t="shared" si="19"/>
        <v>0</v>
      </c>
      <c r="P18" s="313">
        <f>IF(Stamoplysninger!$H$29="JA",Juni!DG18,CX18)</f>
        <v>0</v>
      </c>
      <c r="Q18" s="313">
        <f t="shared" si="20"/>
        <v>0</v>
      </c>
      <c r="R18" s="314"/>
      <c r="S18" s="319"/>
      <c r="T18" s="320"/>
      <c r="U18" s="320"/>
      <c r="V18" s="429"/>
      <c r="W18" s="429"/>
      <c r="X18" s="635"/>
      <c r="Y18">
        <f t="shared" si="21"/>
        <v>0</v>
      </c>
      <c r="Z18" s="431">
        <f t="shared" si="22"/>
        <v>0</v>
      </c>
      <c r="AA18" s="1">
        <f t="shared" si="2"/>
        <v>0</v>
      </c>
      <c r="AB18" s="1">
        <f t="shared" si="3"/>
        <v>0</v>
      </c>
      <c r="AC18" s="1">
        <f t="shared" si="4"/>
        <v>0</v>
      </c>
      <c r="AD18" s="1">
        <f t="shared" si="5"/>
        <v>0</v>
      </c>
      <c r="AE18" s="1">
        <f t="shared" si="6"/>
        <v>0</v>
      </c>
      <c r="AF18" s="1">
        <f>IF(C18="Orlov",7.4*Stamoplysninger!$E$15,0)</f>
        <v>0</v>
      </c>
      <c r="AG18" t="str">
        <f>IF(AND(C18="Skema 1",B18="ma"),Arbejdstidsoversigt!$E$72,"")</f>
        <v/>
      </c>
      <c r="AH18">
        <f>IF(AND(C18="Skema 1",B18="ti"),Arbejdstidsoversigt!$E$73,"")</f>
        <v>0</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7"/>
        <v>0</v>
      </c>
      <c r="BC18" s="1">
        <f t="shared" si="24"/>
        <v>0</v>
      </c>
      <c r="BD18" s="1">
        <f t="shared" si="8"/>
        <v>0</v>
      </c>
      <c r="BE18" s="1">
        <f t="shared" si="9"/>
        <v>0</v>
      </c>
      <c r="BF18" s="1">
        <f t="shared" si="10"/>
        <v>0</v>
      </c>
      <c r="BG18" s="209" t="str">
        <f>IF(AND(C18="Skema 1",B18="ma"),Skemaoplysninger!$E$30,"")</f>
        <v/>
      </c>
      <c r="BH18" s="209">
        <f>IF(AND(C18="Skema 1",B18="ti"),Skemaoplysninger!$G$30,"")</f>
        <v>0</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1"/>
        <v>0</v>
      </c>
      <c r="CC18" s="1">
        <f t="shared" si="12"/>
        <v>0</v>
      </c>
      <c r="CD18" s="209" t="str">
        <f>IF(AND(C18="Skema 1",B18="ma"),Skemaoplysninger!$E$31,"")</f>
        <v/>
      </c>
      <c r="CE18" s="209">
        <f>IF(AND(C18="Skema 1",B18="ti"),Skemaoplysninger!$G$31,"")</f>
        <v>0</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3"/>
        <v/>
      </c>
      <c r="DL18" t="str">
        <f t="shared" si="13"/>
        <v/>
      </c>
      <c r="DM18" t="str">
        <f t="shared" si="13"/>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4"/>
        <v>0</v>
      </c>
      <c r="FT18" s="649">
        <f t="shared" si="15"/>
        <v>0</v>
      </c>
      <c r="FU18">
        <f t="shared" si="16"/>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7"/>
        <v>11</v>
      </c>
      <c r="B19" s="127" t="str">
        <f t="shared" si="0"/>
        <v>on</v>
      </c>
      <c r="C19" s="128" t="s">
        <v>206</v>
      </c>
      <c r="D19" s="129" t="str">
        <f t="shared" si="1"/>
        <v/>
      </c>
      <c r="E19" s="932"/>
      <c r="F19" s="933"/>
      <c r="G19" s="934"/>
      <c r="H19" s="294"/>
      <c r="I19" s="519"/>
      <c r="J19" s="407"/>
      <c r="K19" s="374"/>
      <c r="L19" s="374"/>
      <c r="M19" s="374"/>
      <c r="N19" s="313">
        <f t="shared" si="18"/>
        <v>0</v>
      </c>
      <c r="O19" s="313">
        <f t="shared" si="19"/>
        <v>0</v>
      </c>
      <c r="P19" s="313">
        <f>IF(Stamoplysninger!$H$29="JA",Juni!DG19,CX19)</f>
        <v>0</v>
      </c>
      <c r="Q19" s="313">
        <f t="shared" si="20"/>
        <v>0</v>
      </c>
      <c r="R19" s="314"/>
      <c r="S19" s="319"/>
      <c r="T19" s="320"/>
      <c r="U19" s="320"/>
      <c r="V19" s="429"/>
      <c r="W19" s="429"/>
      <c r="X19" s="635"/>
      <c r="Y19">
        <f t="shared" si="21"/>
        <v>0</v>
      </c>
      <c r="Z19" s="431">
        <f t="shared" si="22"/>
        <v>0</v>
      </c>
      <c r="AA19" s="1">
        <f t="shared" si="2"/>
        <v>0</v>
      </c>
      <c r="AB19" s="1">
        <f t="shared" si="3"/>
        <v>0</v>
      </c>
      <c r="AC19" s="1">
        <f t="shared" si="4"/>
        <v>0</v>
      </c>
      <c r="AD19" s="1">
        <f t="shared" si="5"/>
        <v>0</v>
      </c>
      <c r="AE19" s="1">
        <f t="shared" si="6"/>
        <v>0</v>
      </c>
      <c r="AF19" s="1">
        <f>IF(C19="Orlov",7.4*Stamoplysninger!$E$15,0)</f>
        <v>0</v>
      </c>
      <c r="AG19" t="str">
        <f>IF(AND(C19="Skema 1",B19="ma"),Arbejdstidsoversigt!$E$72,"")</f>
        <v/>
      </c>
      <c r="AH19" t="str">
        <f>IF(AND(C19="Skema 1",B19="ti"),Arbejdstidsoversigt!$E$73,"")</f>
        <v/>
      </c>
      <c r="AI19">
        <f>IF(AND(C19="Skema 1",B19="on"),Arbejdstidsoversigt!$E$74,"")</f>
        <v>0</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7"/>
        <v>0</v>
      </c>
      <c r="BC19" s="1">
        <f t="shared" si="24"/>
        <v>0</v>
      </c>
      <c r="BD19" s="1">
        <f t="shared" si="8"/>
        <v>0</v>
      </c>
      <c r="BE19" s="1">
        <f t="shared" si="9"/>
        <v>0</v>
      </c>
      <c r="BF19" s="1">
        <f t="shared" si="10"/>
        <v>0</v>
      </c>
      <c r="BG19" s="209" t="str">
        <f>IF(AND(C19="Skema 1",B19="ma"),Skemaoplysninger!$E$30,"")</f>
        <v/>
      </c>
      <c r="BH19" s="209" t="str">
        <f>IF(AND(C19="Skema 1",B19="ti"),Skemaoplysninger!$G$30,"")</f>
        <v/>
      </c>
      <c r="BI19" s="209">
        <f>IF(AND(C19="Skema 1",B19="on"),Skemaoplysninger!$I$30,"")</f>
        <v>0</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1"/>
        <v>0</v>
      </c>
      <c r="CC19" s="1">
        <f t="shared" si="12"/>
        <v>0</v>
      </c>
      <c r="CD19" s="209" t="str">
        <f>IF(AND(C19="Skema 1",B19="ma"),Skemaoplysninger!$E$31,"")</f>
        <v/>
      </c>
      <c r="CE19" s="209" t="str">
        <f>IF(AND(C19="Skema 1",B19="ti"),Skemaoplysninger!$G$31,"")</f>
        <v/>
      </c>
      <c r="CF19" s="209">
        <f>IF(AND(C19="Skema 1",B19="on"),Skemaoplysninger!$I$31,"")</f>
        <v>0</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3"/>
        <v/>
      </c>
      <c r="DL19" t="str">
        <f t="shared" si="13"/>
        <v/>
      </c>
      <c r="DM19" t="str">
        <f t="shared" si="13"/>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4"/>
        <v>0</v>
      </c>
      <c r="FT19" s="649">
        <f t="shared" si="15"/>
        <v>0</v>
      </c>
      <c r="FU19">
        <f t="shared" si="16"/>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to</v>
      </c>
      <c r="C20" s="128" t="s">
        <v>206</v>
      </c>
      <c r="D20" s="129" t="str">
        <f t="shared" si="1"/>
        <v/>
      </c>
      <c r="E20" s="932"/>
      <c r="F20" s="933"/>
      <c r="G20" s="934"/>
      <c r="H20" s="294"/>
      <c r="I20" s="519"/>
      <c r="J20" s="407"/>
      <c r="K20" s="374"/>
      <c r="L20" s="374"/>
      <c r="M20" s="374"/>
      <c r="N20" s="313">
        <f t="shared" si="18"/>
        <v>0</v>
      </c>
      <c r="O20" s="313">
        <f t="shared" si="19"/>
        <v>0</v>
      </c>
      <c r="P20" s="313">
        <f>IF(Stamoplysninger!$H$29="JA",Juni!DG20,CX20)</f>
        <v>0</v>
      </c>
      <c r="Q20" s="313">
        <f t="shared" si="20"/>
        <v>0</v>
      </c>
      <c r="R20" s="314"/>
      <c r="S20" s="319"/>
      <c r="T20" s="320"/>
      <c r="U20" s="320"/>
      <c r="V20" s="429"/>
      <c r="W20" s="429"/>
      <c r="X20" s="635"/>
      <c r="Y20">
        <f t="shared" si="21"/>
        <v>0</v>
      </c>
      <c r="Z20" s="431">
        <f t="shared" si="22"/>
        <v>0</v>
      </c>
      <c r="AA20" s="1">
        <f t="shared" si="2"/>
        <v>0</v>
      </c>
      <c r="AB20" s="1">
        <f t="shared" si="3"/>
        <v>0</v>
      </c>
      <c r="AC20" s="1">
        <f t="shared" si="4"/>
        <v>0</v>
      </c>
      <c r="AD20" s="1">
        <f t="shared" si="5"/>
        <v>0</v>
      </c>
      <c r="AE20" s="1">
        <f t="shared" si="6"/>
        <v>0</v>
      </c>
      <c r="AF20" s="1">
        <f>IF(C20="Orlov",7.4*Stamoplysninger!$E$15,0)</f>
        <v>0</v>
      </c>
      <c r="AG20" t="str">
        <f>IF(AND(C20="Skema 1",B20="ma"),Arbejdstidsoversigt!$E$72,"")</f>
        <v/>
      </c>
      <c r="AH20" t="str">
        <f>IF(AND(C20="Skema 1",B20="ti"),Arbejdstidsoversigt!$E$73,"")</f>
        <v/>
      </c>
      <c r="AI20" t="str">
        <f>IF(AND(C20="Skema 1",B20="on"),Arbejdstidsoversigt!$E$74,"")</f>
        <v/>
      </c>
      <c r="AJ20">
        <f>IF(AND(C20="Skema 1",B20="to"),Arbejdstidsoversigt!$E$75,"")</f>
        <v>0</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7"/>
        <v>0</v>
      </c>
      <c r="BC20" s="1">
        <f t="shared" si="24"/>
        <v>0</v>
      </c>
      <c r="BD20" s="1">
        <f t="shared" si="8"/>
        <v>0</v>
      </c>
      <c r="BE20" s="1">
        <f t="shared" si="9"/>
        <v>0</v>
      </c>
      <c r="BF20" s="1">
        <f t="shared" si="10"/>
        <v>0</v>
      </c>
      <c r="BG20" s="209" t="str">
        <f>IF(AND(C20="Skema 1",B20="ma"),Skemaoplysninger!$E$30,"")</f>
        <v/>
      </c>
      <c r="BH20" s="209" t="str">
        <f>IF(AND(C20="Skema 1",B20="ti"),Skemaoplysninger!$G$30,"")</f>
        <v/>
      </c>
      <c r="BI20" s="209" t="str">
        <f>IF(AND(C20="Skema 1",B20="on"),Skemaoplysninger!$I$30,"")</f>
        <v/>
      </c>
      <c r="BJ20" s="209">
        <f>IF(AND(C20="Skema 1",B20="to"),Skemaoplysninger!$K$30,"")</f>
        <v>0</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1"/>
        <v>0</v>
      </c>
      <c r="CC20" s="1">
        <f t="shared" si="12"/>
        <v>0</v>
      </c>
      <c r="CD20" s="209" t="str">
        <f>IF(AND(C20="Skema 1",B20="ma"),Skemaoplysninger!$E$31,"")</f>
        <v/>
      </c>
      <c r="CE20" s="209" t="str">
        <f>IF(AND(C20="Skema 1",B20="ti"),Skemaoplysninger!$G$31,"")</f>
        <v/>
      </c>
      <c r="CF20" s="209" t="str">
        <f>IF(AND(C20="Skema 1",B20="on"),Skemaoplysninger!$I$31,"")</f>
        <v/>
      </c>
      <c r="CG20" s="209">
        <f>IF(AND(C20="Skema 1",B20="to"),Skemaoplysninger!$K$31,"")</f>
        <v>0</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3"/>
        <v/>
      </c>
      <c r="DL20" t="str">
        <f t="shared" si="13"/>
        <v/>
      </c>
      <c r="DM20" t="str">
        <f t="shared" si="13"/>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4"/>
        <v>0</v>
      </c>
      <c r="FT20" s="649">
        <f t="shared" si="15"/>
        <v>0</v>
      </c>
      <c r="FU20">
        <f t="shared" si="16"/>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fr</v>
      </c>
      <c r="C21" s="128" t="s">
        <v>206</v>
      </c>
      <c r="D21" s="129" t="str">
        <f t="shared" si="1"/>
        <v/>
      </c>
      <c r="E21" s="964"/>
      <c r="F21" s="965"/>
      <c r="G21" s="966"/>
      <c r="H21" s="293"/>
      <c r="I21" s="519"/>
      <c r="J21" s="407"/>
      <c r="K21" s="374"/>
      <c r="L21" s="374"/>
      <c r="M21" s="374"/>
      <c r="N21" s="313">
        <f t="shared" si="18"/>
        <v>0</v>
      </c>
      <c r="O21" s="313">
        <f t="shared" si="19"/>
        <v>0</v>
      </c>
      <c r="P21" s="313">
        <f>IF(Stamoplysninger!$H$29="JA",Juni!DG21,CX21)</f>
        <v>0</v>
      </c>
      <c r="Q21" s="313">
        <f t="shared" si="20"/>
        <v>0</v>
      </c>
      <c r="R21" s="314"/>
      <c r="S21" s="319"/>
      <c r="T21" s="320"/>
      <c r="U21" s="320"/>
      <c r="V21" s="429"/>
      <c r="W21" s="429"/>
      <c r="X21" s="635"/>
      <c r="Y21">
        <f t="shared" si="21"/>
        <v>0</v>
      </c>
      <c r="Z21" s="431">
        <f t="shared" si="22"/>
        <v>0</v>
      </c>
      <c r="AA21" s="1">
        <f t="shared" si="2"/>
        <v>0</v>
      </c>
      <c r="AB21" s="1">
        <f t="shared" si="3"/>
        <v>0</v>
      </c>
      <c r="AC21" s="1">
        <f t="shared" si="4"/>
        <v>0</v>
      </c>
      <c r="AD21" s="1">
        <f t="shared" si="5"/>
        <v>0</v>
      </c>
      <c r="AE21" s="1">
        <f t="shared" si="6"/>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f>IF(AND(C21="Skema 1",B21="fr"),Arbejdstidsoversigt!$E$76,"")</f>
        <v>0</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7"/>
        <v>0</v>
      </c>
      <c r="BC21" s="1">
        <f t="shared" si="24"/>
        <v>0</v>
      </c>
      <c r="BD21" s="1">
        <f t="shared" si="8"/>
        <v>0</v>
      </c>
      <c r="BE21" s="1">
        <f t="shared" si="9"/>
        <v>0</v>
      </c>
      <c r="BF21" s="1">
        <f t="shared" si="10"/>
        <v>0</v>
      </c>
      <c r="BG21" s="209" t="str">
        <f>IF(AND(C21="Skema 1",B21="ma"),Skemaoplysninger!$E$30,"")</f>
        <v/>
      </c>
      <c r="BH21" s="209" t="str">
        <f>IF(AND(C21="Skema 1",B21="ti"),Skemaoplysninger!$G$30,"")</f>
        <v/>
      </c>
      <c r="BI21" s="209" t="str">
        <f>IF(AND(C21="Skema 1",B21="on"),Skemaoplysninger!$I$30,"")</f>
        <v/>
      </c>
      <c r="BJ21" s="209" t="str">
        <f>IF(AND(C21="Skema 1",B21="to"),Skemaoplysninger!$K$30,"")</f>
        <v/>
      </c>
      <c r="BK21" s="209">
        <f>IF(AND(C21="Skema 1",B21="fr"),Skemaoplysninger!$M$30,"")</f>
        <v>0</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1"/>
        <v>0</v>
      </c>
      <c r="CC21" s="1">
        <f t="shared" si="12"/>
        <v>0</v>
      </c>
      <c r="CD21" s="209" t="str">
        <f>IF(AND(C21="Skema 1",B21="ma"),Skemaoplysninger!$E$31,"")</f>
        <v/>
      </c>
      <c r="CE21" s="209" t="str">
        <f>IF(AND(C21="Skema 1",B21="ti"),Skemaoplysninger!$G$31,"")</f>
        <v/>
      </c>
      <c r="CF21" s="209" t="str">
        <f>IF(AND(C21="Skema 1",B21="on"),Skemaoplysninger!$I$31,"")</f>
        <v/>
      </c>
      <c r="CG21" s="209" t="str">
        <f>IF(AND(C21="Skema 1",B21="to"),Skemaoplysninger!$K$31,"")</f>
        <v/>
      </c>
      <c r="CH21" s="209">
        <f>IF(AND(C21="Skema 1",B21="fr"),Skemaoplysninger!$M$31,"")</f>
        <v>0</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3"/>
        <v/>
      </c>
      <c r="DL21" t="str">
        <f t="shared" si="13"/>
        <v/>
      </c>
      <c r="DM21" t="str">
        <f t="shared" si="13"/>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4"/>
        <v>0</v>
      </c>
      <c r="FT21" s="649">
        <f t="shared" si="15"/>
        <v>0</v>
      </c>
      <c r="FU21">
        <f t="shared" si="16"/>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7"/>
        <v>14</v>
      </c>
      <c r="B22" s="127" t="str">
        <f t="shared" si="0"/>
        <v>lø</v>
      </c>
      <c r="C22" s="128" t="s">
        <v>120</v>
      </c>
      <c r="D22" s="129" t="str">
        <f t="shared" si="1"/>
        <v/>
      </c>
      <c r="E22" s="964"/>
      <c r="F22" s="965"/>
      <c r="G22" s="966"/>
      <c r="H22" s="293"/>
      <c r="I22" s="407"/>
      <c r="J22" s="407"/>
      <c r="K22" s="374"/>
      <c r="L22" s="374"/>
      <c r="M22" s="374"/>
      <c r="N22" s="313">
        <f t="shared" si="18"/>
        <v>0</v>
      </c>
      <c r="O22" s="313">
        <f t="shared" si="19"/>
        <v>0</v>
      </c>
      <c r="P22" s="313">
        <f>IF(Stamoplysninger!$H$29="JA",Juni!DG22,CX22)</f>
        <v>0</v>
      </c>
      <c r="Q22" s="313">
        <f t="shared" si="20"/>
        <v>0</v>
      </c>
      <c r="R22" s="314"/>
      <c r="S22" s="319"/>
      <c r="T22" s="320"/>
      <c r="U22" s="320"/>
      <c r="V22" s="429"/>
      <c r="W22" s="429"/>
      <c r="X22" s="635"/>
      <c r="Y22">
        <f t="shared" si="21"/>
        <v>0</v>
      </c>
      <c r="Z22" s="431">
        <f t="shared" si="22"/>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7"/>
        <v>0</v>
      </c>
      <c r="BC22" s="1">
        <f t="shared" si="24"/>
        <v>0</v>
      </c>
      <c r="BD22" s="1">
        <f t="shared" si="8"/>
        <v>0</v>
      </c>
      <c r="BE22" s="1">
        <f t="shared" si="9"/>
        <v>0</v>
      </c>
      <c r="BF22" s="1">
        <f t="shared" si="10"/>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1"/>
        <v>0</v>
      </c>
      <c r="CC22" s="1">
        <f t="shared" si="12"/>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3"/>
        <v/>
      </c>
      <c r="DL22" t="str">
        <f t="shared" si="13"/>
        <v/>
      </c>
      <c r="DM22" t="str">
        <f t="shared" si="13"/>
        <v/>
      </c>
      <c r="DN22" t="str">
        <f t="shared" si="30"/>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4"/>
        <v>0</v>
      </c>
      <c r="FT22" s="649">
        <f t="shared" si="15"/>
        <v>0</v>
      </c>
      <c r="FU22">
        <f t="shared" si="16"/>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7"/>
        <v>15</v>
      </c>
      <c r="B23" s="127" t="str">
        <f t="shared" si="0"/>
        <v>sø</v>
      </c>
      <c r="C23" s="128" t="s">
        <v>120</v>
      </c>
      <c r="D23" s="129" t="str">
        <f t="shared" si="1"/>
        <v/>
      </c>
      <c r="E23" s="964"/>
      <c r="F23" s="965"/>
      <c r="G23" s="966"/>
      <c r="H23" s="293"/>
      <c r="I23" s="407"/>
      <c r="J23" s="407"/>
      <c r="K23" s="374"/>
      <c r="L23" s="374"/>
      <c r="M23" s="374"/>
      <c r="N23" s="313">
        <f t="shared" si="18"/>
        <v>0</v>
      </c>
      <c r="O23" s="313">
        <f t="shared" si="19"/>
        <v>0</v>
      </c>
      <c r="P23" s="313">
        <f>IF(Stamoplysninger!$H$29="JA",Juni!DG23,CX23)</f>
        <v>0</v>
      </c>
      <c r="Q23" s="313">
        <f t="shared" si="20"/>
        <v>0</v>
      </c>
      <c r="R23" s="314"/>
      <c r="S23" s="319"/>
      <c r="T23" s="320"/>
      <c r="U23" s="320"/>
      <c r="V23" s="429"/>
      <c r="W23" s="429"/>
      <c r="X23" s="635"/>
      <c r="Y23">
        <f t="shared" si="21"/>
        <v>0</v>
      </c>
      <c r="Z23" s="431">
        <f t="shared" si="22"/>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7"/>
        <v>0</v>
      </c>
      <c r="BC23" s="1">
        <f t="shared" si="24"/>
        <v>0</v>
      </c>
      <c r="BD23" s="1">
        <f t="shared" si="8"/>
        <v>0</v>
      </c>
      <c r="BE23" s="1">
        <f t="shared" si="9"/>
        <v>0</v>
      </c>
      <c r="BF23" s="1">
        <f t="shared" si="10"/>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1"/>
        <v>0</v>
      </c>
      <c r="CC23" s="1">
        <f t="shared" si="12"/>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3"/>
        <v/>
      </c>
      <c r="DL23" t="str">
        <f t="shared" si="13"/>
        <v/>
      </c>
      <c r="DM23" t="str">
        <f t="shared" si="13"/>
        <v/>
      </c>
      <c r="DN23" t="str">
        <f t="shared" si="30"/>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4"/>
        <v>0</v>
      </c>
      <c r="FT23" s="649">
        <f t="shared" si="15"/>
        <v>0</v>
      </c>
      <c r="FU23">
        <f t="shared" si="16"/>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ma</v>
      </c>
      <c r="C24" s="128" t="s">
        <v>206</v>
      </c>
      <c r="D24" s="129">
        <f t="shared" si="1"/>
        <v>24.714285714285715</v>
      </c>
      <c r="E24" s="932"/>
      <c r="F24" s="933"/>
      <c r="G24" s="934"/>
      <c r="H24" s="294"/>
      <c r="I24" s="519"/>
      <c r="J24" s="407"/>
      <c r="K24" s="374"/>
      <c r="L24" s="374"/>
      <c r="M24" s="374"/>
      <c r="N24" s="313">
        <f t="shared" si="18"/>
        <v>0</v>
      </c>
      <c r="O24" s="313">
        <f t="shared" si="19"/>
        <v>0</v>
      </c>
      <c r="P24" s="313">
        <f>IF(Stamoplysninger!$H$29="JA",Juni!DG24,CX24)</f>
        <v>0</v>
      </c>
      <c r="Q24" s="313">
        <f t="shared" si="20"/>
        <v>0</v>
      </c>
      <c r="R24" s="314"/>
      <c r="S24" s="319"/>
      <c r="T24" s="320"/>
      <c r="U24" s="320"/>
      <c r="V24" s="429"/>
      <c r="W24" s="429"/>
      <c r="X24" s="635"/>
      <c r="Y24">
        <f t="shared" si="21"/>
        <v>0</v>
      </c>
      <c r="Z24" s="431">
        <f t="shared" si="22"/>
        <v>0</v>
      </c>
      <c r="AA24" s="1">
        <f t="shared" si="2"/>
        <v>0</v>
      </c>
      <c r="AB24" s="1">
        <f t="shared" si="3"/>
        <v>0</v>
      </c>
      <c r="AC24" s="1">
        <f t="shared" si="4"/>
        <v>0</v>
      </c>
      <c r="AD24" s="1">
        <f t="shared" si="5"/>
        <v>0</v>
      </c>
      <c r="AE24" s="1">
        <f t="shared" si="6"/>
        <v>0</v>
      </c>
      <c r="AF24" s="1">
        <f>IF(C24="Orlov",7.4*Stamoplysninger!$E$15,0)</f>
        <v>0</v>
      </c>
      <c r="AG24">
        <f>IF(AND(C24="Skema 1",B24="ma"),Arbejdstidsoversigt!$E$72,"")</f>
        <v>0</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7"/>
        <v>0</v>
      </c>
      <c r="BC24" s="1">
        <f t="shared" si="24"/>
        <v>0</v>
      </c>
      <c r="BD24" s="1">
        <f t="shared" si="8"/>
        <v>0</v>
      </c>
      <c r="BE24" s="1">
        <f t="shared" si="9"/>
        <v>0</v>
      </c>
      <c r="BF24" s="1">
        <f t="shared" si="10"/>
        <v>0</v>
      </c>
      <c r="BG24" s="209">
        <f>IF(AND(C24="Skema 1",B24="ma"),Skemaoplysninger!$E$30,"")</f>
        <v>0</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1"/>
        <v>0</v>
      </c>
      <c r="CC24" s="1">
        <f t="shared" si="12"/>
        <v>0</v>
      </c>
      <c r="CD24" s="209">
        <f>IF(AND(C24="Skema 1",B24="ma"),Skemaoplysninger!$E$31,"")</f>
        <v>0</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3"/>
        <v/>
      </c>
      <c r="DL24" t="str">
        <f t="shared" si="13"/>
        <v/>
      </c>
      <c r="DM24" t="str">
        <f t="shared" si="13"/>
        <v/>
      </c>
      <c r="DN24" t="str">
        <f t="shared" si="30"/>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4"/>
        <v>0</v>
      </c>
      <c r="FT24" s="649">
        <f t="shared" si="15"/>
        <v>0</v>
      </c>
      <c r="FU24">
        <f t="shared" si="16"/>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7"/>
        <v>17</v>
      </c>
      <c r="B25" s="127" t="str">
        <f t="shared" si="0"/>
        <v>ti</v>
      </c>
      <c r="C25" s="128" t="s">
        <v>206</v>
      </c>
      <c r="D25" s="129" t="str">
        <f t="shared" si="1"/>
        <v/>
      </c>
      <c r="E25" s="932"/>
      <c r="F25" s="933"/>
      <c r="G25" s="934"/>
      <c r="H25" s="294"/>
      <c r="I25" s="519"/>
      <c r="J25" s="407"/>
      <c r="K25" s="374"/>
      <c r="L25" s="374"/>
      <c r="M25" s="374"/>
      <c r="N25" s="313">
        <f t="shared" si="18"/>
        <v>0</v>
      </c>
      <c r="O25" s="313">
        <f t="shared" si="19"/>
        <v>0</v>
      </c>
      <c r="P25" s="313">
        <f>IF(Stamoplysninger!$H$29="JA",Juni!DG25,CX25)</f>
        <v>0</v>
      </c>
      <c r="Q25" s="313">
        <f t="shared" si="20"/>
        <v>0</v>
      </c>
      <c r="R25" s="314"/>
      <c r="S25" s="319"/>
      <c r="T25" s="320"/>
      <c r="U25" s="320"/>
      <c r="V25" s="429"/>
      <c r="W25" s="429"/>
      <c r="X25" s="635"/>
      <c r="Y25">
        <f t="shared" si="21"/>
        <v>0</v>
      </c>
      <c r="Z25" s="431">
        <f t="shared" si="22"/>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f>IF(AND(C25="Skema 1",B25="ti"),Arbejdstidsoversigt!$E$73,"")</f>
        <v>0</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7"/>
        <v>0</v>
      </c>
      <c r="BC25" s="1">
        <f t="shared" si="24"/>
        <v>0</v>
      </c>
      <c r="BD25" s="1">
        <f t="shared" si="8"/>
        <v>0</v>
      </c>
      <c r="BE25" s="1">
        <f t="shared" si="9"/>
        <v>0</v>
      </c>
      <c r="BF25" s="1">
        <f t="shared" si="10"/>
        <v>0</v>
      </c>
      <c r="BG25" s="209" t="str">
        <f>IF(AND(C25="Skema 1",B25="ma"),Skemaoplysninger!$E$30,"")</f>
        <v/>
      </c>
      <c r="BH25" s="209">
        <f>IF(AND(C25="Skema 1",B25="ti"),Skemaoplysninger!$G$30,"")</f>
        <v>0</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1"/>
        <v>0</v>
      </c>
      <c r="CC25" s="1">
        <f t="shared" si="12"/>
        <v>0</v>
      </c>
      <c r="CD25" s="209" t="str">
        <f>IF(AND(C25="Skema 1",B25="ma"),Skemaoplysninger!$E$31,"")</f>
        <v/>
      </c>
      <c r="CE25" s="209">
        <f>IF(AND(C25="Skema 1",B25="ti"),Skemaoplysninger!$G$31,"")</f>
        <v>0</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3"/>
        <v/>
      </c>
      <c r="DL25" t="str">
        <f t="shared" si="13"/>
        <v/>
      </c>
      <c r="DM25" t="str">
        <f t="shared" si="13"/>
        <v/>
      </c>
      <c r="DN25" t="str">
        <f t="shared" si="30"/>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4"/>
        <v>0</v>
      </c>
      <c r="FT25" s="649">
        <f t="shared" si="15"/>
        <v>0</v>
      </c>
      <c r="FU25">
        <f t="shared" si="16"/>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7"/>
        <v>18</v>
      </c>
      <c r="B26" s="127" t="str">
        <f t="shared" si="0"/>
        <v>on</v>
      </c>
      <c r="C26" s="128" t="s">
        <v>206</v>
      </c>
      <c r="D26" s="129" t="str">
        <f t="shared" si="1"/>
        <v/>
      </c>
      <c r="E26" s="932"/>
      <c r="F26" s="933"/>
      <c r="G26" s="934"/>
      <c r="H26" s="294"/>
      <c r="I26" s="519"/>
      <c r="J26" s="407"/>
      <c r="K26" s="374"/>
      <c r="L26" s="374"/>
      <c r="M26" s="374"/>
      <c r="N26" s="313">
        <f t="shared" si="18"/>
        <v>0</v>
      </c>
      <c r="O26" s="313">
        <f t="shared" si="19"/>
        <v>0</v>
      </c>
      <c r="P26" s="313">
        <f>IF(Stamoplysninger!$H$29="JA",Juni!DG26,CX26)</f>
        <v>0</v>
      </c>
      <c r="Q26" s="313">
        <f t="shared" si="20"/>
        <v>0</v>
      </c>
      <c r="R26" s="314"/>
      <c r="S26" s="319"/>
      <c r="T26" s="320"/>
      <c r="U26" s="320"/>
      <c r="V26" s="429"/>
      <c r="W26" s="429"/>
      <c r="X26" s="635"/>
      <c r="Y26">
        <f t="shared" si="21"/>
        <v>0</v>
      </c>
      <c r="Z26" s="431">
        <f t="shared" si="22"/>
        <v>0</v>
      </c>
      <c r="AA26" s="1">
        <f t="shared" si="2"/>
        <v>0</v>
      </c>
      <c r="AB26" s="1">
        <f t="shared" si="3"/>
        <v>0</v>
      </c>
      <c r="AC26" s="1">
        <f t="shared" si="4"/>
        <v>0</v>
      </c>
      <c r="AD26" s="1">
        <f t="shared" si="5"/>
        <v>0</v>
      </c>
      <c r="AE26" s="1">
        <f t="shared" si="6"/>
        <v>0</v>
      </c>
      <c r="AF26" s="1">
        <f>IF(C26="Orlov",7.4*Stamoplysninger!$E$15,0)</f>
        <v>0</v>
      </c>
      <c r="AG26" t="str">
        <f>IF(AND(C26="Skema 1",B26="ma"),Arbejdstidsoversigt!$E$72,"")</f>
        <v/>
      </c>
      <c r="AH26" t="str">
        <f>IF(AND(C26="Skema 1",B26="ti"),Arbejdstidsoversigt!$E$73,"")</f>
        <v/>
      </c>
      <c r="AI26">
        <f>IF(AND(C26="Skema 1",B26="on"),Arbejdstidsoversigt!$E$74,"")</f>
        <v>0</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7"/>
        <v>0</v>
      </c>
      <c r="BC26" s="1">
        <f t="shared" si="24"/>
        <v>0</v>
      </c>
      <c r="BD26" s="1">
        <f t="shared" si="8"/>
        <v>0</v>
      </c>
      <c r="BE26" s="1">
        <f t="shared" si="9"/>
        <v>0</v>
      </c>
      <c r="BF26" s="1">
        <f t="shared" si="10"/>
        <v>0</v>
      </c>
      <c r="BG26" s="209" t="str">
        <f>IF(AND(C26="Skema 1",B26="ma"),Skemaoplysninger!$E$30,"")</f>
        <v/>
      </c>
      <c r="BH26" s="209" t="str">
        <f>IF(AND(C26="Skema 1",B26="ti"),Skemaoplysninger!$G$30,"")</f>
        <v/>
      </c>
      <c r="BI26" s="209">
        <f>IF(AND(C26="Skema 1",B26="on"),Skemaoplysninger!$I$30,"")</f>
        <v>0</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1"/>
        <v>0</v>
      </c>
      <c r="CC26" s="1">
        <f t="shared" si="12"/>
        <v>0</v>
      </c>
      <c r="CD26" s="209" t="str">
        <f>IF(AND(C26="Skema 1",B26="ma"),Skemaoplysninger!$E$31,"")</f>
        <v/>
      </c>
      <c r="CE26" s="209" t="str">
        <f>IF(AND(C26="Skema 1",B26="ti"),Skemaoplysninger!$G$31,"")</f>
        <v/>
      </c>
      <c r="CF26" s="209">
        <f>IF(AND(C26="Skema 1",B26="on"),Skemaoplysninger!$I$31,"")</f>
        <v>0</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3"/>
        <v/>
      </c>
      <c r="DL26" t="str">
        <f t="shared" si="13"/>
        <v/>
      </c>
      <c r="DM26" t="str">
        <f t="shared" si="13"/>
        <v/>
      </c>
      <c r="DN26" t="str">
        <f t="shared" si="30"/>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4"/>
        <v>0</v>
      </c>
      <c r="FT26" s="649">
        <f t="shared" si="15"/>
        <v>0</v>
      </c>
      <c r="FU26">
        <f t="shared" si="16"/>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7"/>
        <v>19</v>
      </c>
      <c r="B27" s="127" t="str">
        <f t="shared" si="0"/>
        <v>to</v>
      </c>
      <c r="C27" s="128" t="s">
        <v>206</v>
      </c>
      <c r="D27" s="129" t="str">
        <f t="shared" si="1"/>
        <v/>
      </c>
      <c r="E27" s="932"/>
      <c r="F27" s="933"/>
      <c r="G27" s="934"/>
      <c r="H27" s="294"/>
      <c r="I27" s="519"/>
      <c r="J27" s="407"/>
      <c r="K27" s="374"/>
      <c r="L27" s="374"/>
      <c r="M27" s="374"/>
      <c r="N27" s="313">
        <f t="shared" si="18"/>
        <v>0</v>
      </c>
      <c r="O27" s="313">
        <f t="shared" si="19"/>
        <v>0</v>
      </c>
      <c r="P27" s="313">
        <f>IF(Stamoplysninger!$H$29="JA",Juni!DG27,CX27)</f>
        <v>0</v>
      </c>
      <c r="Q27" s="313">
        <f t="shared" si="20"/>
        <v>0</v>
      </c>
      <c r="R27" s="314"/>
      <c r="S27" s="319"/>
      <c r="T27" s="320"/>
      <c r="U27" s="320"/>
      <c r="V27" s="429"/>
      <c r="W27" s="429"/>
      <c r="X27" s="635"/>
      <c r="Y27">
        <f t="shared" si="21"/>
        <v>0</v>
      </c>
      <c r="Z27" s="431">
        <f t="shared" si="22"/>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t="str">
        <f>IF(AND(C27="Skema 1",B27="ti"),Arbejdstidsoversigt!$E$73,"")</f>
        <v/>
      </c>
      <c r="AI27" t="str">
        <f>IF(AND(C27="Skema 1",B27="on"),Arbejdstidsoversigt!$E$74,"")</f>
        <v/>
      </c>
      <c r="AJ27">
        <f>IF(AND(C27="Skema 1",B27="to"),Arbejdstidsoversigt!$E$75,"")</f>
        <v>0</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7"/>
        <v>0</v>
      </c>
      <c r="BC27" s="1">
        <f t="shared" si="24"/>
        <v>0</v>
      </c>
      <c r="BD27" s="1">
        <f t="shared" si="8"/>
        <v>0</v>
      </c>
      <c r="BE27" s="1">
        <f t="shared" si="9"/>
        <v>0</v>
      </c>
      <c r="BF27" s="1">
        <f t="shared" si="10"/>
        <v>0</v>
      </c>
      <c r="BG27" s="209" t="str">
        <f>IF(AND(C27="Skema 1",B27="ma"),Skemaoplysninger!$E$30,"")</f>
        <v/>
      </c>
      <c r="BH27" s="209" t="str">
        <f>IF(AND(C27="Skema 1",B27="ti"),Skemaoplysninger!$G$30,"")</f>
        <v/>
      </c>
      <c r="BI27" s="209" t="str">
        <f>IF(AND(C27="Skema 1",B27="on"),Skemaoplysninger!$I$30,"")</f>
        <v/>
      </c>
      <c r="BJ27" s="209">
        <f>IF(AND(C27="Skema 1",B27="to"),Skemaoplysninger!$K$30,"")</f>
        <v>0</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1"/>
        <v>0</v>
      </c>
      <c r="CC27" s="1">
        <f t="shared" si="12"/>
        <v>0</v>
      </c>
      <c r="CD27" s="209" t="str">
        <f>IF(AND(C27="Skema 1",B27="ma"),Skemaoplysninger!$E$31,"")</f>
        <v/>
      </c>
      <c r="CE27" s="209" t="str">
        <f>IF(AND(C27="Skema 1",B27="ti"),Skemaoplysninger!$G$31,"")</f>
        <v/>
      </c>
      <c r="CF27" s="209" t="str">
        <f>IF(AND(C27="Skema 1",B27="on"),Skemaoplysninger!$I$31,"")</f>
        <v/>
      </c>
      <c r="CG27" s="209">
        <f>IF(AND(C27="Skema 1",B27="to"),Skemaoplysninger!$K$31,"")</f>
        <v>0</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3"/>
        <v/>
      </c>
      <c r="DL27" t="str">
        <f t="shared" si="13"/>
        <v/>
      </c>
      <c r="DM27" t="str">
        <f t="shared" si="13"/>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4"/>
        <v>0</v>
      </c>
      <c r="FT27" s="649">
        <f t="shared" si="15"/>
        <v>0</v>
      </c>
      <c r="FU27">
        <f t="shared" si="16"/>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7"/>
        <v>20</v>
      </c>
      <c r="B28" s="127" t="str">
        <f t="shared" si="0"/>
        <v>fr</v>
      </c>
      <c r="C28" s="128" t="s">
        <v>206</v>
      </c>
      <c r="D28" s="129" t="str">
        <f t="shared" si="1"/>
        <v/>
      </c>
      <c r="E28" s="932"/>
      <c r="F28" s="933"/>
      <c r="G28" s="934"/>
      <c r="H28" s="294"/>
      <c r="I28" s="519"/>
      <c r="J28" s="407"/>
      <c r="K28" s="374"/>
      <c r="L28" s="374"/>
      <c r="M28" s="374"/>
      <c r="N28" s="313">
        <f t="shared" si="18"/>
        <v>0</v>
      </c>
      <c r="O28" s="313">
        <f t="shared" si="19"/>
        <v>0</v>
      </c>
      <c r="P28" s="313">
        <f>IF(Stamoplysninger!$H$29="JA",Juni!DG28,CX28)</f>
        <v>0</v>
      </c>
      <c r="Q28" s="313">
        <f t="shared" si="20"/>
        <v>0</v>
      </c>
      <c r="R28" s="314"/>
      <c r="S28" s="319"/>
      <c r="T28" s="320"/>
      <c r="U28" s="320"/>
      <c r="V28" s="429"/>
      <c r="W28" s="429"/>
      <c r="X28" s="635"/>
      <c r="Y28">
        <f t="shared" si="21"/>
        <v>0</v>
      </c>
      <c r="Z28" s="431">
        <f t="shared" si="22"/>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f>IF(AND(C28="Skema 1",B28="fr"),Arbejdstidsoversigt!$E$76,"")</f>
        <v>0</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7"/>
        <v>0</v>
      </c>
      <c r="BC28" s="1">
        <f t="shared" si="24"/>
        <v>0</v>
      </c>
      <c r="BD28" s="1">
        <f t="shared" si="8"/>
        <v>0</v>
      </c>
      <c r="BE28" s="1">
        <f t="shared" si="9"/>
        <v>0</v>
      </c>
      <c r="BF28" s="1">
        <f t="shared" si="10"/>
        <v>0</v>
      </c>
      <c r="BG28" s="209" t="str">
        <f>IF(AND(C28="Skema 1",B28="ma"),Skemaoplysninger!$E$30,"")</f>
        <v/>
      </c>
      <c r="BH28" s="209" t="str">
        <f>IF(AND(C28="Skema 1",B28="ti"),Skemaoplysninger!$G$30,"")</f>
        <v/>
      </c>
      <c r="BI28" s="209" t="str">
        <f>IF(AND(C28="Skema 1",B28="on"),Skemaoplysninger!$I$30,"")</f>
        <v/>
      </c>
      <c r="BJ28" s="209" t="str">
        <f>IF(AND(C28="Skema 1",B28="to"),Skemaoplysninger!$K$30,"")</f>
        <v/>
      </c>
      <c r="BK28" s="209">
        <f>IF(AND(C28="Skema 1",B28="fr"),Skemaoplysninger!$M$30,"")</f>
        <v>0</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1"/>
        <v>0</v>
      </c>
      <c r="CC28" s="1">
        <f t="shared" si="12"/>
        <v>0</v>
      </c>
      <c r="CD28" s="209" t="str">
        <f>IF(AND(C28="Skema 1",B28="ma"),Skemaoplysninger!$E$31,"")</f>
        <v/>
      </c>
      <c r="CE28" s="209" t="str">
        <f>IF(AND(C28="Skema 1",B28="ti"),Skemaoplysninger!$G$31,"")</f>
        <v/>
      </c>
      <c r="CF28" s="209" t="str">
        <f>IF(AND(C28="Skema 1",B28="on"),Skemaoplysninger!$I$31,"")</f>
        <v/>
      </c>
      <c r="CG28" s="209" t="str">
        <f>IF(AND(C28="Skema 1",B28="to"),Skemaoplysninger!$K$31,"")</f>
        <v/>
      </c>
      <c r="CH28" s="209">
        <f>IF(AND(C28="Skema 1",B28="fr"),Skemaoplysninger!$M$31,"")</f>
        <v>0</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3"/>
        <v/>
      </c>
      <c r="DL28" t="str">
        <f t="shared" si="13"/>
        <v/>
      </c>
      <c r="DM28" t="str">
        <f t="shared" si="13"/>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4"/>
        <v>0</v>
      </c>
      <c r="FT28" s="649">
        <f t="shared" si="15"/>
        <v>0</v>
      </c>
      <c r="FU28">
        <f t="shared" si="16"/>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7"/>
        <v>21</v>
      </c>
      <c r="B29" s="127" t="str">
        <f t="shared" si="0"/>
        <v>lø</v>
      </c>
      <c r="C29" s="128" t="s">
        <v>120</v>
      </c>
      <c r="D29" s="129" t="str">
        <f t="shared" si="1"/>
        <v/>
      </c>
      <c r="E29" s="932"/>
      <c r="F29" s="933"/>
      <c r="G29" s="934"/>
      <c r="H29" s="294"/>
      <c r="I29" s="407"/>
      <c r="J29" s="407"/>
      <c r="K29" s="374"/>
      <c r="L29" s="374"/>
      <c r="M29" s="374"/>
      <c r="N29" s="313">
        <f t="shared" si="18"/>
        <v>0</v>
      </c>
      <c r="O29" s="313">
        <f t="shared" si="19"/>
        <v>0</v>
      </c>
      <c r="P29" s="313">
        <f>IF(Stamoplysninger!$H$29="JA",Juni!DG29,CX29)</f>
        <v>0</v>
      </c>
      <c r="Q29" s="313">
        <f t="shared" si="20"/>
        <v>0</v>
      </c>
      <c r="R29" s="314"/>
      <c r="S29" s="319"/>
      <c r="T29" s="320"/>
      <c r="U29" s="320"/>
      <c r="V29" s="429"/>
      <c r="W29" s="429"/>
      <c r="X29" s="635"/>
      <c r="Y29">
        <f t="shared" si="21"/>
        <v>0</v>
      </c>
      <c r="Z29" s="431">
        <f t="shared" si="22"/>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7"/>
        <v>0</v>
      </c>
      <c r="BC29" s="1">
        <f t="shared" si="24"/>
        <v>0</v>
      </c>
      <c r="BD29" s="1">
        <f t="shared" si="8"/>
        <v>0</v>
      </c>
      <c r="BE29" s="1">
        <f t="shared" si="9"/>
        <v>0</v>
      </c>
      <c r="BF29" s="1">
        <f t="shared" si="10"/>
        <v>0</v>
      </c>
      <c r="BG29" s="209" t="str">
        <f>IF(AND(C29="Skema 1",B29="ma"),Skemaoplysninger!$E$30,"")</f>
        <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1"/>
        <v>0</v>
      </c>
      <c r="CC29" s="1">
        <f t="shared" si="12"/>
        <v>0</v>
      </c>
      <c r="CD29" s="209" t="str">
        <f>IF(AND(C29="Skema 1",B29="ma"),Skemaoplysninger!$E$31,"")</f>
        <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3"/>
        <v/>
      </c>
      <c r="DL29" t="str">
        <f t="shared" si="13"/>
        <v/>
      </c>
      <c r="DM29" t="str">
        <f t="shared" si="13"/>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4"/>
        <v>0</v>
      </c>
      <c r="FT29" s="649">
        <f t="shared" si="15"/>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7"/>
        <v>22</v>
      </c>
      <c r="B30" s="127" t="str">
        <f t="shared" si="0"/>
        <v>sø</v>
      </c>
      <c r="C30" s="128" t="s">
        <v>120</v>
      </c>
      <c r="D30" s="129" t="str">
        <f t="shared" si="1"/>
        <v/>
      </c>
      <c r="E30" s="932"/>
      <c r="F30" s="933"/>
      <c r="G30" s="934"/>
      <c r="H30" s="294"/>
      <c r="I30" s="407"/>
      <c r="J30" s="407"/>
      <c r="K30" s="374"/>
      <c r="L30" s="374"/>
      <c r="M30" s="374"/>
      <c r="N30" s="313">
        <f t="shared" si="18"/>
        <v>0</v>
      </c>
      <c r="O30" s="313">
        <f t="shared" si="19"/>
        <v>0</v>
      </c>
      <c r="P30" s="313">
        <f>IF(Stamoplysninger!$H$29="JA",Juni!DG30,CX30)</f>
        <v>0</v>
      </c>
      <c r="Q30" s="313">
        <f t="shared" si="20"/>
        <v>0</v>
      </c>
      <c r="R30" s="314"/>
      <c r="S30" s="319"/>
      <c r="T30" s="320"/>
      <c r="U30" s="320"/>
      <c r="V30" s="429"/>
      <c r="W30" s="429"/>
      <c r="X30" s="635"/>
      <c r="Y30">
        <f t="shared" si="21"/>
        <v>0</v>
      </c>
      <c r="Z30" s="431">
        <f t="shared" si="22"/>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7"/>
        <v>0</v>
      </c>
      <c r="BC30" s="1">
        <f t="shared" si="24"/>
        <v>0</v>
      </c>
      <c r="BD30" s="1">
        <f t="shared" si="8"/>
        <v>0</v>
      </c>
      <c r="BE30" s="1">
        <f t="shared" si="9"/>
        <v>0</v>
      </c>
      <c r="BF30" s="1">
        <f t="shared" si="10"/>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1"/>
        <v>0</v>
      </c>
      <c r="CC30" s="1">
        <f t="shared" si="12"/>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3"/>
        <v/>
      </c>
      <c r="DL30" t="str">
        <f t="shared" si="13"/>
        <v/>
      </c>
      <c r="DM30" t="str">
        <f t="shared" si="13"/>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4"/>
        <v>0</v>
      </c>
      <c r="FT30" s="649">
        <f t="shared" si="15"/>
        <v>0</v>
      </c>
      <c r="FU30">
        <f t="shared" ref="FU30:FU38"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7"/>
        <v>23</v>
      </c>
      <c r="B31" s="127" t="str">
        <f t="shared" si="0"/>
        <v>ma</v>
      </c>
      <c r="C31" s="128" t="s">
        <v>206</v>
      </c>
      <c r="D31" s="129">
        <f t="shared" si="1"/>
        <v>25.714285714285715</v>
      </c>
      <c r="E31" s="932"/>
      <c r="F31" s="933"/>
      <c r="G31" s="934"/>
      <c r="H31" s="294"/>
      <c r="I31" s="519"/>
      <c r="J31" s="407"/>
      <c r="K31" s="374"/>
      <c r="L31" s="374"/>
      <c r="M31" s="374"/>
      <c r="N31" s="313">
        <f t="shared" si="18"/>
        <v>0</v>
      </c>
      <c r="O31" s="313">
        <f t="shared" si="19"/>
        <v>0</v>
      </c>
      <c r="P31" s="313">
        <f>IF(Stamoplysninger!$H$29="JA",Juni!DG31,CX31)</f>
        <v>0</v>
      </c>
      <c r="Q31" s="313">
        <f t="shared" si="20"/>
        <v>0</v>
      </c>
      <c r="R31" s="314"/>
      <c r="S31" s="319"/>
      <c r="T31" s="320"/>
      <c r="U31" s="320"/>
      <c r="V31" s="429"/>
      <c r="W31" s="429"/>
      <c r="X31" s="635"/>
      <c r="Y31">
        <f t="shared" si="21"/>
        <v>0</v>
      </c>
      <c r="Z31" s="431">
        <f t="shared" si="22"/>
        <v>0</v>
      </c>
      <c r="AA31" s="1">
        <f t="shared" si="2"/>
        <v>0</v>
      </c>
      <c r="AB31" s="1">
        <f t="shared" si="3"/>
        <v>0</v>
      </c>
      <c r="AC31" s="1">
        <f t="shared" si="4"/>
        <v>0</v>
      </c>
      <c r="AD31" s="1">
        <f t="shared" si="5"/>
        <v>0</v>
      </c>
      <c r="AE31" s="1">
        <f t="shared" si="6"/>
        <v>0</v>
      </c>
      <c r="AF31" s="1">
        <f>IF(C31="Orlov",7.4*Stamoplysninger!$E$15,0)</f>
        <v>0</v>
      </c>
      <c r="AG31">
        <f>IF(AND(C31="Skema 1",B31="ma"),Arbejdstidsoversigt!$E$72,"")</f>
        <v>0</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7"/>
        <v>0</v>
      </c>
      <c r="BC31" s="1">
        <f t="shared" si="24"/>
        <v>0</v>
      </c>
      <c r="BD31" s="1">
        <f t="shared" si="8"/>
        <v>0</v>
      </c>
      <c r="BE31" s="1">
        <f t="shared" si="9"/>
        <v>0</v>
      </c>
      <c r="BF31" s="1">
        <f t="shared" si="10"/>
        <v>0</v>
      </c>
      <c r="BG31" s="209">
        <f>IF(AND(C31="Skema 1",B31="ma"),Skemaoplysninger!$E$30,"")</f>
        <v>0</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1"/>
        <v>0</v>
      </c>
      <c r="CC31" s="1">
        <f t="shared" si="12"/>
        <v>0</v>
      </c>
      <c r="CD31" s="209">
        <f>IF(AND(C31="Skema 1",B31="ma"),Skemaoplysninger!$E$31,"")</f>
        <v>0</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3"/>
        <v/>
      </c>
      <c r="DL31" t="str">
        <f t="shared" si="13"/>
        <v/>
      </c>
      <c r="DM31" t="str">
        <f t="shared" si="13"/>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4"/>
        <v>0</v>
      </c>
      <c r="FT31" s="649">
        <f t="shared" si="15"/>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7"/>
        <v>24</v>
      </c>
      <c r="B32" s="127" t="str">
        <f t="shared" si="0"/>
        <v>ti</v>
      </c>
      <c r="C32" s="128" t="s">
        <v>206</v>
      </c>
      <c r="D32" s="129" t="str">
        <f t="shared" si="1"/>
        <v/>
      </c>
      <c r="E32" s="964"/>
      <c r="F32" s="965"/>
      <c r="G32" s="966"/>
      <c r="H32" s="294"/>
      <c r="I32" s="519"/>
      <c r="J32" s="407"/>
      <c r="K32" s="374"/>
      <c r="L32" s="374"/>
      <c r="M32" s="374"/>
      <c r="N32" s="313">
        <f t="shared" si="18"/>
        <v>0</v>
      </c>
      <c r="O32" s="313">
        <f t="shared" si="19"/>
        <v>0</v>
      </c>
      <c r="P32" s="313">
        <f>IF(Stamoplysninger!$H$29="JA",Juni!DG32,CX32)</f>
        <v>0</v>
      </c>
      <c r="Q32" s="313">
        <f t="shared" si="20"/>
        <v>0</v>
      </c>
      <c r="R32" s="314"/>
      <c r="S32" s="319"/>
      <c r="T32" s="320"/>
      <c r="U32" s="320"/>
      <c r="V32" s="429"/>
      <c r="W32" s="429"/>
      <c r="X32" s="635"/>
      <c r="Y32">
        <f t="shared" si="21"/>
        <v>0</v>
      </c>
      <c r="Z32" s="431">
        <f t="shared" si="22"/>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f>IF(AND(C32="Skema 1",B32="ti"),Arbejdstidsoversigt!$E$73,"")</f>
        <v>0</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7"/>
        <v>0</v>
      </c>
      <c r="BC32" s="1">
        <f t="shared" si="24"/>
        <v>0</v>
      </c>
      <c r="BD32" s="1">
        <f t="shared" si="8"/>
        <v>0</v>
      </c>
      <c r="BE32" s="1">
        <f t="shared" si="9"/>
        <v>0</v>
      </c>
      <c r="BF32" s="1">
        <f t="shared" si="10"/>
        <v>0</v>
      </c>
      <c r="BG32" s="209" t="str">
        <f>IF(AND(C32="Skema 1",B32="ma"),Skemaoplysninger!$E$30,"")</f>
        <v/>
      </c>
      <c r="BH32" s="209">
        <f>IF(AND(C32="Skema 1",B32="ti"),Skemaoplysninger!$G$30,"")</f>
        <v>0</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1"/>
        <v>0</v>
      </c>
      <c r="CC32" s="1">
        <f t="shared" si="12"/>
        <v>0</v>
      </c>
      <c r="CD32" s="209" t="str">
        <f>IF(AND(C32="Skema 1",B32="ma"),Skemaoplysninger!$E$31,"")</f>
        <v/>
      </c>
      <c r="CE32" s="209">
        <f>IF(AND(C32="Skema 1",B32="ti"),Skemaoplysninger!$G$31,"")</f>
        <v>0</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3"/>
        <v/>
      </c>
      <c r="DL32" t="str">
        <f t="shared" si="13"/>
        <v/>
      </c>
      <c r="DM32" t="str">
        <f t="shared" si="13"/>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4"/>
        <v>0</v>
      </c>
      <c r="FT32" s="649">
        <f t="shared" si="15"/>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7"/>
        <v>25</v>
      </c>
      <c r="B33" s="127" t="str">
        <f t="shared" si="0"/>
        <v>on</v>
      </c>
      <c r="C33" s="128" t="s">
        <v>206</v>
      </c>
      <c r="D33" s="129" t="str">
        <f t="shared" si="1"/>
        <v/>
      </c>
      <c r="E33" s="932"/>
      <c r="F33" s="933"/>
      <c r="G33" s="934"/>
      <c r="H33" s="294"/>
      <c r="I33" s="519"/>
      <c r="J33" s="407"/>
      <c r="K33" s="374"/>
      <c r="L33" s="374"/>
      <c r="M33" s="374"/>
      <c r="N33" s="313">
        <f t="shared" si="18"/>
        <v>0</v>
      </c>
      <c r="O33" s="313">
        <f t="shared" si="19"/>
        <v>0</v>
      </c>
      <c r="P33" s="313">
        <f>IF(Stamoplysninger!$H$29="JA",Juni!DG33,CX33)</f>
        <v>0</v>
      </c>
      <c r="Q33" s="313">
        <f t="shared" si="20"/>
        <v>0</v>
      </c>
      <c r="R33" s="314"/>
      <c r="S33" s="319"/>
      <c r="T33" s="320"/>
      <c r="U33" s="320"/>
      <c r="V33" s="429"/>
      <c r="W33" s="429"/>
      <c r="X33" s="635"/>
      <c r="Y33">
        <f t="shared" si="21"/>
        <v>0</v>
      </c>
      <c r="Z33" s="431">
        <f t="shared" si="22"/>
        <v>0</v>
      </c>
      <c r="AA33" s="1">
        <f t="shared" si="2"/>
        <v>0</v>
      </c>
      <c r="AB33" s="1">
        <f t="shared" si="3"/>
        <v>0</v>
      </c>
      <c r="AC33" s="1">
        <f t="shared" si="4"/>
        <v>0</v>
      </c>
      <c r="AD33" s="1">
        <f t="shared" si="5"/>
        <v>0</v>
      </c>
      <c r="AE33" s="1">
        <f t="shared" si="6"/>
        <v>0</v>
      </c>
      <c r="AF33" s="1">
        <f>IF(C33="Orlov",7.4*Stamoplysninger!$E$15,0)</f>
        <v>0</v>
      </c>
      <c r="AG33" t="str">
        <f>IF(AND(C33="Skema 1",B33="ma"),Arbejdstidsoversigt!$E$72,"")</f>
        <v/>
      </c>
      <c r="AH33" t="str">
        <f>IF(AND(C33="Skema 1",B33="ti"),Arbejdstidsoversigt!$E$73,"")</f>
        <v/>
      </c>
      <c r="AI33">
        <f>IF(AND(C33="Skema 1",B33="on"),Arbejdstidsoversigt!$E$74,"")</f>
        <v>0</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7"/>
        <v>0</v>
      </c>
      <c r="BC33" s="1">
        <f t="shared" si="24"/>
        <v>0</v>
      </c>
      <c r="BD33" s="1">
        <f t="shared" si="8"/>
        <v>0</v>
      </c>
      <c r="BE33" s="1">
        <f t="shared" si="9"/>
        <v>0</v>
      </c>
      <c r="BF33" s="1">
        <f t="shared" si="10"/>
        <v>0</v>
      </c>
      <c r="BG33" s="209" t="str">
        <f>IF(AND(C33="Skema 1",B33="ma"),Skemaoplysninger!$E$30,"")</f>
        <v/>
      </c>
      <c r="BH33" s="209" t="str">
        <f>IF(AND(C33="Skema 1",B33="ti"),Skemaoplysninger!$G$30,"")</f>
        <v/>
      </c>
      <c r="BI33" s="209">
        <f>IF(AND(C33="Skema 1",B33="on"),Skemaoplysninger!$I$30,"")</f>
        <v>0</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1"/>
        <v>0</v>
      </c>
      <c r="CC33" s="1">
        <f t="shared" si="12"/>
        <v>0</v>
      </c>
      <c r="CD33" s="209" t="str">
        <f>IF(AND(C33="Skema 1",B33="ma"),Skemaoplysninger!$E$31,"")</f>
        <v/>
      </c>
      <c r="CE33" s="209" t="str">
        <f>IF(AND(C33="Skema 1",B33="ti"),Skemaoplysninger!$G$31,"")</f>
        <v/>
      </c>
      <c r="CF33" s="209">
        <f>IF(AND(C33="Skema 1",B33="on"),Skemaoplysninger!$I$31,"")</f>
        <v>0</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3"/>
        <v/>
      </c>
      <c r="DL33" t="str">
        <f t="shared" si="13"/>
        <v/>
      </c>
      <c r="DM33" t="str">
        <f t="shared" si="13"/>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4"/>
        <v>0</v>
      </c>
      <c r="FT33" s="649">
        <f t="shared" si="15"/>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7"/>
        <v>26</v>
      </c>
      <c r="B34" s="127" t="str">
        <f t="shared" si="0"/>
        <v>to</v>
      </c>
      <c r="C34" s="128" t="s">
        <v>206</v>
      </c>
      <c r="D34" s="129" t="str">
        <f t="shared" si="1"/>
        <v/>
      </c>
      <c r="E34" s="932"/>
      <c r="F34" s="933"/>
      <c r="G34" s="934"/>
      <c r="H34" s="294"/>
      <c r="I34" s="519"/>
      <c r="J34" s="407"/>
      <c r="K34" s="374"/>
      <c r="L34" s="374"/>
      <c r="M34" s="374"/>
      <c r="N34" s="313">
        <f t="shared" si="18"/>
        <v>0</v>
      </c>
      <c r="O34" s="313">
        <f t="shared" si="19"/>
        <v>0</v>
      </c>
      <c r="P34" s="313">
        <f>IF(Stamoplysninger!$H$29="JA",Juni!DG34,CX34)</f>
        <v>0</v>
      </c>
      <c r="Q34" s="313">
        <f t="shared" si="20"/>
        <v>0</v>
      </c>
      <c r="R34" s="314"/>
      <c r="S34" s="319"/>
      <c r="T34" s="320"/>
      <c r="U34" s="320"/>
      <c r="V34" s="429"/>
      <c r="W34" s="429"/>
      <c r="X34" s="635"/>
      <c r="Y34">
        <f t="shared" si="21"/>
        <v>0</v>
      </c>
      <c r="Z34" s="431">
        <f t="shared" si="22"/>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t="str">
        <f>IF(AND(C34="Skema 1",B34="ti"),Arbejdstidsoversigt!$E$73,"")</f>
        <v/>
      </c>
      <c r="AI34" t="str">
        <f>IF(AND(C34="Skema 1",B34="on"),Arbejdstidsoversigt!$E$74,"")</f>
        <v/>
      </c>
      <c r="AJ34">
        <f>IF(AND(C34="Skema 1",B34="to"),Arbejdstidsoversigt!$E$75,"")</f>
        <v>0</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7"/>
        <v>0</v>
      </c>
      <c r="BC34" s="1">
        <f t="shared" si="24"/>
        <v>0</v>
      </c>
      <c r="BD34" s="1">
        <f t="shared" si="8"/>
        <v>0</v>
      </c>
      <c r="BE34" s="1">
        <f t="shared" si="9"/>
        <v>0</v>
      </c>
      <c r="BF34" s="1">
        <f t="shared" si="10"/>
        <v>0</v>
      </c>
      <c r="BG34" s="209" t="str">
        <f>IF(AND(C34="Skema 1",B34="ma"),Skemaoplysninger!$E$30,"")</f>
        <v/>
      </c>
      <c r="BH34" s="209" t="str">
        <f>IF(AND(C34="Skema 1",B34="ti"),Skemaoplysninger!$G$30,"")</f>
        <v/>
      </c>
      <c r="BI34" s="209" t="str">
        <f>IF(AND(C34="Skema 1",B34="on"),Skemaoplysninger!$I$30,"")</f>
        <v/>
      </c>
      <c r="BJ34" s="209">
        <f>IF(AND(C34="Skema 1",B34="to"),Skemaoplysninger!$K$30,"")</f>
        <v>0</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1"/>
        <v>0</v>
      </c>
      <c r="CC34" s="1">
        <f t="shared" si="12"/>
        <v>0</v>
      </c>
      <c r="CD34" s="209" t="str">
        <f>IF(AND(C34="Skema 1",B34="ma"),Skemaoplysninger!$E$31,"")</f>
        <v/>
      </c>
      <c r="CE34" s="209" t="str">
        <f>IF(AND(C34="Skema 1",B34="ti"),Skemaoplysninger!$G$31,"")</f>
        <v/>
      </c>
      <c r="CF34" s="209" t="str">
        <f>IF(AND(C34="Skema 1",B34="on"),Skemaoplysninger!$I$31,"")</f>
        <v/>
      </c>
      <c r="CG34" s="209">
        <f>IF(AND(C34="Skema 1",B34="to"),Skemaoplysninger!$K$31,"")</f>
        <v>0</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3"/>
        <v/>
      </c>
      <c r="DL34" t="str">
        <f t="shared" si="13"/>
        <v/>
      </c>
      <c r="DM34" t="str">
        <f t="shared" si="13"/>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4"/>
        <v>0</v>
      </c>
      <c r="FT34" s="649">
        <f t="shared" si="15"/>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7"/>
        <v>27</v>
      </c>
      <c r="B35" s="127" t="str">
        <f t="shared" si="0"/>
        <v>fr</v>
      </c>
      <c r="C35" s="128" t="s">
        <v>206</v>
      </c>
      <c r="D35" s="129" t="str">
        <f t="shared" si="1"/>
        <v/>
      </c>
      <c r="E35" s="932"/>
      <c r="F35" s="933"/>
      <c r="G35" s="934"/>
      <c r="H35" s="294"/>
      <c r="I35" s="519"/>
      <c r="J35" s="407"/>
      <c r="K35" s="374"/>
      <c r="L35" s="374"/>
      <c r="M35" s="374"/>
      <c r="N35" s="313">
        <f t="shared" si="18"/>
        <v>0</v>
      </c>
      <c r="O35" s="313">
        <f t="shared" si="19"/>
        <v>0</v>
      </c>
      <c r="P35" s="313">
        <f>IF(Stamoplysninger!$H$29="JA",Juni!DG35,CX35)</f>
        <v>0</v>
      </c>
      <c r="Q35" s="313">
        <f t="shared" si="20"/>
        <v>0</v>
      </c>
      <c r="R35" s="314"/>
      <c r="S35" s="319"/>
      <c r="T35" s="320"/>
      <c r="U35" s="320"/>
      <c r="V35" s="429"/>
      <c r="W35" s="429"/>
      <c r="X35" s="635"/>
      <c r="Y35">
        <f t="shared" si="21"/>
        <v>0</v>
      </c>
      <c r="Z35" s="431">
        <f t="shared" si="22"/>
        <v>0</v>
      </c>
      <c r="AA35" s="1">
        <f t="shared" si="2"/>
        <v>0</v>
      </c>
      <c r="AB35" s="1">
        <f t="shared" si="3"/>
        <v>0</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f>IF(AND(C35="Skema 1",B35="fr"),Arbejdstidsoversigt!$E$76,"")</f>
        <v>0</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7"/>
        <v>0</v>
      </c>
      <c r="BC35" s="1">
        <f t="shared" si="24"/>
        <v>0</v>
      </c>
      <c r="BD35" s="1">
        <f t="shared" si="8"/>
        <v>0</v>
      </c>
      <c r="BE35" s="1">
        <f t="shared" si="9"/>
        <v>0</v>
      </c>
      <c r="BF35" s="1">
        <f t="shared" si="10"/>
        <v>0</v>
      </c>
      <c r="BG35" s="209" t="str">
        <f>IF(AND(C35="Skema 1",B35="ma"),Skemaoplysninger!$E$30,"")</f>
        <v/>
      </c>
      <c r="BH35" s="209" t="str">
        <f>IF(AND(C35="Skema 1",B35="ti"),Skemaoplysninger!$G$30,"")</f>
        <v/>
      </c>
      <c r="BI35" s="209" t="str">
        <f>IF(AND(C35="Skema 1",B35="on"),Skemaoplysninger!$I$30,"")</f>
        <v/>
      </c>
      <c r="BJ35" s="209" t="str">
        <f>IF(AND(C35="Skema 1",B35="to"),Skemaoplysninger!$K$30,"")</f>
        <v/>
      </c>
      <c r="BK35" s="209">
        <f>IF(AND(C35="Skema 1",B35="fr"),Skemaoplysninger!$M$30,"")</f>
        <v>0</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1"/>
        <v>0</v>
      </c>
      <c r="CC35" s="1">
        <f t="shared" si="12"/>
        <v>0</v>
      </c>
      <c r="CD35" s="209" t="str">
        <f>IF(AND(C35="Skema 1",B35="ma"),Skemaoplysninger!$E$31,"")</f>
        <v/>
      </c>
      <c r="CE35" s="209" t="str">
        <f>IF(AND(C35="Skema 1",B35="ti"),Skemaoplysninger!$G$31,"")</f>
        <v/>
      </c>
      <c r="CF35" s="209" t="str">
        <f>IF(AND(C35="Skema 1",B35="on"),Skemaoplysninger!$I$31,"")</f>
        <v/>
      </c>
      <c r="CG35" s="209" t="str">
        <f>IF(AND(C35="Skema 1",B35="to"),Skemaoplysninger!$K$31,"")</f>
        <v/>
      </c>
      <c r="CH35" s="209">
        <f>IF(AND(C35="Skema 1",B35="fr"),Skemaoplysninger!$M$31,"")</f>
        <v>0</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3"/>
        <v/>
      </c>
      <c r="DL35" t="str">
        <f t="shared" si="13"/>
        <v/>
      </c>
      <c r="DM35" t="str">
        <f t="shared" si="13"/>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4"/>
        <v>0</v>
      </c>
      <c r="FT35" s="649">
        <f t="shared" si="15"/>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7"/>
        <v>28</v>
      </c>
      <c r="B36" s="127" t="str">
        <f t="shared" si="0"/>
        <v>lø</v>
      </c>
      <c r="C36" s="128" t="s">
        <v>120</v>
      </c>
      <c r="D36" s="129" t="str">
        <f t="shared" si="1"/>
        <v/>
      </c>
      <c r="E36" s="932"/>
      <c r="F36" s="933"/>
      <c r="G36" s="934"/>
      <c r="H36" s="294"/>
      <c r="I36" s="407"/>
      <c r="J36" s="407"/>
      <c r="K36" s="374"/>
      <c r="L36" s="374"/>
      <c r="M36" s="374"/>
      <c r="N36" s="313">
        <f t="shared" si="18"/>
        <v>0</v>
      </c>
      <c r="O36" s="313">
        <f t="shared" si="19"/>
        <v>0</v>
      </c>
      <c r="P36" s="313">
        <f>IF(Stamoplysninger!$H$29="JA",Juni!DG36,CX36)</f>
        <v>0</v>
      </c>
      <c r="Q36" s="313">
        <f t="shared" si="20"/>
        <v>0</v>
      </c>
      <c r="R36" s="314"/>
      <c r="S36" s="319"/>
      <c r="T36" s="320"/>
      <c r="U36" s="320"/>
      <c r="V36" s="429"/>
      <c r="W36" s="429"/>
      <c r="X36" s="635"/>
      <c r="Y36">
        <f t="shared" si="21"/>
        <v>0</v>
      </c>
      <c r="Z36" s="431">
        <f t="shared" si="22"/>
        <v>0</v>
      </c>
      <c r="AA36" s="1">
        <f t="shared" si="2"/>
        <v>0</v>
      </c>
      <c r="AB36" s="1">
        <f t="shared" si="3"/>
        <v>0</v>
      </c>
      <c r="AC36" s="1">
        <f t="shared" si="4"/>
        <v>0</v>
      </c>
      <c r="AD36" s="1">
        <f t="shared" si="5"/>
        <v>0</v>
      </c>
      <c r="AE36" s="1">
        <f t="shared" si="6"/>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7"/>
        <v>0</v>
      </c>
      <c r="BC36" s="1">
        <f t="shared" si="24"/>
        <v>0</v>
      </c>
      <c r="BD36" s="1">
        <f t="shared" si="8"/>
        <v>0</v>
      </c>
      <c r="BE36" s="1">
        <f t="shared" si="9"/>
        <v>0</v>
      </c>
      <c r="BF36" s="1">
        <f t="shared" si="10"/>
        <v>0</v>
      </c>
      <c r="BG36" s="209" t="str">
        <f>IF(AND(C36="Skema 1",B36="ma"),Skemaoplysninger!$E$30,"")</f>
        <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1"/>
        <v>0</v>
      </c>
      <c r="CC36" s="1">
        <f t="shared" si="12"/>
        <v>0</v>
      </c>
      <c r="CD36" s="209" t="str">
        <f>IF(AND(C36="Skema 1",B36="ma"),Skemaoplysninger!$E$31,"")</f>
        <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3"/>
        <v/>
      </c>
      <c r="DL36" t="str">
        <f t="shared" si="13"/>
        <v/>
      </c>
      <c r="DM36" t="str">
        <f t="shared" si="13"/>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4"/>
        <v>0</v>
      </c>
      <c r="FT36" s="649">
        <f t="shared" si="15"/>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sø</v>
      </c>
      <c r="C37" s="128" t="s">
        <v>120</v>
      </c>
      <c r="D37" s="129" t="str">
        <f t="shared" si="1"/>
        <v/>
      </c>
      <c r="E37" s="932"/>
      <c r="F37" s="933"/>
      <c r="G37" s="934"/>
      <c r="H37" s="294"/>
      <c r="I37" s="407"/>
      <c r="J37" s="407"/>
      <c r="K37" s="374"/>
      <c r="L37" s="374"/>
      <c r="M37" s="374"/>
      <c r="N37" s="313">
        <f t="shared" si="18"/>
        <v>0</v>
      </c>
      <c r="O37" s="313">
        <f t="shared" si="19"/>
        <v>0</v>
      </c>
      <c r="P37" s="313">
        <f>IF(Stamoplysninger!$H$29="JA",Juni!DG37,CX37)</f>
        <v>0</v>
      </c>
      <c r="Q37" s="313">
        <f t="shared" si="20"/>
        <v>0</v>
      </c>
      <c r="R37" s="314"/>
      <c r="S37" s="319"/>
      <c r="T37" s="320"/>
      <c r="U37" s="320"/>
      <c r="V37" s="429"/>
      <c r="W37" s="429"/>
      <c r="X37" s="635"/>
      <c r="Y37">
        <f t="shared" si="21"/>
        <v>0</v>
      </c>
      <c r="Z37" s="431">
        <f t="shared" si="22"/>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7"/>
        <v>0</v>
      </c>
      <c r="BC37" s="1">
        <f t="shared" si="24"/>
        <v>0</v>
      </c>
      <c r="BD37" s="1">
        <f t="shared" si="8"/>
        <v>0</v>
      </c>
      <c r="BE37" s="1">
        <f t="shared" si="9"/>
        <v>0</v>
      </c>
      <c r="BF37" s="1">
        <f t="shared" si="10"/>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1"/>
        <v>0</v>
      </c>
      <c r="CC37" s="1">
        <f t="shared" si="12"/>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3"/>
        <v/>
      </c>
      <c r="DL37" t="str">
        <f t="shared" si="13"/>
        <v/>
      </c>
      <c r="DM37" t="str">
        <f t="shared" si="13"/>
        <v/>
      </c>
      <c r="DN37" t="str">
        <f t="shared" si="30"/>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8" si="32">IF(AND(I37="X",S37="X"),V37,0)</f>
        <v>0</v>
      </c>
      <c r="FT37" s="649">
        <f t="shared" ref="FT37:FT38" si="33">IF(AND(AND(C37="ikke relevant",I37="X",S37="X")),V37,0)</f>
        <v>0</v>
      </c>
      <c r="FU37">
        <f t="shared" ref="FU37:FU38"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7"/>
        <v>30</v>
      </c>
      <c r="B38" s="127" t="str">
        <f t="shared" si="0"/>
        <v>ma</v>
      </c>
      <c r="C38" s="128" t="s">
        <v>128</v>
      </c>
      <c r="D38" s="129">
        <f t="shared" si="1"/>
        <v>26.714285714285715</v>
      </c>
      <c r="E38" s="932"/>
      <c r="F38" s="933"/>
      <c r="G38" s="934"/>
      <c r="H38" s="294"/>
      <c r="I38" s="519"/>
      <c r="J38" s="407"/>
      <c r="K38" s="374"/>
      <c r="L38" s="374"/>
      <c r="M38" s="374"/>
      <c r="N38" s="313">
        <f t="shared" si="18"/>
        <v>0</v>
      </c>
      <c r="O38" s="313">
        <f t="shared" si="19"/>
        <v>0</v>
      </c>
      <c r="P38" s="313">
        <f>IF(Stamoplysninger!$H$29="JA",Juni!DG38,CX38)</f>
        <v>0</v>
      </c>
      <c r="Q38" s="313">
        <f t="shared" si="20"/>
        <v>0</v>
      </c>
      <c r="R38" s="314"/>
      <c r="S38" s="319"/>
      <c r="T38" s="320"/>
      <c r="U38" s="320"/>
      <c r="V38" s="429"/>
      <c r="W38" s="429"/>
      <c r="X38" s="635"/>
      <c r="Y38">
        <f t="shared" si="21"/>
        <v>0</v>
      </c>
      <c r="Z38" s="431">
        <f t="shared" si="22"/>
        <v>0</v>
      </c>
      <c r="AA38" s="1">
        <f t="shared" si="2"/>
        <v>0</v>
      </c>
      <c r="AB38" s="1">
        <f t="shared" si="3"/>
        <v>0</v>
      </c>
      <c r="AC38" s="1">
        <f t="shared" si="4"/>
        <v>0</v>
      </c>
      <c r="AD38" s="1">
        <f t="shared" si="5"/>
        <v>0</v>
      </c>
      <c r="AE38" s="1">
        <f t="shared" si="6"/>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7"/>
        <v>0</v>
      </c>
      <c r="BC38" s="1">
        <f t="shared" si="24"/>
        <v>0</v>
      </c>
      <c r="BD38" s="1">
        <f t="shared" si="8"/>
        <v>0</v>
      </c>
      <c r="BE38" s="1">
        <f t="shared" si="9"/>
        <v>0</v>
      </c>
      <c r="BF38" s="1">
        <f t="shared" si="10"/>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1"/>
        <v>0</v>
      </c>
      <c r="CC38" s="1">
        <f t="shared" si="12"/>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3"/>
        <v/>
      </c>
      <c r="DL38" t="str">
        <f t="shared" si="13"/>
        <v/>
      </c>
      <c r="DM38" t="str">
        <f t="shared" si="13"/>
        <v/>
      </c>
      <c r="DN38" t="str">
        <f t="shared" si="30"/>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987" t="s">
        <v>260</v>
      </c>
      <c r="B39" s="988"/>
      <c r="C39" s="988"/>
      <c r="D39" s="988"/>
      <c r="E39" s="988"/>
      <c r="F39" s="988"/>
      <c r="G39" s="988"/>
      <c r="H39" s="988"/>
      <c r="I39" s="989"/>
      <c r="J39" s="308"/>
      <c r="K39" s="316"/>
      <c r="L39" s="316"/>
      <c r="M39" s="316"/>
      <c r="N39" s="317">
        <f>SUM(N9:N38)</f>
        <v>0</v>
      </c>
      <c r="O39" s="317">
        <f>SUM(O9:O38)</f>
        <v>0</v>
      </c>
      <c r="P39" s="317">
        <f>SUM(P9:P38)</f>
        <v>0</v>
      </c>
      <c r="Q39" s="317">
        <f>SUM(Q9:Q38)</f>
        <v>0</v>
      </c>
      <c r="R39"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26"/>
      <c r="T39" s="427"/>
      <c r="U39" s="427"/>
      <c r="V39"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0">
        <f>SUM(Y9:Y38)</f>
        <v>0</v>
      </c>
      <c r="Z39" s="392">
        <f>Z9+Z10+Z11+Z12+Z13+Z14+Z15+Z16+Z17+Z18+Z19+Z20+Z21+Z22+Z23+Z24+Z25+Z26+Z27+Z28+Z29+Z30+Z31+Z32+Z33+Z34+Z35+Z36+Z37+Z38</f>
        <v>0</v>
      </c>
      <c r="AA39" s="231">
        <f t="shared" ref="AA39:AF39" si="35">SUM(AA9:AA38)</f>
        <v>0</v>
      </c>
      <c r="AB39" s="231">
        <f t="shared" si="35"/>
        <v>0</v>
      </c>
      <c r="AC39" s="231">
        <f>SUM(AC9:AC38)</f>
        <v>0</v>
      </c>
      <c r="AD39" s="231">
        <f t="shared" si="35"/>
        <v>0</v>
      </c>
      <c r="AE39" s="231">
        <f t="shared" si="35"/>
        <v>0</v>
      </c>
      <c r="AF39" s="231">
        <f t="shared" si="35"/>
        <v>0</v>
      </c>
      <c r="BA39" s="1">
        <f>SUM(BA9:BA38)</f>
        <v>0</v>
      </c>
      <c r="BB39" s="111"/>
      <c r="BC39" s="231">
        <f>SUM(BC9:BC38)</f>
        <v>0</v>
      </c>
      <c r="BD39" s="231">
        <f>SUM(BD9:BD38)</f>
        <v>0</v>
      </c>
      <c r="BE39" s="231">
        <f>SUM(BE9:BE38)</f>
        <v>0</v>
      </c>
      <c r="BF39" s="231">
        <f>SUM(BF9:BF38)</f>
        <v>0</v>
      </c>
      <c r="CA39" s="231">
        <f>SUM(CA9:CA38)</f>
        <v>0</v>
      </c>
      <c r="CB39" s="231">
        <f>SUM(CB9:CB38)</f>
        <v>0</v>
      </c>
      <c r="CC39" s="231">
        <f>SUM(CC9:CC38)</f>
        <v>0</v>
      </c>
      <c r="CX39" s="245"/>
      <c r="CY39" s="245">
        <f t="shared" ref="CY39:DG39" si="36">SUM(CY9:CY38)</f>
        <v>0</v>
      </c>
      <c r="CZ39" s="245">
        <f t="shared" si="36"/>
        <v>0</v>
      </c>
      <c r="DA39" s="245">
        <f t="shared" si="36"/>
        <v>0</v>
      </c>
      <c r="DB39" s="245">
        <f t="shared" si="36"/>
        <v>0</v>
      </c>
      <c r="DC39" s="245">
        <f t="shared" si="36"/>
        <v>0</v>
      </c>
      <c r="DD39" s="245">
        <f t="shared" si="36"/>
        <v>0</v>
      </c>
      <c r="DE39" s="245">
        <f t="shared" si="36"/>
        <v>0</v>
      </c>
      <c r="DF39" s="245">
        <f t="shared" si="36"/>
        <v>0</v>
      </c>
      <c r="DG39" s="245">
        <f t="shared" si="36"/>
        <v>0</v>
      </c>
      <c r="DO39" s="643"/>
      <c r="DS39" s="662"/>
      <c r="DT39" s="662"/>
      <c r="DU39" s="662"/>
      <c r="DV39" s="663"/>
      <c r="DW39" s="643"/>
      <c r="DZ39" s="662"/>
      <c r="EA39" s="662"/>
      <c r="EB39" s="663"/>
      <c r="EC39" s="643"/>
      <c r="EG39" s="662"/>
      <c r="EH39" s="662"/>
      <c r="EI39" s="662"/>
      <c r="EJ39" s="662"/>
      <c r="EK39" s="279"/>
      <c r="EL39" s="247"/>
      <c r="EM39" s="665"/>
      <c r="EN39" s="666"/>
      <c r="EO39" s="279"/>
      <c r="EP39" s="247"/>
      <c r="EQ39" s="665"/>
      <c r="ER39" s="666"/>
      <c r="ES39" s="279"/>
      <c r="ET39" s="247"/>
      <c r="EU39" s="665"/>
      <c r="EV39" s="666"/>
      <c r="EW39" s="279"/>
      <c r="EX39" s="247"/>
      <c r="EY39" s="665"/>
      <c r="EZ39" s="666"/>
      <c r="FA39" s="279"/>
      <c r="FB39" s="247"/>
      <c r="FC39" s="665"/>
      <c r="FD39" s="666"/>
      <c r="FE39" s="279"/>
      <c r="FF39" s="247"/>
      <c r="FG39" s="665"/>
      <c r="FH39" s="666"/>
      <c r="FI39" s="279"/>
      <c r="FJ39" s="247"/>
      <c r="FK39" s="665"/>
      <c r="FL39" s="666"/>
      <c r="FM39" s="279"/>
      <c r="FN39" s="665"/>
      <c r="FO39" s="279"/>
      <c r="FP39" s="247"/>
      <c r="FQ39" s="665"/>
      <c r="FR39" s="679"/>
      <c r="FS39" s="279"/>
      <c r="FT39" s="649"/>
      <c r="FV39" s="279"/>
      <c r="FW39" s="665"/>
      <c r="FX39" s="279"/>
      <c r="FY39" s="665"/>
      <c r="FZ39" s="279"/>
      <c r="GA39" s="665"/>
      <c r="GB39" s="279"/>
      <c r="GC39" s="665"/>
    </row>
    <row r="40" spans="1:185" ht="17" thickBot="1">
      <c r="A40" s="229"/>
      <c r="B40" s="229"/>
      <c r="C40" s="229"/>
      <c r="D40" s="229"/>
      <c r="E40" s="229"/>
      <c r="F40" s="229"/>
      <c r="G40" s="229"/>
      <c r="H40" s="229"/>
      <c r="I40" s="229"/>
      <c r="J40" s="229"/>
      <c r="K40" s="235"/>
      <c r="L40" s="235"/>
      <c r="M40" s="235"/>
      <c r="N40" s="235"/>
      <c r="O40" s="235"/>
      <c r="P40" s="235"/>
      <c r="Q40" s="235"/>
      <c r="R40" s="235"/>
      <c r="S40" s="235"/>
      <c r="T40" s="235"/>
      <c r="U40" s="235"/>
      <c r="V40" s="235"/>
      <c r="W40" s="235"/>
      <c r="X40" s="235"/>
      <c r="Y40" s="243"/>
      <c r="Z40" s="210"/>
      <c r="AA40" s="231"/>
      <c r="AB40" s="210"/>
      <c r="AC40" s="210"/>
      <c r="AD40" s="231"/>
      <c r="AE40" s="231"/>
      <c r="AF40" s="231"/>
      <c r="AG40" s="231"/>
      <c r="BC40" s="231"/>
      <c r="BD40" s="231"/>
      <c r="BE40" s="231"/>
      <c r="BF40" s="231"/>
      <c r="BG40" s="111"/>
      <c r="CB40" s="231"/>
      <c r="CC40" s="231"/>
      <c r="CD40" s="111"/>
      <c r="CX40" s="244"/>
      <c r="CZ40"/>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70" customHeight="1">
      <c r="A41" s="973" t="str">
        <f>"Arbejdstid for "&amp;A7&amp;" måned:"</f>
        <v>Arbejdstid for Juni måned:</v>
      </c>
      <c r="B41" s="974"/>
      <c r="C41" s="974"/>
      <c r="D41" s="974"/>
      <c r="E41" s="974"/>
      <c r="F41" s="974"/>
      <c r="G41" s="974"/>
      <c r="H41" s="325" t="s">
        <v>255</v>
      </c>
      <c r="I41" s="974" t="s">
        <v>221</v>
      </c>
      <c r="J41" s="975"/>
      <c r="K41" s="976"/>
      <c r="L41" s="258"/>
      <c r="M41" s="1026" t="str">
        <f>"Ulempetimer og weekendtimer i "&amp;A5&amp;""</f>
        <v>Ulempetimer og weekendtimer i Juni måneds kalender for: . Måneden vedr. normperioden:  - .</v>
      </c>
      <c r="N41" s="1004"/>
      <c r="O41" s="1004"/>
      <c r="P41" s="1004"/>
      <c r="Q41" s="1004"/>
      <c r="R41" s="1004"/>
      <c r="S41" s="1004"/>
      <c r="T41" s="1004"/>
      <c r="U41" s="1004"/>
      <c r="V41" s="1004"/>
      <c r="W41" s="1004"/>
      <c r="X41" s="1005"/>
      <c r="Y41" s="235"/>
      <c r="Z41" s="235"/>
      <c r="AD41" s="89"/>
      <c r="AE41" s="89"/>
      <c r="BM41" s="1"/>
      <c r="CJ41" s="1"/>
      <c r="CU41" s="244"/>
      <c r="CV41" s="244"/>
      <c r="CY41"/>
      <c r="CZ41"/>
    </row>
    <row r="42" spans="1:185">
      <c r="A42" s="977" t="s">
        <v>528</v>
      </c>
      <c r="B42" s="978"/>
      <c r="C42" s="978"/>
      <c r="D42" s="978"/>
      <c r="E42" s="978"/>
      <c r="F42" s="978"/>
      <c r="G42" s="978"/>
      <c r="H42" s="252">
        <f>D77</f>
        <v>21</v>
      </c>
      <c r="I42" s="990">
        <f>IF(Stamoplysninger!$E$12="Ja",1924/Arbejdstidsoversigt!$K$9*Stamoplysninger!$E$15*H42,H42*7.4*Stamoplysninger!$E$15)</f>
        <v>154.80459770114942</v>
      </c>
      <c r="J42" s="991"/>
      <c r="K42" s="992"/>
      <c r="L42" s="254"/>
      <c r="M42" s="1027" t="s">
        <v>496</v>
      </c>
      <c r="N42" s="1028"/>
      <c r="O42" s="1028"/>
      <c r="P42" s="1028"/>
      <c r="Q42" s="1028"/>
      <c r="R42" s="1028"/>
      <c r="S42" s="1028"/>
      <c r="T42" s="1028"/>
      <c r="U42" s="1029"/>
      <c r="V42" s="1108">
        <f>P64+P68+P71+P73</f>
        <v>0</v>
      </c>
      <c r="W42" s="1108"/>
      <c r="X42" s="1109"/>
      <c r="Y42" s="235"/>
      <c r="Z42" s="235"/>
      <c r="AD42" s="89"/>
      <c r="AE42" s="89"/>
      <c r="BM42" s="1"/>
      <c r="CJ42" s="1"/>
      <c r="CU42" s="244"/>
      <c r="CV42" s="244"/>
      <c r="CY42"/>
      <c r="CZ42"/>
    </row>
    <row r="43" spans="1:185">
      <c r="A43" s="977" t="str">
        <f>"Ferie "&amp;A7&amp;" måned"</f>
        <v>Ferie Juni måned</v>
      </c>
      <c r="B43" s="978"/>
      <c r="C43" s="978"/>
      <c r="D43" s="978"/>
      <c r="E43" s="978"/>
      <c r="F43" s="978"/>
      <c r="G43" s="978"/>
      <c r="H43" s="253" t="str">
        <f>IF(D72&gt;0,$D$72,"0")</f>
        <v>0</v>
      </c>
      <c r="I43" s="979">
        <f>H43*7.4*Stamoplysninger!$E$15</f>
        <v>0</v>
      </c>
      <c r="J43" s="980"/>
      <c r="K43" s="981"/>
      <c r="L43" s="254"/>
      <c r="M43" s="1033" t="s">
        <v>259</v>
      </c>
      <c r="N43" s="1034"/>
      <c r="O43" s="1034"/>
      <c r="P43" s="1034"/>
      <c r="Q43" s="1034"/>
      <c r="R43" s="1034"/>
      <c r="S43" s="1034"/>
      <c r="T43" s="1034"/>
      <c r="U43" s="1035"/>
      <c r="V43" s="1110">
        <f>Q65+Q67+Q70+Q72</f>
        <v>0</v>
      </c>
      <c r="W43" s="1110"/>
      <c r="X43" s="1111"/>
      <c r="Y43" s="235"/>
      <c r="Z43" s="235"/>
      <c r="AD43" s="89"/>
      <c r="AE43" s="89"/>
      <c r="BM43" s="1"/>
      <c r="CJ43" s="1"/>
      <c r="CU43" s="244"/>
      <c r="CV43" s="244"/>
      <c r="CY43"/>
      <c r="CZ43"/>
    </row>
    <row r="44" spans="1:185">
      <c r="A44" s="977" t="str">
        <f>"Søgnehelligdage i "&amp;A7&amp;" måned"</f>
        <v>Søgnehelligdage i Juni måned</v>
      </c>
      <c r="B44" s="978"/>
      <c r="C44" s="978"/>
      <c r="D44" s="978"/>
      <c r="E44" s="978"/>
      <c r="F44" s="978"/>
      <c r="G44" s="978"/>
      <c r="H44" s="253">
        <f>IF(D71&gt;0,D71,0)</f>
        <v>1</v>
      </c>
      <c r="I44" s="979">
        <f>H44*7.4*Stamoplysninger!$E$15</f>
        <v>7.4</v>
      </c>
      <c r="J44" s="980"/>
      <c r="K44" s="981"/>
      <c r="L44" s="255"/>
      <c r="M44" s="1143" t="s">
        <v>295</v>
      </c>
      <c r="N44" s="1144"/>
      <c r="O44" s="1144"/>
      <c r="P44" s="1144"/>
      <c r="Q44" s="1144"/>
      <c r="R44" s="1144"/>
      <c r="S44" s="1144"/>
      <c r="T44" s="1144"/>
      <c r="U44" s="1145"/>
      <c r="V44" s="1148">
        <f>Maj!V53</f>
        <v>0</v>
      </c>
      <c r="W44" s="1149"/>
      <c r="X44" s="1152"/>
      <c r="Y44" s="235"/>
      <c r="Z44" s="235"/>
      <c r="AD44" s="89"/>
      <c r="AE44" s="89"/>
      <c r="BM44" s="1"/>
      <c r="CJ44" s="1"/>
      <c r="CU44" s="244"/>
      <c r="CV44" s="244"/>
      <c r="CY44"/>
      <c r="CZ44"/>
    </row>
    <row r="45" spans="1:185">
      <c r="A45" s="977" t="str">
        <f>"Nettoarbejdstid ialt i "&amp;A7&amp;" måned"</f>
        <v>Nettoarbejdstid ialt i Juni måned</v>
      </c>
      <c r="B45" s="978"/>
      <c r="C45" s="978"/>
      <c r="D45" s="978"/>
      <c r="E45" s="978"/>
      <c r="F45" s="978"/>
      <c r="G45" s="978"/>
      <c r="H45" s="256">
        <f>H42-H43-H44</f>
        <v>20</v>
      </c>
      <c r="I45" s="979">
        <f>I42-I43-I44</f>
        <v>147.40459770114941</v>
      </c>
      <c r="J45" s="980"/>
      <c r="K45" s="981"/>
      <c r="L45" s="381"/>
      <c r="M45" s="1041" t="s">
        <v>301</v>
      </c>
      <c r="N45" s="1042"/>
      <c r="O45" s="1042"/>
      <c r="P45" s="1042"/>
      <c r="Q45" s="1042"/>
      <c r="R45" s="1042"/>
      <c r="S45" s="1042"/>
      <c r="T45" s="1042"/>
      <c r="U45" s="1043"/>
      <c r="V45" s="1044">
        <f>SUM(V43:X44)</f>
        <v>0</v>
      </c>
      <c r="W45" s="1045"/>
      <c r="X45" s="1046"/>
      <c r="Y45" s="235"/>
      <c r="Z45" s="235"/>
      <c r="AD45" s="89"/>
      <c r="AE45" s="89"/>
      <c r="BM45" s="1"/>
      <c r="CJ45" s="1"/>
      <c r="CU45" s="244"/>
      <c r="CV45" s="244"/>
      <c r="CY45"/>
      <c r="CZ45"/>
    </row>
    <row r="46" spans="1:185">
      <c r="A46" s="993" t="str">
        <f>"Planlagt arbejdstid efter ovennstående "&amp;A7&amp;" måned kalender"</f>
        <v>Planlagt arbejdstid efter ovennstående Juni måned kalender</v>
      </c>
      <c r="B46" s="994"/>
      <c r="C46" s="994"/>
      <c r="D46" s="994"/>
      <c r="E46" s="994"/>
      <c r="F46" s="994"/>
      <c r="G46" s="994"/>
      <c r="H46" s="468">
        <f>D63+D64+D65+D66+D67+D68+D69</f>
        <v>18</v>
      </c>
      <c r="I46" s="995">
        <f>N39+R39+V105</f>
        <v>0</v>
      </c>
      <c r="J46" s="996"/>
      <c r="K46" s="997"/>
      <c r="L46" s="381"/>
      <c r="M46" s="1053" t="s">
        <v>293</v>
      </c>
      <c r="N46" s="1054"/>
      <c r="O46" s="1054"/>
      <c r="P46" s="1054"/>
      <c r="Q46" s="1054"/>
      <c r="R46" s="1054"/>
      <c r="S46" s="1054"/>
      <c r="T46" s="1054"/>
      <c r="U46" s="1054"/>
      <c r="V46" s="1054"/>
      <c r="W46" s="1054"/>
      <c r="X46" s="1055"/>
      <c r="Y46" s="235"/>
      <c r="Z46" s="235"/>
      <c r="AD46" s="89"/>
      <c r="AE46" s="89"/>
      <c r="BM46" s="1"/>
      <c r="CJ46" s="1"/>
      <c r="CU46" s="244"/>
      <c r="CV46" s="244"/>
      <c r="CY46"/>
      <c r="CZ46"/>
    </row>
    <row r="47" spans="1:185">
      <c r="A47" s="1001" t="s">
        <v>451</v>
      </c>
      <c r="B47" s="1002"/>
      <c r="C47" s="1002"/>
      <c r="D47" s="1002"/>
      <c r="E47" s="1002"/>
      <c r="F47" s="1002"/>
      <c r="G47" s="1002"/>
      <c r="H47" s="1003"/>
      <c r="I47" s="998">
        <f>(FI39+FM39+FO39+FV39+FX39+FZ39+GB39)*-1+FK39+FN39+FQ39+FW39+FY39+GA39+GC39+FU39</f>
        <v>0</v>
      </c>
      <c r="J47" s="999"/>
      <c r="K47" s="1000"/>
      <c r="L47" s="382"/>
      <c r="M47" s="1056" t="s">
        <v>462</v>
      </c>
      <c r="N47" s="1057"/>
      <c r="O47" s="1057"/>
      <c r="P47" s="1057"/>
      <c r="Q47" s="1057"/>
      <c r="R47" s="1057"/>
      <c r="S47" s="1057"/>
      <c r="T47" s="1057"/>
      <c r="U47" s="1058"/>
      <c r="V47" s="1059" t="s">
        <v>221</v>
      </c>
      <c r="W47" s="1060"/>
      <c r="X47" s="1061"/>
      <c r="Y47" s="235"/>
      <c r="Z47" s="235"/>
      <c r="AD47" s="89"/>
      <c r="AE47" s="89"/>
      <c r="BM47" s="1"/>
      <c r="CJ47" s="1"/>
      <c r="CU47" s="244"/>
      <c r="CV47" s="244"/>
      <c r="CY47"/>
      <c r="CZ47"/>
    </row>
    <row r="48" spans="1:185">
      <c r="A48" s="1020" t="str">
        <f>"Arbejde særligt planlagt for "&amp;A7&amp;" måned efter fanen skemaoplysninger"</f>
        <v>Arbejde særligt planlagt for Juni måned efter fanen skemaoplysninger</v>
      </c>
      <c r="B48" s="1021"/>
      <c r="C48" s="1021"/>
      <c r="D48" s="1021"/>
      <c r="E48" s="1021"/>
      <c r="F48" s="1021"/>
      <c r="G48" s="1021"/>
      <c r="H48" s="1022"/>
      <c r="I48" s="996">
        <f>Skemaoplysninger!U91</f>
        <v>0</v>
      </c>
      <c r="J48" s="1018"/>
      <c r="K48" s="1019"/>
      <c r="L48" s="383"/>
      <c r="M48" s="882"/>
      <c r="N48" s="883"/>
      <c r="O48" s="883"/>
      <c r="P48" s="883"/>
      <c r="Q48" s="883"/>
      <c r="R48" s="883"/>
      <c r="S48" s="883"/>
      <c r="T48" s="883"/>
      <c r="U48" s="884"/>
      <c r="V48" s="1062"/>
      <c r="W48" s="1062"/>
      <c r="X48" s="1063"/>
      <c r="Y48"/>
      <c r="Z48" s="235"/>
      <c r="AA48" s="235"/>
      <c r="AG48" s="89"/>
      <c r="AH48" s="89"/>
      <c r="BA48" s="235"/>
      <c r="BO48" s="1"/>
      <c r="CL48" s="1"/>
      <c r="CV48" s="244"/>
      <c r="CW48" s="244"/>
      <c r="CY48"/>
      <c r="CZ48"/>
    </row>
    <row r="49" spans="1:110">
      <c r="A49" s="982" t="s">
        <v>291</v>
      </c>
      <c r="B49" s="983"/>
      <c r="C49" s="983"/>
      <c r="D49" s="983"/>
      <c r="E49" s="983"/>
      <c r="F49" s="983"/>
      <c r="G49" s="983"/>
      <c r="H49" s="983"/>
      <c r="I49" s="984">
        <f>V39+X39-FA40+R105</f>
        <v>0</v>
      </c>
      <c r="J49" s="985"/>
      <c r="K49" s="986"/>
      <c r="L49" s="237"/>
      <c r="M49" s="882"/>
      <c r="N49" s="883"/>
      <c r="O49" s="883"/>
      <c r="P49" s="883"/>
      <c r="Q49" s="883"/>
      <c r="R49" s="883"/>
      <c r="S49" s="883"/>
      <c r="T49" s="883"/>
      <c r="U49" s="884"/>
      <c r="V49" s="885"/>
      <c r="W49" s="886"/>
      <c r="X49" s="887"/>
      <c r="Y49"/>
      <c r="Z49" s="235"/>
      <c r="AA49" s="235"/>
      <c r="AE49" s="89"/>
      <c r="AG49" s="89"/>
      <c r="BN49" s="1"/>
      <c r="CK49" s="1"/>
      <c r="CV49" s="244"/>
      <c r="CW49" s="244"/>
      <c r="CY49"/>
      <c r="CZ49"/>
    </row>
    <row r="50" spans="1:110" ht="17" thickBot="1">
      <c r="A50" s="257" t="str">
        <f>"Faktisk arbejdstid ialt i "&amp;A7&amp;" måned"</f>
        <v>Faktisk arbejdstid ialt i Juni måned</v>
      </c>
      <c r="B50" s="309"/>
      <c r="C50" s="310"/>
      <c r="D50" s="310"/>
      <c r="E50" s="310"/>
      <c r="F50" s="310"/>
      <c r="G50" s="310"/>
      <c r="H50" s="311"/>
      <c r="I50" s="1023">
        <f>I46+I49+I48+I47</f>
        <v>0</v>
      </c>
      <c r="J50" s="1024"/>
      <c r="K50" s="1025"/>
      <c r="L50" s="237"/>
      <c r="M50" s="882"/>
      <c r="N50" s="883"/>
      <c r="O50" s="883"/>
      <c r="P50" s="883"/>
      <c r="Q50" s="883"/>
      <c r="R50" s="883"/>
      <c r="S50" s="883"/>
      <c r="T50" s="883"/>
      <c r="U50" s="884"/>
      <c r="V50" s="885"/>
      <c r="W50" s="886"/>
      <c r="X50" s="887"/>
      <c r="Y50" s="235"/>
      <c r="Z50" s="235"/>
      <c r="AA50" s="213"/>
      <c r="AB50" s="243"/>
      <c r="AC50" s="243"/>
      <c r="AD50" s="243"/>
      <c r="AE50" s="235"/>
      <c r="AF50" s="243"/>
      <c r="AH50" s="235"/>
      <c r="AI50" s="235"/>
      <c r="AM50" s="89"/>
      <c r="AN50" s="89"/>
      <c r="BU50" s="1"/>
      <c r="CR50" s="1"/>
      <c r="CY50"/>
      <c r="CZ50"/>
      <c r="DC50" s="244"/>
      <c r="DD50" s="244"/>
    </row>
    <row r="51" spans="1:110" ht="17" thickBot="1">
      <c r="A51" s="251"/>
      <c r="B51" s="251"/>
      <c r="C51" s="251"/>
      <c r="D51" s="251"/>
      <c r="E51" s="251"/>
      <c r="F51" s="251"/>
      <c r="G51" s="251"/>
      <c r="H51" s="251"/>
      <c r="I51" s="514"/>
      <c r="J51" s="514"/>
      <c r="K51" s="514"/>
      <c r="L51" s="492"/>
      <c r="M51" s="882"/>
      <c r="N51" s="883"/>
      <c r="O51" s="883"/>
      <c r="P51" s="883"/>
      <c r="Q51" s="883"/>
      <c r="R51" s="883"/>
      <c r="S51" s="883"/>
      <c r="T51" s="883"/>
      <c r="U51" s="884"/>
      <c r="V51" s="885"/>
      <c r="W51" s="886"/>
      <c r="X51" s="887"/>
      <c r="Y51" s="235"/>
      <c r="Z51" s="235"/>
      <c r="AA51" s="235"/>
      <c r="AB51" s="235"/>
      <c r="AC51" s="213"/>
      <c r="AD51" s="243"/>
      <c r="AE51" s="243"/>
      <c r="AF51" s="243"/>
      <c r="AG51" s="243"/>
      <c r="AH51" s="235"/>
      <c r="AJ51" s="235"/>
      <c r="AK51" s="235"/>
      <c r="AO51" s="89"/>
      <c r="AP51" s="89"/>
      <c r="BW51" s="1"/>
      <c r="CT51" s="1"/>
      <c r="CY51"/>
      <c r="CZ51"/>
      <c r="DE51" s="244"/>
      <c r="DF51" s="244"/>
    </row>
    <row r="52" spans="1:110" ht="26" thickBot="1">
      <c r="A52" s="973" t="s">
        <v>478</v>
      </c>
      <c r="B52" s="974"/>
      <c r="C52" s="974"/>
      <c r="D52" s="974"/>
      <c r="E52" s="974"/>
      <c r="F52" s="974"/>
      <c r="G52" s="974"/>
      <c r="H52" s="698" t="s">
        <v>669</v>
      </c>
      <c r="I52" s="974" t="s">
        <v>477</v>
      </c>
      <c r="J52" s="974"/>
      <c r="K52" s="976"/>
      <c r="L52" s="492"/>
      <c r="M52" s="1047" t="s">
        <v>294</v>
      </c>
      <c r="N52" s="1048"/>
      <c r="O52" s="1048"/>
      <c r="P52" s="1048"/>
      <c r="Q52" s="1048"/>
      <c r="R52" s="1048"/>
      <c r="S52" s="1048"/>
      <c r="T52" s="1048"/>
      <c r="U52" s="1049"/>
      <c r="V52" s="1096">
        <f>V45-SUM(V48:X51)</f>
        <v>0</v>
      </c>
      <c r="W52" s="1097"/>
      <c r="X52" s="1098"/>
      <c r="Y52" s="235"/>
      <c r="Z52" s="235"/>
      <c r="AA52" s="235"/>
      <c r="AB52" s="235"/>
      <c r="AC52" s="213"/>
      <c r="AD52" s="243"/>
      <c r="AE52" s="243"/>
      <c r="AF52" s="243"/>
      <c r="AG52" s="243"/>
      <c r="AH52" s="235"/>
      <c r="AJ52" s="235"/>
      <c r="AK52" s="235"/>
      <c r="AO52" s="89"/>
      <c r="AP52" s="89"/>
      <c r="BW52" s="1"/>
      <c r="CT52" s="1"/>
      <c r="CY52"/>
      <c r="CZ52"/>
      <c r="DE52" s="244"/>
      <c r="DF52" s="244"/>
    </row>
    <row r="53" spans="1:110" ht="16" customHeight="1">
      <c r="A53" s="1008"/>
      <c r="B53" s="1009"/>
      <c r="C53" s="1009"/>
      <c r="D53" s="1009"/>
      <c r="E53" s="1009"/>
      <c r="F53" s="1009"/>
      <c r="G53" s="1009"/>
      <c r="H53" s="597">
        <f>Maj!H62</f>
        <v>0</v>
      </c>
      <c r="I53" s="1099">
        <f>Maj!I62</f>
        <v>0</v>
      </c>
      <c r="J53" s="1099"/>
      <c r="K53" s="1100"/>
      <c r="L53" s="492"/>
      <c r="M53" s="515"/>
      <c r="N53" s="515"/>
      <c r="O53" s="515"/>
      <c r="P53" s="515"/>
      <c r="Q53" s="516"/>
      <c r="R53" s="517"/>
      <c r="S53" s="517"/>
      <c r="T53" s="517"/>
      <c r="U53" s="517"/>
      <c r="V53" s="515"/>
      <c r="W53" s="518"/>
      <c r="X53" s="515"/>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84" t="s">
        <v>481</v>
      </c>
      <c r="B54" s="1085"/>
      <c r="C54" s="1085"/>
      <c r="D54" s="1085"/>
      <c r="E54" s="1085"/>
      <c r="F54" s="1085"/>
      <c r="G54" s="1086"/>
      <c r="H54" s="595"/>
      <c r="I54" s="1087"/>
      <c r="J54" s="1088"/>
      <c r="K54" s="1089"/>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37" customHeight="1">
      <c r="A55" s="879" t="s">
        <v>670</v>
      </c>
      <c r="B55" s="880"/>
      <c r="C55" s="880"/>
      <c r="D55" s="880"/>
      <c r="E55" s="880"/>
      <c r="F55" s="880"/>
      <c r="G55" s="880"/>
      <c r="H55" s="880"/>
      <c r="I55" s="880"/>
      <c r="J55" s="880"/>
      <c r="K55" s="881"/>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5" customHeight="1">
      <c r="A56" s="1010" t="s">
        <v>671</v>
      </c>
      <c r="B56" s="1011"/>
      <c r="C56" s="913" t="s">
        <v>509</v>
      </c>
      <c r="D56" s="914"/>
      <c r="E56" s="915" t="s">
        <v>510</v>
      </c>
      <c r="F56" s="880"/>
      <c r="G56" s="916"/>
      <c r="H56" s="925" t="s">
        <v>479</v>
      </c>
      <c r="I56" s="925"/>
      <c r="J56" s="925"/>
      <c r="K56" s="926"/>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c r="A57" s="917"/>
      <c r="B57" s="918"/>
      <c r="C57" s="921"/>
      <c r="D57" s="920"/>
      <c r="E57" s="922"/>
      <c r="F57" s="923"/>
      <c r="G57" s="924"/>
      <c r="H57" s="596"/>
      <c r="I57" s="911"/>
      <c r="J57" s="911"/>
      <c r="K57" s="912"/>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919"/>
      <c r="B58" s="920"/>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919"/>
      <c r="B60" s="920"/>
      <c r="C60" s="921"/>
      <c r="D60" s="920"/>
      <c r="E60" s="922"/>
      <c r="F60" s="923"/>
      <c r="G60" s="924"/>
      <c r="H60" s="596"/>
      <c r="I60" s="911"/>
      <c r="J60" s="911"/>
      <c r="K60" s="912"/>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ht="17" thickBot="1">
      <c r="A61" s="908" t="s">
        <v>480</v>
      </c>
      <c r="B61" s="909"/>
      <c r="C61" s="910"/>
      <c r="D61" s="910"/>
      <c r="E61" s="910"/>
      <c r="F61" s="910"/>
      <c r="G61" s="910"/>
      <c r="H61" s="598">
        <f>H54+H53-SUM(H57:H60)</f>
        <v>0</v>
      </c>
      <c r="I61" s="927">
        <f>I53+I54-SUM(I57:K60)</f>
        <v>0</v>
      </c>
      <c r="J61" s="928"/>
      <c r="K61" s="929"/>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idden="1">
      <c r="A62" s="434"/>
      <c r="B62" s="434"/>
      <c r="C62" s="434"/>
      <c r="D62" s="434"/>
      <c r="E62" s="434"/>
      <c r="F62" s="434"/>
      <c r="G62" s="434"/>
      <c r="H62" s="444"/>
      <c r="I62" s="498"/>
      <c r="J62" s="498"/>
      <c r="K62" s="488"/>
      <c r="L62" s="650"/>
      <c r="M62" s="650"/>
      <c r="N62" s="650"/>
      <c r="O62" s="650"/>
      <c r="P62" s="650"/>
      <c r="Q62" s="516"/>
      <c r="R62" s="517"/>
      <c r="S62" s="517"/>
      <c r="T62" s="517"/>
      <c r="U62" s="517"/>
      <c r="V62" s="515" t="s">
        <v>570</v>
      </c>
      <c r="W62" s="518"/>
      <c r="X62" s="515"/>
      <c r="Y62"/>
      <c r="Z62"/>
      <c r="AA62" s="89"/>
      <c r="AB62" s="89"/>
      <c r="BI62" s="1"/>
      <c r="CF62" s="1"/>
      <c r="CQ62" s="244"/>
      <c r="CR62" s="244"/>
      <c r="CY62"/>
      <c r="CZ62"/>
    </row>
    <row r="63" spans="1:110" hidden="1">
      <c r="A63" s="122" t="s">
        <v>206</v>
      </c>
      <c r="B63" s="122"/>
      <c r="C63" s="122"/>
      <c r="D63" s="122">
        <f>COUNTIF([0]!Juni,"Skema 1")</f>
        <v>18</v>
      </c>
      <c r="E63" s="389"/>
      <c r="F63" s="122" t="s">
        <v>186</v>
      </c>
      <c r="G63" s="122">
        <f>COUNTIFS($B$9:$B$38,"ma",[0]!Juni,"Skema 1")</f>
        <v>3</v>
      </c>
      <c r="H63" s="122"/>
      <c r="I63" s="503"/>
      <c r="J63" s="650"/>
      <c r="K63" s="650"/>
      <c r="L63" s="503"/>
      <c r="M63" s="651"/>
      <c r="N63" s="650"/>
      <c r="O63" s="651"/>
      <c r="P63" s="669" t="s">
        <v>588</v>
      </c>
      <c r="Q63" s="671" t="s">
        <v>599</v>
      </c>
      <c r="R63" s="227"/>
      <c r="S63" s="227"/>
      <c r="T63" s="227"/>
      <c r="U63" s="227"/>
      <c r="V63" s="227"/>
      <c r="W63" s="117"/>
      <c r="X63" s="117"/>
      <c r="Y63"/>
      <c r="Z63"/>
      <c r="AA63" s="89"/>
      <c r="AB63" s="89"/>
      <c r="BI63" s="1"/>
      <c r="CF63" s="1"/>
      <c r="CQ63" s="244"/>
      <c r="CR63" s="244"/>
      <c r="CY63"/>
      <c r="CZ63"/>
    </row>
    <row r="64" spans="1:110" hidden="1">
      <c r="A64" s="1129" t="s">
        <v>207</v>
      </c>
      <c r="B64" s="1129"/>
      <c r="C64" s="1129"/>
      <c r="D64" s="122">
        <f>COUNTIF([0]!Juni,"Skema 2")</f>
        <v>0</v>
      </c>
      <c r="E64" s="389"/>
      <c r="F64" s="122" t="s">
        <v>187</v>
      </c>
      <c r="G64" s="122">
        <f>COUNTIFS($B$9:$B$38,"ti",[0]!Juni,"Skema 1")</f>
        <v>4</v>
      </c>
      <c r="H64" s="122"/>
      <c r="I64" s="503" t="s">
        <v>589</v>
      </c>
      <c r="J64" s="650"/>
      <c r="K64" s="503"/>
      <c r="L64" s="653"/>
      <c r="M64" s="651"/>
      <c r="N64" s="651"/>
      <c r="O64" s="654"/>
      <c r="P64" s="669">
        <f>IF(Stamoplysninger!$B$22="Ulempetillæg udbetales med 25% af nettotimelønnen.",SUM(DO40:DR40)-SUM(DS40:DV40),0)</f>
        <v>0</v>
      </c>
      <c r="Q64" s="671"/>
      <c r="R64" s="227"/>
      <c r="S64" s="227"/>
      <c r="T64" s="227"/>
      <c r="U64" s="227"/>
      <c r="V64" s="227"/>
      <c r="W64" s="117"/>
      <c r="X64" s="117"/>
      <c r="Y64"/>
      <c r="Z64"/>
      <c r="AA64" s="89"/>
      <c r="AB64" s="89"/>
      <c r="BI64" s="1"/>
      <c r="CF64" s="1"/>
      <c r="CQ64" s="244"/>
      <c r="CR64" s="244"/>
      <c r="CY64"/>
      <c r="CZ64"/>
    </row>
    <row r="65" spans="1:109" hidden="1">
      <c r="A65" s="1128" t="s">
        <v>208</v>
      </c>
      <c r="B65" s="1128"/>
      <c r="C65" s="1128"/>
      <c r="D65" s="490">
        <f>COUNTIF([0]!Juni,"Skema 3")</f>
        <v>0</v>
      </c>
      <c r="E65" s="491"/>
      <c r="F65" s="490" t="s">
        <v>188</v>
      </c>
      <c r="G65" s="490">
        <f>COUNTIFS($B$9:$B$38,"on",[0]!Juni,"Skema 1")</f>
        <v>4</v>
      </c>
      <c r="H65" s="490"/>
      <c r="I65" s="668" t="s">
        <v>590</v>
      </c>
      <c r="J65" s="650"/>
      <c r="K65" s="503"/>
      <c r="L65" s="653"/>
      <c r="M65" s="651"/>
      <c r="N65" s="651"/>
      <c r="O65" s="651"/>
      <c r="P65" s="669"/>
      <c r="Q65" s="671">
        <f>IF(Stamoplysninger!$B$22="Ulempetillæg afspadseres med 25%(Kræver en aftale imellem ledelsen og den ansatte)",EC40+ED40+EE40+EF40-EG40-EH40-EI40-EJ40,0)</f>
        <v>0</v>
      </c>
      <c r="R65" s="227"/>
      <c r="S65" s="227"/>
      <c r="T65" s="227"/>
      <c r="U65" s="227"/>
      <c r="V65" s="227"/>
      <c r="W65" s="117"/>
      <c r="X65" s="117"/>
      <c r="Y65"/>
      <c r="Z65"/>
      <c r="AA65" s="89"/>
      <c r="AB65" s="89"/>
      <c r="BI65" s="1"/>
      <c r="CF65" s="1"/>
      <c r="CQ65" s="244"/>
      <c r="CR65" s="244"/>
      <c r="CY65"/>
      <c r="CZ65"/>
    </row>
    <row r="66" spans="1:109" hidden="1">
      <c r="A66" s="1128" t="s">
        <v>209</v>
      </c>
      <c r="B66" s="1128"/>
      <c r="C66" s="1128"/>
      <c r="D66" s="490">
        <f>COUNTIF([0]!Juni,"Skema 4")</f>
        <v>0</v>
      </c>
      <c r="E66" s="491"/>
      <c r="F66" s="490" t="s">
        <v>190</v>
      </c>
      <c r="G66" s="490">
        <f>COUNTIFS($B$9:$B$38,"to",[0]!Juni,"Skema 1")</f>
        <v>3</v>
      </c>
      <c r="H66" s="490"/>
      <c r="I66" s="668" t="s">
        <v>591</v>
      </c>
      <c r="J66" s="650"/>
      <c r="K66" s="503"/>
      <c r="L66" s="653"/>
      <c r="M66" s="656"/>
      <c r="N66" s="656"/>
      <c r="O66" s="4"/>
      <c r="P66" s="669"/>
      <c r="Q66" s="671"/>
      <c r="R66" s="227"/>
      <c r="S66" s="227"/>
      <c r="T66" s="227"/>
      <c r="U66" s="227"/>
      <c r="V66" s="227"/>
      <c r="W66" s="117"/>
      <c r="X66" s="117"/>
      <c r="Y66" s="235"/>
      <c r="Z66" s="235"/>
      <c r="AA66" s="235"/>
      <c r="AB66" s="213"/>
      <c r="AC66" s="243"/>
      <c r="AD66" s="243"/>
      <c r="AE66" s="243"/>
      <c r="AF66" s="243"/>
      <c r="AG66" s="235"/>
      <c r="AI66" s="235"/>
      <c r="AJ66" s="235"/>
      <c r="AN66" s="89"/>
      <c r="AO66" s="89"/>
      <c r="BV66" s="1"/>
      <c r="CS66" s="1"/>
      <c r="CY66"/>
      <c r="CZ66"/>
      <c r="DD66" s="244"/>
      <c r="DE66" s="244"/>
    </row>
    <row r="67" spans="1:109" hidden="1">
      <c r="A67" s="490" t="s">
        <v>112</v>
      </c>
      <c r="B67" s="490"/>
      <c r="C67" s="490"/>
      <c r="D67" s="490">
        <f>COUNTIF([0]!Juni,"Fagdag")+COUNTIF([0]!Juni,"emnedag")</f>
        <v>0</v>
      </c>
      <c r="E67" s="491"/>
      <c r="F67" s="490" t="s">
        <v>189</v>
      </c>
      <c r="G67" s="490">
        <f>COUNTIFS($B$9:$B$38,"fr",[0]!Juni,"Skema 1")</f>
        <v>4</v>
      </c>
      <c r="H67" s="490"/>
      <c r="I67" s="653" t="s">
        <v>592</v>
      </c>
      <c r="J67" s="650"/>
      <c r="K67" s="503"/>
      <c r="L67" s="653"/>
      <c r="M67" s="656"/>
      <c r="N67" s="656"/>
      <c r="O67" s="4"/>
      <c r="P67" s="669"/>
      <c r="Q67" s="671">
        <f>IF(Stamoplysninger!$B$26="Weekendtimer og weekendtillæg afspadseres.",EK40+EL40-EM40-EN40,0)</f>
        <v>0</v>
      </c>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4" t="s">
        <v>111</v>
      </c>
      <c r="B68" s="490"/>
      <c r="C68" s="490"/>
      <c r="D68" s="490">
        <f>COUNTIF([0]!Juni,"Lejrskole")+COUNTIF([0]!Juni,"Ekskursion")</f>
        <v>0</v>
      </c>
      <c r="E68" s="491"/>
      <c r="F68" s="490"/>
      <c r="G68" s="490"/>
      <c r="H68" s="490"/>
      <c r="I68" s="653" t="s">
        <v>593</v>
      </c>
      <c r="J68" s="653"/>
      <c r="K68" s="653"/>
      <c r="L68" s="653"/>
      <c r="M68" s="657"/>
      <c r="N68" s="657"/>
      <c r="O68" s="4"/>
      <c r="P68" s="670">
        <f>IF(Stamoplysninger!$B$26="Weekendtimer og weekendtillæg udbetales.",EO40+EP40-EQ40-ER40,0)</f>
        <v>0</v>
      </c>
      <c r="Q68" s="671"/>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0" t="s">
        <v>110</v>
      </c>
      <c r="B69" s="490"/>
      <c r="C69" s="490"/>
      <c r="D69" s="490">
        <f>COUNTIF([0]!Juni,"Pæd.dag")</f>
        <v>0</v>
      </c>
      <c r="E69" s="491"/>
      <c r="F69" s="490" t="s">
        <v>191</v>
      </c>
      <c r="G69" s="490">
        <f>COUNTIFS($B$9:$B$38,"ma",[0]!Juni,"Skema 2")</f>
        <v>0</v>
      </c>
      <c r="H69" s="490"/>
      <c r="I69" s="653" t="s">
        <v>594</v>
      </c>
      <c r="J69" s="653"/>
      <c r="K69" s="653"/>
      <c r="L69" s="653"/>
      <c r="M69" s="657"/>
      <c r="N69" s="657"/>
      <c r="O69" s="4"/>
      <c r="P69" s="669"/>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120</v>
      </c>
      <c r="B70" s="490"/>
      <c r="C70" s="490"/>
      <c r="D70" s="490">
        <f>COUNTIF([0]!Juni,"Weekend")</f>
        <v>9</v>
      </c>
      <c r="E70" s="491"/>
      <c r="F70" s="490" t="s">
        <v>192</v>
      </c>
      <c r="G70" s="490">
        <f>COUNTIFS($B$9:$B$38,"ti",[0]!Juni,"Skema 2")</f>
        <v>0</v>
      </c>
      <c r="H70" s="490"/>
      <c r="I70" s="653" t="s">
        <v>595</v>
      </c>
      <c r="J70" s="653"/>
      <c r="K70" s="653"/>
      <c r="L70" s="653"/>
      <c r="M70" s="658"/>
      <c r="N70" s="658"/>
      <c r="O70" s="4"/>
      <c r="P70" s="669"/>
      <c r="Q70" s="672">
        <f>IF(Stamoplysninger!$B$26="Der er indgået lokalaftale omkring weekendtimer.(Kræver aftale med TR/FSL) Weekendtillæg afspadseres.",ES40+ET40-EU40-EV40,0)</f>
        <v>0</v>
      </c>
      <c r="R70" s="227"/>
      <c r="S70" s="227"/>
      <c r="T70" s="227"/>
      <c r="U70" s="227"/>
      <c r="V70" s="227"/>
      <c r="W70" s="117"/>
      <c r="X70" s="117"/>
      <c r="Y70"/>
      <c r="Z70"/>
      <c r="AM70" s="1"/>
      <c r="BJ70" s="1"/>
      <c r="BU70" s="244"/>
      <c r="BV70" s="244"/>
      <c r="CY70"/>
      <c r="CZ70"/>
    </row>
    <row r="71" spans="1:109" hidden="1">
      <c r="A71" s="490" t="s">
        <v>127</v>
      </c>
      <c r="B71" s="490"/>
      <c r="C71" s="490"/>
      <c r="D71" s="490">
        <f>COUNTIF([0]!Juni,"SH-dag")</f>
        <v>1</v>
      </c>
      <c r="E71" s="491"/>
      <c r="F71" s="490" t="s">
        <v>193</v>
      </c>
      <c r="G71" s="490">
        <f>COUNTIFS($B$9:$B$38,"on",[0]!Juni,"Skema 2")</f>
        <v>0</v>
      </c>
      <c r="H71" s="490"/>
      <c r="I71" s="653" t="s">
        <v>596</v>
      </c>
      <c r="J71" s="653"/>
      <c r="K71" s="653"/>
      <c r="L71" s="653"/>
      <c r="M71" s="658"/>
      <c r="N71" s="658"/>
      <c r="O71" s="4"/>
      <c r="P71" s="669">
        <f>IF(Stamoplysninger!$B$26="Der er indgået lokalaftale omkring weekendtimer(Kræver aftale med TR/FSL). Weekendtillæg udbetales.",EW40+EX40-EY40-EZ40,0)</f>
        <v>0</v>
      </c>
      <c r="Q71" s="671"/>
      <c r="R71" s="227"/>
      <c r="S71" s="227"/>
      <c r="T71" s="227"/>
      <c r="U71" s="227"/>
      <c r="V71" s="227"/>
      <c r="W71" s="117"/>
      <c r="X71" s="117"/>
      <c r="Y71"/>
      <c r="Z71"/>
      <c r="AM71" s="1"/>
      <c r="BJ71" s="1"/>
      <c r="BU71" s="244"/>
      <c r="BV71" s="244"/>
      <c r="CY71"/>
      <c r="CZ71"/>
    </row>
    <row r="72" spans="1:109" hidden="1">
      <c r="A72" s="490" t="s">
        <v>109</v>
      </c>
      <c r="B72" s="490"/>
      <c r="C72" s="490"/>
      <c r="D72" s="490">
        <f>COUNTIF([0]!Juni,"Feriedag")</f>
        <v>0</v>
      </c>
      <c r="E72" s="491"/>
      <c r="F72" s="490" t="s">
        <v>194</v>
      </c>
      <c r="G72" s="490">
        <f>COUNTIFS($B$9:$B$38,"to",[0]!Juni,"Skema 2")</f>
        <v>0</v>
      </c>
      <c r="H72" s="490"/>
      <c r="I72" s="653" t="s">
        <v>597</v>
      </c>
      <c r="J72" s="653"/>
      <c r="K72" s="653"/>
      <c r="L72" s="653"/>
      <c r="M72" s="658"/>
      <c r="N72" s="658"/>
      <c r="O72" s="4"/>
      <c r="P72" s="669"/>
      <c r="Q72" s="620">
        <f>IF(Stamoplysninger!$B$26="Der er indgået lokalaftale omkring weekendtillæg(Kræver aftale med TR/FSL). Weekendtimerne afspadseres.",FA40+FB40-FC40-FD40,0)</f>
        <v>0</v>
      </c>
      <c r="R72" s="40"/>
      <c r="S72" s="40"/>
      <c r="T72" s="40"/>
      <c r="Y72"/>
      <c r="Z72"/>
      <c r="AM72" s="1"/>
      <c r="BJ72" s="1"/>
      <c r="BU72" s="244"/>
      <c r="BV72" s="244"/>
      <c r="CY72"/>
      <c r="CZ72"/>
    </row>
    <row r="73" spans="1:109" hidden="1">
      <c r="A73" s="490" t="s">
        <v>178</v>
      </c>
      <c r="B73" s="490"/>
      <c r="C73" s="490"/>
      <c r="D73" s="490">
        <f>COUNTIF([0]!Juni,"Nul-dag")</f>
        <v>2</v>
      </c>
      <c r="E73" s="491"/>
      <c r="F73" s="490" t="s">
        <v>195</v>
      </c>
      <c r="G73" s="490">
        <f>COUNTIFS($B$9:$B$38,"fr",[0]!Juni,"Skema 2")</f>
        <v>0</v>
      </c>
      <c r="H73" s="490"/>
      <c r="I73" s="653" t="s">
        <v>598</v>
      </c>
      <c r="J73" s="653"/>
      <c r="K73" s="653"/>
      <c r="L73" s="653"/>
      <c r="M73" s="658"/>
      <c r="N73" s="658"/>
      <c r="O73" s="4"/>
      <c r="P73" s="669">
        <f>IF(Stamoplysninger!$B$26="Der er indgået lokalaftale omkring weekendtillæg(Kræver aftale med TR/FSL). Weekendtimerne udbetales.",FE40+FF40-FG40-FH40,0)</f>
        <v>0</v>
      </c>
      <c r="Q73" s="620"/>
      <c r="V73" t="s">
        <v>605</v>
      </c>
      <c r="Y73"/>
      <c r="Z73"/>
      <c r="AM73" s="1"/>
      <c r="BJ73" s="1"/>
      <c r="BU73" s="244"/>
      <c r="BV73" s="244"/>
      <c r="CY73"/>
      <c r="CZ73"/>
    </row>
    <row r="74" spans="1:109" hidden="1">
      <c r="A74" s="490" t="s">
        <v>415</v>
      </c>
      <c r="B74" s="490"/>
      <c r="C74" s="490"/>
      <c r="D74" s="490">
        <f>COUNTIF([0]!Juni,"Orlov")</f>
        <v>0</v>
      </c>
      <c r="E74" s="491"/>
      <c r="F74" s="496"/>
      <c r="G74" s="496"/>
      <c r="H74" s="496"/>
      <c r="I74" s="653" t="s">
        <v>604</v>
      </c>
      <c r="J74" s="653"/>
      <c r="K74" s="653"/>
      <c r="L74" s="653"/>
      <c r="M74" s="659"/>
      <c r="N74" s="659"/>
      <c r="O74" s="4"/>
      <c r="P74" s="652"/>
      <c r="R74">
        <f>IF(C9="ikke relevant",V9*-1+X9*-1,0)</f>
        <v>0</v>
      </c>
      <c r="S74" t="s">
        <v>610</v>
      </c>
      <c r="V74">
        <f>IF(C9="ikke relevant",R9*-1,0)</f>
        <v>0</v>
      </c>
      <c r="Y74"/>
      <c r="Z74"/>
      <c r="AM74" s="1"/>
      <c r="BJ74" s="1"/>
      <c r="BU74" s="244"/>
      <c r="BV74" s="244"/>
      <c r="CY74"/>
      <c r="CZ74"/>
    </row>
    <row r="75" spans="1:109" hidden="1">
      <c r="A75" s="490" t="s">
        <v>160</v>
      </c>
      <c r="B75" s="490"/>
      <c r="C75" s="490"/>
      <c r="D75" s="490">
        <f>COUNTIF([0]!Juni,"Ikke relevant")</f>
        <v>0</v>
      </c>
      <c r="E75" s="491"/>
      <c r="F75" s="490" t="s">
        <v>196</v>
      </c>
      <c r="G75" s="490">
        <f>COUNTIFS($B$9:$B$38,"ma",[0]!Juni,"Skema 3")</f>
        <v>0</v>
      </c>
      <c r="H75" s="490"/>
      <c r="I75" s="653"/>
      <c r="J75" s="653"/>
      <c r="K75" s="653"/>
      <c r="L75" s="503"/>
      <c r="M75" s="659"/>
      <c r="N75" s="659"/>
      <c r="O75" s="4"/>
      <c r="P75" s="652"/>
      <c r="R75">
        <f>IF(C10="ikke relevant",V10*-1+X10*-1,0)</f>
        <v>0</v>
      </c>
      <c r="V75">
        <f>IF(C10="ikke relevant",R10*-1,0)</f>
        <v>0</v>
      </c>
      <c r="Y75"/>
      <c r="Z75"/>
      <c r="AM75" s="1"/>
      <c r="BJ75" s="1"/>
      <c r="BU75" s="244"/>
      <c r="BV75" s="244"/>
      <c r="CY75"/>
      <c r="CZ75"/>
    </row>
    <row r="76" spans="1:109" hidden="1">
      <c r="A76" s="490" t="s">
        <v>108</v>
      </c>
      <c r="B76" s="490"/>
      <c r="C76" s="490"/>
      <c r="D76" s="490">
        <f>SUM(D63:D75)</f>
        <v>30</v>
      </c>
      <c r="E76" s="490"/>
      <c r="F76" s="490" t="s">
        <v>197</v>
      </c>
      <c r="G76" s="490">
        <f>COUNTIFS($B$9:$B$38,"ti",[0]!Juni,"Skema 3")</f>
        <v>0</v>
      </c>
      <c r="H76" s="490"/>
      <c r="I76" s="653"/>
      <c r="J76" s="653"/>
      <c r="K76" s="653"/>
      <c r="L76" s="503"/>
      <c r="M76" s="659"/>
      <c r="N76" s="659"/>
      <c r="O76" s="4"/>
      <c r="P76" s="652"/>
      <c r="R76">
        <f t="shared" ref="R76:R104" si="39">IF(C11="ikke relevant",V11*-1+X11*-1,0)</f>
        <v>0</v>
      </c>
      <c r="V76">
        <f t="shared" ref="V76:V104" si="40">IF(C11="ikke relevant",R11*-1,0)</f>
        <v>0</v>
      </c>
      <c r="Y76"/>
      <c r="Z76" s="1"/>
      <c r="AX76" s="1"/>
      <c r="BI76" s="244"/>
      <c r="BJ76" s="244"/>
      <c r="CY76"/>
      <c r="CZ76"/>
    </row>
    <row r="77" spans="1:109" hidden="1">
      <c r="A77" s="490" t="s">
        <v>239</v>
      </c>
      <c r="B77" s="490"/>
      <c r="C77" s="490"/>
      <c r="D77" s="490">
        <f>D76-D70-A86-D75</f>
        <v>21</v>
      </c>
      <c r="E77" s="497"/>
      <c r="F77" s="490" t="s">
        <v>198</v>
      </c>
      <c r="G77" s="490">
        <f>COUNTIFS($B$9:$B$38,"on",[0]!Juni,"Skema 3")</f>
        <v>0</v>
      </c>
      <c r="H77" s="490"/>
      <c r="I77" s="653"/>
      <c r="J77" s="653"/>
      <c r="K77" s="653"/>
      <c r="L77" s="503"/>
      <c r="M77" s="659"/>
      <c r="N77" s="659"/>
      <c r="O77" s="4"/>
      <c r="P77" s="652"/>
      <c r="R77">
        <f t="shared" si="39"/>
        <v>0</v>
      </c>
      <c r="V77">
        <f t="shared" si="40"/>
        <v>0</v>
      </c>
      <c r="Y77"/>
      <c r="Z77" s="1"/>
      <c r="AX77" s="1"/>
      <c r="BI77" s="244"/>
      <c r="BJ77" s="244"/>
      <c r="CY77"/>
      <c r="CZ77"/>
    </row>
    <row r="78" spans="1:109" hidden="1">
      <c r="A78" s="490"/>
      <c r="B78" s="490"/>
      <c r="C78" s="490"/>
      <c r="D78" s="490"/>
      <c r="E78" s="490"/>
      <c r="F78" s="490" t="s">
        <v>199</v>
      </c>
      <c r="G78" s="490">
        <f>COUNTIFS($B$9:$B$38,"to",[0]!Juni,"Skema 3")</f>
        <v>0</v>
      </c>
      <c r="H78" s="490"/>
      <c r="I78" s="655"/>
      <c r="J78" s="653"/>
      <c r="K78" s="653"/>
      <c r="L78" s="503"/>
      <c r="M78" s="651"/>
      <c r="N78" s="651"/>
      <c r="O78" s="4"/>
      <c r="P78" s="652"/>
      <c r="R78">
        <f t="shared" si="39"/>
        <v>0</v>
      </c>
      <c r="V78">
        <f t="shared" si="40"/>
        <v>0</v>
      </c>
      <c r="Y78"/>
      <c r="Z78"/>
      <c r="AO78" s="1"/>
      <c r="BL78" s="1"/>
      <c r="BW78" s="244"/>
      <c r="BX78" s="244"/>
      <c r="CY78"/>
      <c r="CZ78"/>
    </row>
    <row r="79" spans="1:109" hidden="1">
      <c r="A79" s="490"/>
      <c r="B79" s="490"/>
      <c r="C79" s="490"/>
      <c r="D79" s="490"/>
      <c r="E79" s="490"/>
      <c r="F79" s="490" t="s">
        <v>200</v>
      </c>
      <c r="G79" s="490">
        <f>COUNTIFS($B$9:$B$38,"fr",[0]!Juni,"Skema 3")</f>
        <v>0</v>
      </c>
      <c r="H79" s="490"/>
      <c r="I79" s="498"/>
      <c r="J79" s="503"/>
      <c r="K79" s="503"/>
      <c r="L79" s="503"/>
      <c r="M79" s="4"/>
      <c r="N79" s="4"/>
      <c r="O79" s="4"/>
      <c r="P79" s="4"/>
      <c r="R79">
        <f t="shared" si="39"/>
        <v>0</v>
      </c>
      <c r="V79">
        <f t="shared" si="40"/>
        <v>0</v>
      </c>
      <c r="Y79"/>
      <c r="Z79"/>
      <c r="AO79" s="1"/>
      <c r="BL79" s="1"/>
      <c r="BW79" s="244"/>
      <c r="BX79" s="244"/>
      <c r="CY79"/>
      <c r="CZ79"/>
    </row>
    <row r="80" spans="1:109" hidden="1">
      <c r="A80" s="490" t="s">
        <v>292</v>
      </c>
      <c r="B80" s="490"/>
      <c r="C80" s="490"/>
      <c r="D80" s="490"/>
      <c r="E80" s="490"/>
      <c r="F80" s="490"/>
      <c r="G80" s="490"/>
      <c r="H80" s="490"/>
      <c r="I80" s="498"/>
      <c r="J80" s="503"/>
      <c r="K80" s="503"/>
      <c r="L80" s="503"/>
      <c r="M80" s="4"/>
      <c r="N80" s="4"/>
      <c r="O80" s="4"/>
      <c r="P80" s="4"/>
      <c r="R80">
        <f t="shared" si="39"/>
        <v>0</v>
      </c>
      <c r="V80">
        <f t="shared" si="40"/>
        <v>0</v>
      </c>
      <c r="Y80"/>
      <c r="Z80"/>
      <c r="AO80" s="1"/>
      <c r="BL80" s="1"/>
      <c r="BW80" s="244"/>
      <c r="BX80" s="244"/>
      <c r="CY80"/>
      <c r="CZ80"/>
    </row>
    <row r="81" spans="1:111" hidden="1">
      <c r="A81" s="490">
        <f>COUNTIF(C9,"Skema 1")+COUNTIF(C9,"Skema 2")+COUNTIF(C9,"Skema 3")+COUNTIF(C9,"Skema 4")+COUNTIF(C9,"Fagdag")+COUNTIF(C9,"Emnedag")+COUNTIF(C9,"Lejrskole")+COUNTIF(C9,"Ekskursion")+COUNTIF(C9,"Pæd.dag")</f>
        <v>0</v>
      </c>
      <c r="B81" s="490"/>
      <c r="C81" s="490"/>
      <c r="D81" s="490"/>
      <c r="E81" s="490"/>
      <c r="F81" s="490" t="s">
        <v>201</v>
      </c>
      <c r="G81" s="490">
        <f>COUNTIFS($B$9:$B$38,"ma",[0]!Juni,"Skema 4")</f>
        <v>0</v>
      </c>
      <c r="H81" s="490"/>
      <c r="I81" s="498"/>
      <c r="J81" s="503"/>
      <c r="K81" s="503"/>
      <c r="L81" s="503"/>
      <c r="M81" s="4"/>
      <c r="N81" s="4"/>
      <c r="O81" s="4"/>
      <c r="P81" s="4"/>
      <c r="R81">
        <f t="shared" si="39"/>
        <v>0</v>
      </c>
      <c r="V81">
        <f t="shared" si="40"/>
        <v>0</v>
      </c>
      <c r="Y81"/>
      <c r="Z81"/>
      <c r="AO81" s="1"/>
      <c r="BL81" s="1"/>
      <c r="BW81" s="244"/>
      <c r="BX81" s="244"/>
      <c r="CY81"/>
      <c r="CZ81"/>
    </row>
    <row r="82" spans="1:111" hidden="1">
      <c r="A82" s="490">
        <f>COUNTIF(C15:C16,"Skema 1")+COUNTIF(C15:C16,"Skema 2")+COUNTIF(C15:C16,"Skema 3")+COUNTIF(C15:C16,"Skema 4")+COUNTIF(C15:C16,"Fagdag")+COUNTIF(C15:C16,"Emnedag")+COUNTIF(C15:C16,"Lejrskole")+COUNTIF(C15:C16,"Ekskursion")+COUNTIF(C15:C16,"Pæd.dag")</f>
        <v>0</v>
      </c>
      <c r="B82" s="490"/>
      <c r="C82" s="490"/>
      <c r="D82" s="490"/>
      <c r="E82" s="490"/>
      <c r="F82" s="490" t="s">
        <v>202</v>
      </c>
      <c r="G82" s="490">
        <f>COUNTIFS($B$9:$B$38,"ti",[0]!Juni,"Skema 4")</f>
        <v>0</v>
      </c>
      <c r="H82" s="490"/>
      <c r="I82" s="498"/>
      <c r="J82" s="503"/>
      <c r="K82" s="503"/>
      <c r="L82" s="503"/>
      <c r="M82" s="4"/>
      <c r="N82" s="4"/>
      <c r="O82" s="4"/>
      <c r="P82" s="4"/>
      <c r="R82">
        <f t="shared" si="39"/>
        <v>0</v>
      </c>
      <c r="V82">
        <f t="shared" si="40"/>
        <v>0</v>
      </c>
      <c r="Y82"/>
      <c r="Z82"/>
      <c r="AO82" s="1"/>
      <c r="BL82" s="1"/>
      <c r="BW82" s="244"/>
      <c r="BX82" s="244"/>
      <c r="CY82"/>
      <c r="CZ82"/>
    </row>
    <row r="83" spans="1:111" hidden="1">
      <c r="A83" s="490">
        <f>COUNTIF(C22:C23,"Skema 1")+COUNTIF(C22:C23,"Skema 2")+COUNTIF(C22:C23,"Skema 3")+COUNTIF(C22:C23,"Skema 4")+COUNTIF(C22:C23,"Fagdag")+COUNTIF(C22:C23,"Emnedag")+COUNTIF(C22:C23,"Lejrskole")+COUNTIF(C22:C23,"Ekskursion")+COUNTIF(C22:C23,"Pæd.dag")</f>
        <v>0</v>
      </c>
      <c r="B83" s="490"/>
      <c r="C83" s="490"/>
      <c r="D83" s="490"/>
      <c r="E83" s="490"/>
      <c r="F83" s="490" t="s">
        <v>203</v>
      </c>
      <c r="G83" s="490">
        <f>COUNTIFS($B$9:$B$38,"on",[0]!Juni,"Skema 4")</f>
        <v>0</v>
      </c>
      <c r="H83" s="490"/>
      <c r="I83" s="498"/>
      <c r="J83" s="503"/>
      <c r="K83" s="503"/>
      <c r="L83" s="503"/>
      <c r="M83" s="4"/>
      <c r="N83" s="4"/>
      <c r="O83" s="4"/>
      <c r="P83" s="4"/>
      <c r="R83">
        <f t="shared" si="39"/>
        <v>0</v>
      </c>
      <c r="V83">
        <f t="shared" si="40"/>
        <v>0</v>
      </c>
      <c r="Y83"/>
      <c r="Z83"/>
      <c r="AO83" s="1"/>
      <c r="BL83" s="1"/>
      <c r="BW83" s="244"/>
      <c r="BX83" s="244"/>
      <c r="CY83"/>
      <c r="CZ83"/>
    </row>
    <row r="84" spans="1:111" hidden="1">
      <c r="A84" s="490">
        <f>COUNTIF(C29:C30,"Skema 1")+COUNTIF(C29:C30,"Skema 2")+COUNTIF(C29:C30,"Skema 3")+COUNTIF(C29:C30,"Skema 4")+COUNTIF(C29:C30,"Fagdag")+COUNTIF(C29:C30,"Emnedag")+COUNTIF(C29:C30,"Lejrskole")+COUNTIF(C29:C30,"Ekskursion")+COUNTIF(C29:C30,"Pæd.dag")</f>
        <v>0</v>
      </c>
      <c r="B84" s="490"/>
      <c r="C84" s="490"/>
      <c r="D84" s="490"/>
      <c r="E84" s="490"/>
      <c r="F84" s="490" t="s">
        <v>204</v>
      </c>
      <c r="G84" s="490">
        <f>COUNTIFS($B$9:$B$38,"to",[0]!Juni,"Skema 4")</f>
        <v>0</v>
      </c>
      <c r="H84" s="490"/>
      <c r="I84" s="498"/>
      <c r="J84" s="503"/>
      <c r="K84" s="503"/>
      <c r="L84" s="503"/>
      <c r="M84" s="4"/>
      <c r="N84" s="4"/>
      <c r="O84" s="4"/>
      <c r="P84" s="4"/>
      <c r="R84">
        <f t="shared" si="39"/>
        <v>0</v>
      </c>
      <c r="V84">
        <f t="shared" si="40"/>
        <v>0</v>
      </c>
      <c r="Y84"/>
      <c r="Z84"/>
      <c r="AO84" s="1">
        <f>SUM(N84:AN84)</f>
        <v>0</v>
      </c>
      <c r="BL84" s="1">
        <f>SUM(AI84:BK84)</f>
        <v>0</v>
      </c>
      <c r="BW84" s="244"/>
      <c r="BX84" s="244"/>
      <c r="CY84"/>
      <c r="CZ84"/>
    </row>
    <row r="85" spans="1:111" hidden="1">
      <c r="A85" s="490">
        <f>COUNTIF(C36:C37,"Skema 1")+COUNTIF(C36:C37,"Skema 2")+COUNTIF(C36:C37,"Skema 3")+COUNTIF(C36:C37,"Skema 4")+COUNTIF(C36:C37,"Fagdag")+COUNTIF(C36:C37,"Emnedag")+COUNTIF(C36:C37,"Lejrskole")+COUNTIF(C36:C37,"Ekskursion")+COUNTIF(C36:C37,"Pæd.dag")</f>
        <v>0</v>
      </c>
      <c r="B85" s="490"/>
      <c r="C85" s="490"/>
      <c r="D85" s="490"/>
      <c r="E85" s="490"/>
      <c r="F85" s="490" t="s">
        <v>205</v>
      </c>
      <c r="G85" s="490">
        <f>COUNTIFS($B$9:$B$38,"fr",[0]!Juni,"Skema 4")</f>
        <v>0</v>
      </c>
      <c r="H85" s="490"/>
      <c r="I85" s="490"/>
      <c r="J85" s="493"/>
      <c r="K85" s="493"/>
      <c r="L85" s="40"/>
      <c r="R85">
        <f t="shared" si="39"/>
        <v>0</v>
      </c>
      <c r="V85">
        <f t="shared" si="40"/>
        <v>0</v>
      </c>
      <c r="Y85"/>
      <c r="Z85"/>
      <c r="AO85" s="1">
        <f>SUM(N85:AN85)</f>
        <v>0</v>
      </c>
      <c r="BL85" s="1">
        <f>SUM(AI85:BK85)</f>
        <v>0</v>
      </c>
      <c r="BW85" s="244"/>
      <c r="BX85" s="244"/>
      <c r="CY85"/>
      <c r="CZ85"/>
    </row>
    <row r="86" spans="1:111" hidden="1">
      <c r="A86" s="490">
        <f>SUM(A81:A85)</f>
        <v>0</v>
      </c>
      <c r="B86" s="490"/>
      <c r="C86" s="490"/>
      <c r="D86" s="490"/>
      <c r="E86" s="490"/>
      <c r="F86" s="490"/>
      <c r="G86" s="495">
        <f>SUM(G63:G85)</f>
        <v>18</v>
      </c>
      <c r="H86" s="493"/>
      <c r="I86" s="490"/>
      <c r="J86" s="493"/>
      <c r="K86" s="493"/>
      <c r="L86" s="40"/>
      <c r="R86">
        <f t="shared" si="39"/>
        <v>0</v>
      </c>
      <c r="V86">
        <f t="shared" si="40"/>
        <v>0</v>
      </c>
      <c r="Y86"/>
      <c r="Z86"/>
      <c r="AO86" s="1">
        <f>SUM(N86:AN86)</f>
        <v>0</v>
      </c>
      <c r="BL86" s="1">
        <f>SUM(AI86:BK86)</f>
        <v>0</v>
      </c>
      <c r="BW86" s="244"/>
      <c r="BX86" s="244"/>
      <c r="CY86"/>
      <c r="CZ86"/>
    </row>
    <row r="87" spans="1:111" hidden="1">
      <c r="A87" s="493"/>
      <c r="B87" s="493"/>
      <c r="C87" s="493"/>
      <c r="D87" s="493"/>
      <c r="E87" s="490"/>
      <c r="F87" s="490"/>
      <c r="G87" s="490"/>
      <c r="H87" s="40"/>
      <c r="I87" s="493"/>
      <c r="J87" s="493"/>
      <c r="K87" s="493"/>
      <c r="L87" s="40"/>
      <c r="R87">
        <f t="shared" si="39"/>
        <v>0</v>
      </c>
      <c r="V87">
        <f t="shared" si="40"/>
        <v>0</v>
      </c>
      <c r="Y87"/>
      <c r="Z87"/>
      <c r="AO87" s="1">
        <f>SUM(N87:AN87)</f>
        <v>0</v>
      </c>
      <c r="BL87" s="1">
        <f>SUM(AI87:BK87)</f>
        <v>0</v>
      </c>
      <c r="BW87" s="244"/>
      <c r="BX87" s="244"/>
      <c r="CY87"/>
      <c r="CZ87"/>
    </row>
    <row r="88" spans="1:111" hidden="1">
      <c r="A88" s="493"/>
      <c r="B88" s="493"/>
      <c r="C88" s="493"/>
      <c r="D88" s="493"/>
      <c r="E88" s="490"/>
      <c r="F88" s="490"/>
      <c r="G88" s="490"/>
      <c r="H88" s="40"/>
      <c r="I88" s="40"/>
      <c r="J88" s="493"/>
      <c r="K88" s="493"/>
      <c r="L88" s="40"/>
      <c r="R88">
        <f t="shared" si="39"/>
        <v>0</v>
      </c>
      <c r="V88">
        <f t="shared" si="40"/>
        <v>0</v>
      </c>
      <c r="Y88"/>
      <c r="Z88"/>
      <c r="BW88" s="244"/>
      <c r="BX88" s="244"/>
      <c r="CY88"/>
      <c r="CZ88"/>
    </row>
    <row r="89" spans="1:111" hidden="1">
      <c r="A89" s="493"/>
      <c r="B89" s="493"/>
      <c r="C89" s="493"/>
      <c r="D89" s="493"/>
      <c r="E89" s="490"/>
      <c r="F89" s="490"/>
      <c r="G89" s="490"/>
      <c r="H89" s="40"/>
      <c r="I89" s="40"/>
      <c r="J89" s="40"/>
      <c r="K89" s="40"/>
      <c r="L89" s="40"/>
      <c r="R89">
        <f t="shared" si="39"/>
        <v>0</v>
      </c>
      <c r="V89">
        <f t="shared" si="40"/>
        <v>0</v>
      </c>
      <c r="Y89"/>
      <c r="Z89"/>
      <c r="BW89" s="244"/>
      <c r="BX89" s="244"/>
      <c r="CY89"/>
      <c r="CZ89"/>
    </row>
    <row r="90" spans="1:111" hidden="1">
      <c r="A90" s="493"/>
      <c r="B90" s="493"/>
      <c r="C90" s="493"/>
      <c r="D90" s="493"/>
      <c r="E90" s="490"/>
      <c r="F90" s="490"/>
      <c r="G90" s="490"/>
      <c r="H90" s="40"/>
      <c r="I90" s="40"/>
      <c r="J90" s="40"/>
      <c r="K90" s="40"/>
      <c r="L90" s="40"/>
      <c r="R90">
        <f t="shared" si="39"/>
        <v>0</v>
      </c>
      <c r="V90">
        <f t="shared" si="40"/>
        <v>0</v>
      </c>
      <c r="Y90"/>
      <c r="Z90"/>
      <c r="BW90" s="244"/>
      <c r="BX90" s="244"/>
      <c r="CY90"/>
      <c r="CZ90"/>
    </row>
    <row r="91" spans="1:111" hidden="1">
      <c r="A91" s="493"/>
      <c r="B91" s="493"/>
      <c r="C91" s="493"/>
      <c r="D91" s="493"/>
      <c r="E91" s="490"/>
      <c r="F91" s="490"/>
      <c r="G91" s="490"/>
      <c r="I91" s="40"/>
      <c r="J91" s="40"/>
      <c r="K91" s="40"/>
      <c r="L91" s="40"/>
      <c r="R91">
        <f t="shared" si="39"/>
        <v>0</v>
      </c>
      <c r="V91">
        <f t="shared" si="40"/>
        <v>0</v>
      </c>
      <c r="Y91"/>
      <c r="Z91"/>
      <c r="BW91" s="244"/>
      <c r="BX91" s="244"/>
      <c r="CY91"/>
      <c r="CZ91"/>
    </row>
    <row r="92" spans="1:111" hidden="1">
      <c r="A92" s="493"/>
      <c r="B92" s="493"/>
      <c r="C92" s="493"/>
      <c r="D92" s="493"/>
      <c r="E92" s="490"/>
      <c r="F92" s="490"/>
      <c r="G92" s="490"/>
      <c r="I92" s="40"/>
      <c r="J92" s="40"/>
      <c r="K92" s="40"/>
      <c r="L92" s="40"/>
      <c r="R92">
        <f t="shared" si="39"/>
        <v>0</v>
      </c>
      <c r="V92">
        <f t="shared" si="40"/>
        <v>0</v>
      </c>
      <c r="Y92"/>
      <c r="Z92"/>
      <c r="BW92" s="244"/>
      <c r="BX92" s="244"/>
      <c r="CY92"/>
      <c r="CZ92"/>
    </row>
    <row r="93" spans="1:111" hidden="1">
      <c r="A93" s="439"/>
      <c r="B93" s="439"/>
      <c r="C93" s="439"/>
      <c r="D93" s="439"/>
      <c r="E93" s="117"/>
      <c r="F93" s="117"/>
      <c r="G93" s="117"/>
      <c r="I93" s="40"/>
      <c r="J93" s="40"/>
      <c r="K93" s="40"/>
      <c r="L93" s="40"/>
      <c r="R93">
        <f t="shared" si="39"/>
        <v>0</v>
      </c>
      <c r="V93">
        <f t="shared" si="40"/>
        <v>0</v>
      </c>
      <c r="Y93"/>
      <c r="Z93"/>
      <c r="AD93" s="4"/>
      <c r="AE93" s="228"/>
      <c r="AF93" s="228"/>
      <c r="AG93" s="228"/>
      <c r="AH93" s="228"/>
      <c r="CY93"/>
      <c r="CZ93"/>
      <c r="DF93" s="244"/>
      <c r="DG93" s="244"/>
    </row>
    <row r="94" spans="1:111" hidden="1">
      <c r="A94" s="439"/>
      <c r="B94" s="439"/>
      <c r="C94" s="439"/>
      <c r="D94" s="439"/>
      <c r="E94" s="117"/>
      <c r="F94" s="117"/>
      <c r="G94" s="117"/>
      <c r="I94" s="40"/>
      <c r="J94" s="40"/>
      <c r="K94" s="40"/>
      <c r="L94" s="40"/>
      <c r="R94">
        <f t="shared" si="39"/>
        <v>0</v>
      </c>
      <c r="V94">
        <f t="shared" si="40"/>
        <v>0</v>
      </c>
      <c r="Y94"/>
      <c r="Z94"/>
      <c r="AD94" s="4"/>
      <c r="AE94" s="228"/>
      <c r="AF94" s="228"/>
      <c r="AG94" s="228"/>
      <c r="AH94" s="228"/>
      <c r="CY94"/>
      <c r="CZ94"/>
      <c r="DF94" s="244"/>
      <c r="DG94" s="244"/>
    </row>
    <row r="95" spans="1:111" hidden="1">
      <c r="A95" s="439"/>
      <c r="B95" s="439"/>
      <c r="C95" s="439"/>
      <c r="D95" s="439"/>
      <c r="E95" s="117"/>
      <c r="F95" s="117"/>
      <c r="G95" s="117"/>
      <c r="I95" s="40"/>
      <c r="J95" s="40"/>
      <c r="K95" s="40"/>
      <c r="L95" s="40"/>
      <c r="R95">
        <f t="shared" si="39"/>
        <v>0</v>
      </c>
      <c r="V95">
        <f t="shared" si="40"/>
        <v>0</v>
      </c>
    </row>
    <row r="96" spans="1:111" hidden="1">
      <c r="A96" s="439"/>
      <c r="B96" s="439"/>
      <c r="C96" s="439"/>
      <c r="D96" s="439"/>
      <c r="E96" s="117"/>
      <c r="F96" s="117"/>
      <c r="G96" s="117"/>
      <c r="I96" s="40"/>
      <c r="J96" s="40"/>
      <c r="K96" s="40"/>
      <c r="L96" s="40"/>
      <c r="R96">
        <f t="shared" si="39"/>
        <v>0</v>
      </c>
      <c r="V96">
        <f t="shared" si="40"/>
        <v>0</v>
      </c>
    </row>
    <row r="97" spans="1:22" hidden="1">
      <c r="A97" s="439"/>
      <c r="B97" s="439"/>
      <c r="C97" s="439"/>
      <c r="D97" s="439"/>
      <c r="E97" s="439"/>
      <c r="F97" s="439"/>
      <c r="G97" s="439"/>
      <c r="I97" s="40"/>
      <c r="J97" s="40"/>
      <c r="K97" s="40"/>
      <c r="L97" s="40"/>
      <c r="R97">
        <f t="shared" si="39"/>
        <v>0</v>
      </c>
      <c r="V97">
        <f t="shared" si="40"/>
        <v>0</v>
      </c>
    </row>
    <row r="98" spans="1:22" hidden="1">
      <c r="I98" s="40"/>
      <c r="J98" s="40"/>
      <c r="K98" s="40"/>
      <c r="L98" s="40"/>
      <c r="R98">
        <f t="shared" si="39"/>
        <v>0</v>
      </c>
      <c r="V98">
        <f t="shared" si="40"/>
        <v>0</v>
      </c>
    </row>
    <row r="99" spans="1:22" hidden="1">
      <c r="I99" s="40"/>
      <c r="J99" s="40"/>
      <c r="K99" s="40"/>
      <c r="L99" s="439"/>
      <c r="R99">
        <f t="shared" si="39"/>
        <v>0</v>
      </c>
      <c r="V99">
        <f t="shared" si="40"/>
        <v>0</v>
      </c>
    </row>
    <row r="100" spans="1:22" hidden="1">
      <c r="I100" s="40"/>
      <c r="J100" s="40"/>
      <c r="K100" s="40"/>
      <c r="L100" s="439"/>
      <c r="R100">
        <f t="shared" si="39"/>
        <v>0</v>
      </c>
      <c r="V100">
        <f t="shared" si="40"/>
        <v>0</v>
      </c>
    </row>
    <row r="101" spans="1:22" hidden="1">
      <c r="I101" s="40"/>
      <c r="J101" s="40"/>
      <c r="K101" s="40"/>
      <c r="L101" s="439"/>
      <c r="R101">
        <f t="shared" si="39"/>
        <v>0</v>
      </c>
      <c r="V101">
        <f t="shared" si="40"/>
        <v>0</v>
      </c>
    </row>
    <row r="102" spans="1:22" hidden="1">
      <c r="I102" s="439"/>
      <c r="J102" s="40"/>
      <c r="K102" s="40"/>
      <c r="L102" s="439"/>
      <c r="R102">
        <f t="shared" si="39"/>
        <v>0</v>
      </c>
      <c r="V102">
        <f t="shared" si="40"/>
        <v>0</v>
      </c>
    </row>
    <row r="103" spans="1:22" hidden="1">
      <c r="I103" s="439"/>
      <c r="J103" s="439"/>
      <c r="K103" s="439"/>
      <c r="L103" s="439"/>
      <c r="R103">
        <f t="shared" si="39"/>
        <v>0</v>
      </c>
      <c r="V103">
        <f t="shared" si="40"/>
        <v>0</v>
      </c>
    </row>
    <row r="104" spans="1:22" ht="17" hidden="1" thickBot="1">
      <c r="I104" s="439"/>
      <c r="J104" s="439"/>
      <c r="K104" s="439"/>
      <c r="L104" s="439"/>
      <c r="R104">
        <f t="shared" si="39"/>
        <v>0</v>
      </c>
      <c r="V104">
        <f t="shared" si="40"/>
        <v>0</v>
      </c>
    </row>
    <row r="105" spans="1:22" ht="17" hidden="1" thickBot="1">
      <c r="I105" s="439"/>
      <c r="J105" s="439"/>
      <c r="K105" s="439"/>
      <c r="L105" s="439"/>
      <c r="R105" s="684">
        <f>SUM(R74:R104)+FB40</f>
        <v>0</v>
      </c>
      <c r="V105">
        <f>SUM(V74:V104)</f>
        <v>0</v>
      </c>
    </row>
    <row r="106" spans="1:22">
      <c r="I106" s="439"/>
      <c r="J106" s="439"/>
      <c r="K106" s="439"/>
      <c r="L106" s="439"/>
    </row>
  </sheetData>
  <sheetProtection sheet="1" objects="1" scenarios="1"/>
  <mergeCells count="173">
    <mergeCell ref="FQ8:FR8"/>
    <mergeCell ref="DS8:DV8"/>
    <mergeCell ref="DZ8:EB8"/>
    <mergeCell ref="EG8:EI8"/>
    <mergeCell ref="EM8:EN8"/>
    <mergeCell ref="EQ8:ER8"/>
    <mergeCell ref="EU8:EV8"/>
    <mergeCell ref="FC8:FD8"/>
    <mergeCell ref="FG8:FH8"/>
    <mergeCell ref="FK8:FL8"/>
    <mergeCell ref="EY8:EZ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A60:B60"/>
    <mergeCell ref="C60:D60"/>
    <mergeCell ref="E60:G60"/>
    <mergeCell ref="I60:K60"/>
    <mergeCell ref="A61:G61"/>
    <mergeCell ref="I61:K61"/>
    <mergeCell ref="I57:K57"/>
    <mergeCell ref="A58:B58"/>
    <mergeCell ref="C58:D58"/>
    <mergeCell ref="E58:G58"/>
    <mergeCell ref="I58:K58"/>
    <mergeCell ref="A59:B59"/>
    <mergeCell ref="C59:D59"/>
    <mergeCell ref="E59:G59"/>
    <mergeCell ref="I59:K59"/>
    <mergeCell ref="A48:H48"/>
    <mergeCell ref="I48:K48"/>
    <mergeCell ref="A44:G44"/>
    <mergeCell ref="A47:H47"/>
    <mergeCell ref="I47:K47"/>
    <mergeCell ref="V44:X44"/>
    <mergeCell ref="M45:U45"/>
    <mergeCell ref="V45:X45"/>
    <mergeCell ref="M46:X46"/>
    <mergeCell ref="M47:U47"/>
    <mergeCell ref="V47:X47"/>
    <mergeCell ref="M48:U48"/>
    <mergeCell ref="V48:X48"/>
    <mergeCell ref="A66:C66"/>
    <mergeCell ref="A64:C64"/>
    <mergeCell ref="A49:H49"/>
    <mergeCell ref="I49:K49"/>
    <mergeCell ref="I50:K50"/>
    <mergeCell ref="M49:U49"/>
    <mergeCell ref="V49:X49"/>
    <mergeCell ref="M50:U50"/>
    <mergeCell ref="V50:X50"/>
    <mergeCell ref="A65:C65"/>
    <mergeCell ref="M51:U51"/>
    <mergeCell ref="V51:X51"/>
    <mergeCell ref="A52:G53"/>
    <mergeCell ref="I52:K52"/>
    <mergeCell ref="M52:U52"/>
    <mergeCell ref="V52:X52"/>
    <mergeCell ref="A55:K55"/>
    <mergeCell ref="A56:B56"/>
    <mergeCell ref="C56:D56"/>
    <mergeCell ref="E56:G56"/>
    <mergeCell ref="H56:K56"/>
    <mergeCell ref="A57:B57"/>
    <mergeCell ref="C57:D57"/>
    <mergeCell ref="E57:G57"/>
    <mergeCell ref="I42:K42"/>
    <mergeCell ref="A43:G43"/>
    <mergeCell ref="I43:K43"/>
    <mergeCell ref="M43:U43"/>
    <mergeCell ref="V43:X43"/>
    <mergeCell ref="A46:G46"/>
    <mergeCell ref="I46:K46"/>
    <mergeCell ref="E36:G36"/>
    <mergeCell ref="E37:G37"/>
    <mergeCell ref="E38:G38"/>
    <mergeCell ref="A39:I39"/>
    <mergeCell ref="A41:G41"/>
    <mergeCell ref="I41:K41"/>
    <mergeCell ref="M41:X41"/>
    <mergeCell ref="M42:U42"/>
    <mergeCell ref="V42:X42"/>
    <mergeCell ref="I44:K44"/>
    <mergeCell ref="A45:G45"/>
    <mergeCell ref="I45:K45"/>
    <mergeCell ref="M44:U44"/>
    <mergeCell ref="E24:G24"/>
    <mergeCell ref="E25:G25"/>
    <mergeCell ref="E26:G26"/>
    <mergeCell ref="E27:G27"/>
    <mergeCell ref="E28:G28"/>
    <mergeCell ref="E32:G32"/>
    <mergeCell ref="A42:G42"/>
    <mergeCell ref="E33:G33"/>
    <mergeCell ref="E34:G34"/>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P6:P7"/>
    <mergeCell ref="Q6:Q7"/>
    <mergeCell ref="R6:R7"/>
    <mergeCell ref="AA6:AE6"/>
    <mergeCell ref="AG6:AK6"/>
    <mergeCell ref="E6:G8"/>
    <mergeCell ref="K6:L6"/>
    <mergeCell ref="A3:X3"/>
    <mergeCell ref="N6:N7"/>
    <mergeCell ref="O6:O7"/>
    <mergeCell ref="B2:E2"/>
    <mergeCell ref="E4:G4"/>
    <mergeCell ref="K4:L4"/>
    <mergeCell ref="A5:R5"/>
    <mergeCell ref="A4:D4"/>
    <mergeCell ref="I8:J8"/>
    <mergeCell ref="K8:R8"/>
    <mergeCell ref="I6:I7"/>
    <mergeCell ref="J6:J7"/>
    <mergeCell ref="I53:K53"/>
    <mergeCell ref="A54:G54"/>
    <mergeCell ref="I54:K54"/>
    <mergeCell ref="S5:X5"/>
    <mergeCell ref="S6:X6"/>
    <mergeCell ref="S8:U8"/>
    <mergeCell ref="V8:X8"/>
    <mergeCell ref="E17:G17"/>
    <mergeCell ref="E18:G18"/>
    <mergeCell ref="E19:G19"/>
    <mergeCell ref="E20:G20"/>
    <mergeCell ref="E21:G21"/>
    <mergeCell ref="E22:G22"/>
    <mergeCell ref="E11:G11"/>
    <mergeCell ref="E12:G12"/>
    <mergeCell ref="E13:G13"/>
    <mergeCell ref="E14:G14"/>
    <mergeCell ref="E15:G15"/>
    <mergeCell ref="E16:G16"/>
    <mergeCell ref="E29:G29"/>
    <mergeCell ref="E30:G30"/>
    <mergeCell ref="E31:G31"/>
    <mergeCell ref="E35:G35"/>
    <mergeCell ref="E23:G23"/>
  </mergeCells>
  <phoneticPr fontId="5" type="noConversion"/>
  <conditionalFormatting sqref="A9:H9 D10:H31 A10:C38 D32:E32 H32 D33:H38">
    <cfRule type="expression" dxfId="479" priority="41">
      <formula>OR($C9="ekskursion")</formula>
    </cfRule>
    <cfRule type="expression" dxfId="478" priority="47" stopIfTrue="1">
      <formula>OR($C9="Orlov")</formula>
    </cfRule>
    <cfRule type="expression" dxfId="477" priority="46">
      <formula>OR($C9="weekend")</formula>
    </cfRule>
    <cfRule type="expression" dxfId="476" priority="45">
      <formula>OR($C9="feriedag")</formula>
    </cfRule>
    <cfRule type="expression" dxfId="475" priority="44">
      <formula>OR($C9="fagdag")</formula>
    </cfRule>
    <cfRule type="expression" dxfId="474" priority="43">
      <formula>OR($C9="emnedag")</formula>
    </cfRule>
    <cfRule type="expression" dxfId="473" priority="42">
      <formula>OR($C9="lejrskole")</formula>
    </cfRule>
    <cfRule type="expression" dxfId="472" priority="40">
      <formula>OR($C9="SH-dag")</formula>
    </cfRule>
    <cfRule type="expression" dxfId="471" priority="39">
      <formula>OR($C9="nul-dag")</formula>
    </cfRule>
    <cfRule type="expression" dxfId="470" priority="38">
      <formula>OR($C9="pæd.dag")</formula>
    </cfRule>
    <cfRule type="expression" dxfId="469" priority="37">
      <formula>OR($C9="Ikke relevant")</formula>
    </cfRule>
    <cfRule type="expression" dxfId="468" priority="33">
      <formula>OR($C9="Skema 1")</formula>
    </cfRule>
    <cfRule type="expression" dxfId="467" priority="34">
      <formula>OR($C9="skema 2")</formula>
    </cfRule>
    <cfRule type="expression" dxfId="466" priority="35">
      <formula>OR($C9="Skema 3")</formula>
    </cfRule>
    <cfRule type="expression" dxfId="465" priority="36">
      <formula>OR($C9="Skema 4")</formula>
    </cfRule>
  </conditionalFormatting>
  <conditionalFormatting sqref="E20">
    <cfRule type="expression" dxfId="464" priority="49">
      <formula>OR($D19="nul-dag")</formula>
    </cfRule>
    <cfRule type="expression" dxfId="463" priority="50">
      <formula>OR($D19="SH-dag")</formula>
    </cfRule>
    <cfRule type="expression" dxfId="462" priority="51">
      <formula>OR($D19="ekskursion")</formula>
    </cfRule>
    <cfRule type="expression" dxfId="461" priority="52">
      <formula>OR($D19="lejrskole")</formula>
    </cfRule>
    <cfRule type="expression" dxfId="460" priority="48">
      <formula>OR($D19="pæd.dag")</formula>
    </cfRule>
    <cfRule type="expression" dxfId="459" priority="53">
      <formula>OR($D19="emnedag")</formula>
    </cfRule>
    <cfRule type="expression" dxfId="458" priority="54">
      <formula>OR($D19="fagdag")</formula>
    </cfRule>
    <cfRule type="expression" dxfId="457" priority="55">
      <formula>OR($D19="feriedag")</formula>
    </cfRule>
    <cfRule type="expression" dxfId="456" priority="56">
      <formula>OR($D19="weekend")</formula>
    </cfRule>
    <cfRule type="expression" dxfId="455" priority="57" stopIfTrue="1">
      <formula>OR($D19="skoledag")</formula>
    </cfRule>
    <cfRule type="expression" dxfId="454" priority="58">
      <formula>OR($D19="Ikke relevant")</formula>
    </cfRule>
  </conditionalFormatting>
  <conditionalFormatting sqref="H57:H60">
    <cfRule type="expression" dxfId="453" priority="1">
      <formula>OR($A57&gt;0,)</formula>
    </cfRule>
  </conditionalFormatting>
  <conditionalFormatting sqref="I57:I60">
    <cfRule type="expression" dxfId="452" priority="2">
      <formula>OR($C57&gt;0,)</formula>
    </cfRule>
  </conditionalFormatting>
  <conditionalFormatting sqref="K9:K38">
    <cfRule type="expression" dxfId="451" priority="30">
      <formula>OR($C9="Pæd.dag",)</formula>
    </cfRule>
  </conditionalFormatting>
  <conditionalFormatting sqref="K9:L38">
    <cfRule type="expression" dxfId="450" priority="32">
      <formula>OR($C9="Ekskursion",)</formula>
    </cfRule>
    <cfRule type="expression" dxfId="449" priority="31">
      <formula>OR($C9="Lejrskole",)</formula>
    </cfRule>
  </conditionalFormatting>
  <conditionalFormatting sqref="K9:M38">
    <cfRule type="expression" dxfId="448" priority="29">
      <formula>OR($C9="emnedag",)</formula>
    </cfRule>
    <cfRule type="expression" dxfId="447" priority="28">
      <formula>OR($C9="fagdag",)</formula>
    </cfRule>
  </conditionalFormatting>
  <conditionalFormatting sqref="R9:R38">
    <cfRule type="expression" dxfId="446" priority="59">
      <formula>OR($H9&gt;"0",)</formula>
    </cfRule>
  </conditionalFormatting>
  <conditionalFormatting sqref="V9:V38">
    <cfRule type="expression" dxfId="445" priority="10">
      <formula>OR($S9="X",)</formula>
    </cfRule>
  </conditionalFormatting>
  <conditionalFormatting sqref="V48:X51">
    <cfRule type="expression" dxfId="444" priority="3">
      <formula>OR($M48&gt;0,)</formula>
    </cfRule>
  </conditionalFormatting>
  <conditionalFormatting sqref="W9:W38">
    <cfRule type="expression" dxfId="443" priority="8">
      <formula>OR($T9="X",)</formula>
    </cfRule>
  </conditionalFormatting>
  <conditionalFormatting sqref="X9:X38">
    <cfRule type="expression" dxfId="442" priority="9">
      <formula>OR($U9="X",)</formula>
    </cfRule>
  </conditionalFormatting>
  <dataValidations count="3">
    <dataValidation type="list" allowBlank="1" showInputMessage="1" showErrorMessage="1" sqref="S9:U38 A57:D60" xr:uid="{0038981B-4C30-8548-B059-56E8189389A0}">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9:I30 I9 I15:I17 I36:I37 I22:I23" xr:uid="{413C748C-D24D-AB45-8FA5-951D034997C9}">
      <formula1>$W$1:$W$2</formula1>
    </dataValidation>
    <dataValidation type="list" allowBlank="1" showInputMessage="1" showErrorMessage="1" promptTitle="OBS:" prompt="Ved arrangementer med overnatning ydes istedet for ulempe- og weekendgodtgørelse på hhv. 25% og 50% faste tillæg pr. påbegyndt dag. " sqref="J9:J38" xr:uid="{7635A4E6-26AD-7048-BA8D-4B0932A8B31F}">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August!$A$89:$A$103</xm:f>
          </x14:formula1>
          <xm:sqref>C9:C38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GC111"/>
  <sheetViews>
    <sheetView zoomScaleNormal="100" workbookViewId="0">
      <selection activeCell="GH30" sqref="GH30"/>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4" width="11"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7</v>
      </c>
      <c r="B2" s="1101"/>
      <c r="C2" s="1101"/>
      <c r="D2" s="1101"/>
      <c r="E2" s="1101"/>
      <c r="F2" s="89"/>
      <c r="G2" s="89"/>
      <c r="H2" s="275"/>
      <c r="I2" s="274"/>
      <c r="J2" s="227"/>
      <c r="K2" s="227"/>
      <c r="L2" s="227"/>
      <c r="M2" s="227"/>
      <c r="N2" s="227"/>
      <c r="O2" s="227"/>
      <c r="P2" s="89"/>
      <c r="Q2" s="89"/>
      <c r="R2" s="89"/>
      <c r="S2" s="89"/>
      <c r="T2" s="89"/>
      <c r="U2" s="89"/>
      <c r="V2" s="89"/>
      <c r="W2" s="122" t="s">
        <v>31</v>
      </c>
      <c r="X2" s="122" t="s">
        <v>31</v>
      </c>
      <c r="Y2"/>
      <c r="Z2" s="89"/>
      <c r="AA2" s="89"/>
      <c r="AE2" s="89"/>
      <c r="AG2" s="89"/>
      <c r="CV2" s="244"/>
      <c r="CW2" s="244"/>
      <c r="CY2"/>
      <c r="CZ2"/>
    </row>
    <row r="3" spans="1:185" ht="17" thickBot="1">
      <c r="A3" s="1130" t="s">
        <v>309</v>
      </c>
      <c r="B3" s="1131"/>
      <c r="C3" s="1131"/>
      <c r="D3" s="1131"/>
      <c r="E3" s="1131"/>
      <c r="F3" s="1131"/>
      <c r="G3" s="1131"/>
      <c r="H3" s="1131"/>
      <c r="I3" s="1131"/>
      <c r="J3" s="1131"/>
      <c r="K3" s="1131"/>
      <c r="L3" s="1131"/>
      <c r="M3" s="1131"/>
      <c r="N3" s="1131"/>
      <c r="O3" s="1131"/>
      <c r="P3" s="1131"/>
      <c r="Q3" s="1131"/>
      <c r="R3" s="1131"/>
      <c r="S3" s="1131"/>
      <c r="T3" s="1131"/>
      <c r="U3" s="1131"/>
      <c r="V3" s="1131"/>
      <c r="W3" s="1131"/>
      <c r="X3" s="1132"/>
      <c r="Y3" s="89"/>
      <c r="Z3"/>
      <c r="AC3" s="89"/>
      <c r="AD3" s="89"/>
      <c r="AF3" s="89"/>
      <c r="CT3" s="244"/>
      <c r="CU3" s="244"/>
      <c r="CY3"/>
      <c r="CZ3"/>
      <c r="FI3" s="893" t="s">
        <v>623</v>
      </c>
      <c r="FJ3" s="894"/>
      <c r="FK3" s="894"/>
      <c r="FL3" s="894"/>
      <c r="FM3" s="894"/>
      <c r="FN3" s="894"/>
      <c r="FO3" s="894"/>
      <c r="FP3" s="894"/>
      <c r="FQ3" s="894"/>
      <c r="FR3" s="894"/>
      <c r="FS3" s="894"/>
      <c r="FT3" s="894"/>
      <c r="FU3" s="894"/>
      <c r="FV3" s="894"/>
      <c r="FW3" s="894"/>
      <c r="FX3" s="894"/>
      <c r="FY3" s="894"/>
      <c r="FZ3" s="894"/>
      <c r="GA3" s="894"/>
      <c r="GB3" s="894"/>
      <c r="GC3" s="895"/>
    </row>
    <row r="4" spans="1:185" ht="254" customHeight="1" thickBot="1">
      <c r="A4" s="930" t="s">
        <v>431</v>
      </c>
      <c r="B4" s="931"/>
      <c r="C4" s="931"/>
      <c r="D4" s="931"/>
      <c r="E4" s="935" t="s">
        <v>310</v>
      </c>
      <c r="F4" s="935"/>
      <c r="G4" s="935"/>
      <c r="H4" s="276" t="s">
        <v>413</v>
      </c>
      <c r="I4" s="432" t="s">
        <v>466</v>
      </c>
      <c r="J4" s="432" t="s">
        <v>467</v>
      </c>
      <c r="K4" s="946" t="s">
        <v>514</v>
      </c>
      <c r="L4" s="946"/>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5" t="s">
        <v>621</v>
      </c>
      <c r="FJ4" s="745"/>
      <c r="FK4" s="745"/>
      <c r="FL4" s="745"/>
      <c r="FM4" t="s">
        <v>614</v>
      </c>
      <c r="FO4" s="745" t="s">
        <v>620</v>
      </c>
      <c r="FP4" s="745"/>
      <c r="FQ4" s="745"/>
      <c r="FR4" s="745"/>
    </row>
    <row r="5" spans="1:185" ht="26" customHeight="1" thickBot="1">
      <c r="A5" s="947" t="str">
        <f>""&amp;A7&amp;" måneds kalender for: "&amp;Stamoplysninger!E8&amp;". Måneden vedr. normperioden: "&amp;Stamoplysninger!E11&amp;" - "&amp;Stamoplysninger!G11&amp;"."</f>
        <v>Juli måneds kalender for: . Måneden vedr. normperioden:  - .</v>
      </c>
      <c r="B5" s="948"/>
      <c r="C5" s="948"/>
      <c r="D5" s="948"/>
      <c r="E5" s="948"/>
      <c r="F5" s="948"/>
      <c r="G5" s="948"/>
      <c r="H5" s="948"/>
      <c r="I5" s="948"/>
      <c r="J5" s="948"/>
      <c r="K5" s="948"/>
      <c r="L5" s="948"/>
      <c r="M5" s="948"/>
      <c r="N5" s="948"/>
      <c r="O5" s="948"/>
      <c r="P5" s="948"/>
      <c r="Q5" s="948"/>
      <c r="R5" s="948"/>
      <c r="S5" s="940" t="s">
        <v>305</v>
      </c>
      <c r="T5" s="941"/>
      <c r="U5" s="941"/>
      <c r="V5" s="941"/>
      <c r="W5" s="941"/>
      <c r="X5" s="942"/>
      <c r="Y5" s="242"/>
      <c r="Z5" s="89"/>
      <c r="AB5" s="89"/>
      <c r="AC5" s="89"/>
      <c r="AH5" s="89"/>
      <c r="AI5" s="89"/>
      <c r="CX5" s="244"/>
      <c r="CZ5"/>
      <c r="FI5" s="896" t="s">
        <v>607</v>
      </c>
      <c r="FJ5" s="896"/>
      <c r="FK5" s="896"/>
      <c r="FL5" s="896"/>
      <c r="FM5" s="896"/>
      <c r="FN5" s="896"/>
      <c r="FO5" s="896"/>
      <c r="FP5" s="896"/>
      <c r="FQ5" s="896"/>
      <c r="FR5" s="896"/>
      <c r="FU5" t="s">
        <v>622</v>
      </c>
      <c r="FV5" t="s">
        <v>615</v>
      </c>
      <c r="FX5" t="s">
        <v>616</v>
      </c>
      <c r="FZ5" t="s">
        <v>617</v>
      </c>
      <c r="GB5" s="518" t="s">
        <v>618</v>
      </c>
    </row>
    <row r="6" spans="1:185" ht="47" customHeight="1">
      <c r="A6" s="324">
        <f>Januar!A6</f>
        <v>2025</v>
      </c>
      <c r="B6" s="238"/>
      <c r="C6" s="239"/>
      <c r="D6" s="240"/>
      <c r="E6" s="955" t="s">
        <v>470</v>
      </c>
      <c r="F6" s="956"/>
      <c r="G6" s="957"/>
      <c r="H6" s="321" t="s">
        <v>323</v>
      </c>
      <c r="I6" s="903" t="s">
        <v>465</v>
      </c>
      <c r="J6" s="953" t="s">
        <v>486</v>
      </c>
      <c r="K6" s="949" t="s">
        <v>302</v>
      </c>
      <c r="L6" s="950"/>
      <c r="M6" s="322" t="s">
        <v>303</v>
      </c>
      <c r="N6" s="903" t="s">
        <v>446</v>
      </c>
      <c r="O6" s="903" t="s">
        <v>307</v>
      </c>
      <c r="P6" s="903" t="s">
        <v>455</v>
      </c>
      <c r="Q6" s="903" t="s">
        <v>386</v>
      </c>
      <c r="R6" s="906" t="s">
        <v>515</v>
      </c>
      <c r="S6" s="968" t="s">
        <v>304</v>
      </c>
      <c r="T6" s="969"/>
      <c r="U6" s="969"/>
      <c r="V6" s="969"/>
      <c r="W6" s="969"/>
      <c r="X6" s="970"/>
      <c r="Y6" s="211"/>
      <c r="Z6" s="211"/>
      <c r="AA6" s="905" t="s">
        <v>261</v>
      </c>
      <c r="AB6" s="905"/>
      <c r="AC6" s="905"/>
      <c r="AD6" s="905"/>
      <c r="AE6" s="905"/>
      <c r="AF6" s="208"/>
      <c r="AG6" s="905" t="s">
        <v>222</v>
      </c>
      <c r="AH6" s="905"/>
      <c r="AI6" s="905"/>
      <c r="AJ6" s="905"/>
      <c r="AK6" s="905"/>
      <c r="AL6" s="905" t="s">
        <v>223</v>
      </c>
      <c r="AM6" s="905"/>
      <c r="AN6" s="905"/>
      <c r="AO6" s="905"/>
      <c r="AP6" s="905"/>
      <c r="AQ6" s="905" t="s">
        <v>224</v>
      </c>
      <c r="AR6" s="905"/>
      <c r="AS6" s="905"/>
      <c r="AT6" s="905"/>
      <c r="AU6" s="905"/>
      <c r="AV6" s="905" t="s">
        <v>225</v>
      </c>
      <c r="AW6" s="905"/>
      <c r="AX6" s="905"/>
      <c r="AY6" s="905"/>
      <c r="AZ6" s="905"/>
      <c r="BA6" s="295"/>
      <c r="BB6" s="208"/>
      <c r="BC6" s="905" t="s">
        <v>264</v>
      </c>
      <c r="BD6" s="905"/>
      <c r="BE6" s="905"/>
      <c r="BF6" s="905"/>
      <c r="BG6" s="905" t="s">
        <v>227</v>
      </c>
      <c r="BH6" s="905"/>
      <c r="BI6" s="905"/>
      <c r="BJ6" s="905"/>
      <c r="BK6" s="905"/>
      <c r="BL6" s="905" t="s">
        <v>228</v>
      </c>
      <c r="BM6" s="905"/>
      <c r="BN6" s="905"/>
      <c r="BO6" s="905"/>
      <c r="BP6" s="905"/>
      <c r="BQ6" s="905" t="s">
        <v>229</v>
      </c>
      <c r="BR6" s="905"/>
      <c r="BS6" s="905"/>
      <c r="BT6" s="905"/>
      <c r="BU6" s="905"/>
      <c r="BV6" s="905" t="s">
        <v>230</v>
      </c>
      <c r="BW6" s="905"/>
      <c r="BX6" s="905"/>
      <c r="BY6" s="905"/>
      <c r="BZ6" s="905"/>
      <c r="CD6" s="905" t="s">
        <v>265</v>
      </c>
      <c r="CE6" s="905"/>
      <c r="CF6" s="905"/>
      <c r="CG6" s="905"/>
      <c r="CH6" s="905"/>
      <c r="CI6" s="905" t="s">
        <v>267</v>
      </c>
      <c r="CJ6" s="905"/>
      <c r="CK6" s="905"/>
      <c r="CL6" s="905"/>
      <c r="CM6" s="905"/>
      <c r="CN6" s="905" t="s">
        <v>266</v>
      </c>
      <c r="CO6" s="905"/>
      <c r="CP6" s="905"/>
      <c r="CQ6" s="905"/>
      <c r="CR6" s="905"/>
      <c r="CS6" s="905" t="s">
        <v>268</v>
      </c>
      <c r="CT6" s="905"/>
      <c r="CU6" s="905"/>
      <c r="CV6" s="905"/>
      <c r="CW6" s="905"/>
      <c r="CX6" s="244"/>
      <c r="CZ6"/>
      <c r="DA6" s="745" t="s">
        <v>212</v>
      </c>
      <c r="DB6" s="745"/>
      <c r="DC6" s="745"/>
      <c r="DD6" s="745"/>
      <c r="DE6" s="745"/>
      <c r="DO6" s="1064" t="s">
        <v>319</v>
      </c>
      <c r="DP6" s="1065"/>
      <c r="DQ6" s="1065"/>
      <c r="DR6" s="1065"/>
      <c r="DS6" s="1065"/>
      <c r="DT6" s="1065"/>
      <c r="DU6" s="1065"/>
      <c r="DV6" s="1066"/>
      <c r="DW6" s="1067" t="s">
        <v>319</v>
      </c>
      <c r="DX6" s="1068"/>
      <c r="DY6" s="1068"/>
      <c r="DZ6" s="1068"/>
      <c r="EA6" s="1068"/>
      <c r="EB6" s="1069"/>
      <c r="EC6" s="1070" t="s">
        <v>375</v>
      </c>
      <c r="ED6" s="1071"/>
      <c r="EE6" s="1071"/>
      <c r="EF6" s="1071"/>
      <c r="EG6" s="1071"/>
      <c r="EH6" s="1071"/>
      <c r="EI6" s="1071"/>
      <c r="EJ6" s="1072"/>
      <c r="EK6" s="1073" t="s">
        <v>320</v>
      </c>
      <c r="EL6" s="1074"/>
      <c r="EM6" s="1074"/>
      <c r="EN6" s="1075"/>
      <c r="EO6" s="1073" t="s">
        <v>324</v>
      </c>
      <c r="EP6" s="1074"/>
      <c r="EQ6" s="1074"/>
      <c r="ER6" s="1075"/>
      <c r="ES6" s="888" t="s">
        <v>378</v>
      </c>
      <c r="ET6" s="889"/>
      <c r="EU6" s="889"/>
      <c r="EV6" s="890"/>
      <c r="EW6" s="888" t="s">
        <v>379</v>
      </c>
      <c r="EX6" s="889"/>
      <c r="EY6" s="889"/>
      <c r="EZ6" s="890"/>
      <c r="FA6" s="888" t="s">
        <v>380</v>
      </c>
      <c r="FB6" s="889"/>
      <c r="FC6" s="889"/>
      <c r="FD6" s="890"/>
      <c r="FE6" s="888" t="s">
        <v>381</v>
      </c>
      <c r="FF6" s="889"/>
      <c r="FG6" s="889"/>
      <c r="FH6" s="890"/>
      <c r="FI6" s="898" t="s">
        <v>592</v>
      </c>
      <c r="FJ6" s="899"/>
      <c r="FK6" s="899"/>
      <c r="FL6" s="1076"/>
      <c r="FM6" s="897" t="s">
        <v>380</v>
      </c>
      <c r="FN6" s="897"/>
      <c r="FO6" s="898" t="s">
        <v>619</v>
      </c>
      <c r="FP6" s="899"/>
      <c r="FQ6" s="899"/>
      <c r="FR6" s="900"/>
      <c r="FS6" s="901" t="s">
        <v>609</v>
      </c>
      <c r="FT6" s="902"/>
      <c r="FU6" t="s">
        <v>612</v>
      </c>
      <c r="FV6" s="897" t="s">
        <v>378</v>
      </c>
      <c r="FW6" s="897"/>
      <c r="FX6" s="897" t="s">
        <v>379</v>
      </c>
      <c r="FY6" s="897"/>
      <c r="FZ6" s="897" t="s">
        <v>381</v>
      </c>
      <c r="GA6" s="897"/>
      <c r="GB6" s="897" t="s">
        <v>377</v>
      </c>
      <c r="GC6" s="897"/>
    </row>
    <row r="7" spans="1:185" ht="194" customHeight="1">
      <c r="A7" s="1012" t="s">
        <v>289</v>
      </c>
      <c r="B7" s="1013"/>
      <c r="C7" s="1013"/>
      <c r="D7" s="1014"/>
      <c r="E7" s="958"/>
      <c r="F7" s="959"/>
      <c r="G7" s="960"/>
      <c r="H7" s="967" t="s">
        <v>485</v>
      </c>
      <c r="I7" s="952"/>
      <c r="J7" s="954"/>
      <c r="K7" s="323" t="s">
        <v>516</v>
      </c>
      <c r="L7" s="323" t="s">
        <v>517</v>
      </c>
      <c r="M7" s="323" t="s">
        <v>518</v>
      </c>
      <c r="N7" s="904"/>
      <c r="O7" s="904"/>
      <c r="P7" s="904"/>
      <c r="Q7" s="904"/>
      <c r="R7" s="907"/>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1015"/>
      <c r="B8" s="1016"/>
      <c r="C8" s="1016"/>
      <c r="D8" s="1017"/>
      <c r="E8" s="961"/>
      <c r="F8" s="962"/>
      <c r="G8" s="963"/>
      <c r="H8" s="904"/>
      <c r="I8" s="943" t="s">
        <v>382</v>
      </c>
      <c r="J8" s="951"/>
      <c r="K8" s="943" t="s">
        <v>325</v>
      </c>
      <c r="L8" s="944"/>
      <c r="M8" s="944"/>
      <c r="N8" s="944"/>
      <c r="O8" s="944"/>
      <c r="P8" s="944"/>
      <c r="Q8" s="944"/>
      <c r="R8" s="944"/>
      <c r="S8" s="971" t="s">
        <v>382</v>
      </c>
      <c r="T8" s="944"/>
      <c r="U8" s="951"/>
      <c r="V8" s="943" t="s">
        <v>383</v>
      </c>
      <c r="W8" s="944"/>
      <c r="X8" s="945"/>
      <c r="Y8" s="211"/>
      <c r="Z8" s="211"/>
      <c r="AA8" s="296"/>
      <c r="BB8" s="225"/>
      <c r="CA8" s="111"/>
      <c r="CB8" s="230"/>
      <c r="CC8" s="296"/>
      <c r="CX8" s="244"/>
      <c r="DA8" s="244"/>
      <c r="DB8" s="244"/>
      <c r="DC8" s="244"/>
      <c r="DD8" s="244"/>
      <c r="DE8" s="244"/>
      <c r="DF8" s="244"/>
      <c r="DG8" s="244"/>
      <c r="DH8" t="s">
        <v>492</v>
      </c>
      <c r="DI8" t="s">
        <v>493</v>
      </c>
      <c r="DJ8" t="s">
        <v>494</v>
      </c>
      <c r="DO8" s="643"/>
      <c r="DS8" s="1078" t="s">
        <v>162</v>
      </c>
      <c r="DT8" s="1078"/>
      <c r="DU8" s="1078"/>
      <c r="DV8" s="1079"/>
      <c r="DW8" s="643"/>
      <c r="DZ8" s="1080" t="s">
        <v>162</v>
      </c>
      <c r="EA8" s="1080"/>
      <c r="EB8" s="1081"/>
      <c r="EG8" s="1080" t="s">
        <v>162</v>
      </c>
      <c r="EH8" s="1080"/>
      <c r="EI8" s="1080"/>
      <c r="EJ8" s="644"/>
      <c r="EK8" s="279"/>
      <c r="EL8" s="247"/>
      <c r="EM8" s="891" t="s">
        <v>162</v>
      </c>
      <c r="EN8" s="892"/>
      <c r="EO8" s="279"/>
      <c r="EP8" s="247"/>
      <c r="EQ8" s="891" t="s">
        <v>162</v>
      </c>
      <c r="ER8" s="892"/>
      <c r="ES8" s="279"/>
      <c r="ET8" s="247"/>
      <c r="EU8" s="891" t="s">
        <v>162</v>
      </c>
      <c r="EV8" s="892"/>
      <c r="EW8" s="279"/>
      <c r="EX8" s="247"/>
      <c r="EY8" s="891" t="s">
        <v>162</v>
      </c>
      <c r="EZ8" s="892"/>
      <c r="FA8" s="279"/>
      <c r="FB8" s="247"/>
      <c r="FC8" s="891" t="s">
        <v>162</v>
      </c>
      <c r="FD8" s="892"/>
      <c r="FE8" s="279"/>
      <c r="FF8" s="247"/>
      <c r="FG8" s="891" t="s">
        <v>162</v>
      </c>
      <c r="FH8" s="892"/>
      <c r="FI8" s="279"/>
      <c r="FJ8" s="247"/>
      <c r="FK8" s="891" t="s">
        <v>162</v>
      </c>
      <c r="FL8" s="892"/>
      <c r="FN8" s="636" t="s">
        <v>160</v>
      </c>
      <c r="FO8" s="279"/>
      <c r="FP8" s="247"/>
      <c r="FQ8" s="891" t="s">
        <v>162</v>
      </c>
      <c r="FR8" s="1077"/>
      <c r="FS8" s="279"/>
      <c r="FT8" s="683" t="s">
        <v>160</v>
      </c>
      <c r="FW8" s="636" t="s">
        <v>160</v>
      </c>
      <c r="FY8" s="636" t="s">
        <v>160</v>
      </c>
      <c r="GA8" s="636" t="s">
        <v>160</v>
      </c>
      <c r="GC8" s="636" t="s">
        <v>160</v>
      </c>
    </row>
    <row r="9" spans="1:185">
      <c r="A9" s="241">
        <f>IF(ISNUMBER(A7),A7+1,1)</f>
        <v>1</v>
      </c>
      <c r="B9" s="127" t="str">
        <f t="shared" ref="B9:B39" si="0">CHOOSE(MOD(WEEKDAY(DATE(A$6,A$2,A9)),7)+1,"lø","sø","ma","ti","on","to","fr",)</f>
        <v>ti</v>
      </c>
      <c r="C9" s="128" t="s">
        <v>128</v>
      </c>
      <c r="D9" s="129" t="str">
        <f t="shared" ref="D9:D39" si="1">IF(B9="ma",(DATE(A$6,A$2,A9)-DATE(A$6,1,1)+7)/7,"")</f>
        <v/>
      </c>
      <c r="E9" s="932"/>
      <c r="F9" s="933"/>
      <c r="G9" s="934"/>
      <c r="H9" s="294"/>
      <c r="I9" s="519"/>
      <c r="J9" s="407"/>
      <c r="K9" s="374"/>
      <c r="L9" s="374"/>
      <c r="M9" s="374"/>
      <c r="N9" s="313">
        <f>BA9</f>
        <v>0</v>
      </c>
      <c r="O9" s="313">
        <f>CA9</f>
        <v>0</v>
      </c>
      <c r="P9" s="313">
        <f>IF(Stamoplysninger!$H$29="JA",Juli!DG9,CX9)</f>
        <v>0</v>
      </c>
      <c r="Q9" s="313">
        <f>IF(OR(C9="Lejrskole",C9="Ekskursion"),0,N9-O9-P9)</f>
        <v>0</v>
      </c>
      <c r="R9" s="314"/>
      <c r="S9" s="319"/>
      <c r="T9" s="320"/>
      <c r="U9" s="320"/>
      <c r="V9" s="429"/>
      <c r="W9" s="406"/>
      <c r="X9" s="633"/>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9" si="8">SUM(AG9:AK9)*24</f>
        <v>0</v>
      </c>
      <c r="BC9" s="1">
        <f>IF($C$9="Lejrskole",$L$9,0)</f>
        <v>0</v>
      </c>
      <c r="BD9" s="1">
        <f t="shared" ref="BD9:BD39" si="9">IF(C9="Ekskursion",L9,0)</f>
        <v>0</v>
      </c>
      <c r="BE9" s="1">
        <f t="shared" ref="BE9:BE39" si="10">IF(C9="fagdag",L9,0)</f>
        <v>0</v>
      </c>
      <c r="BF9" s="1">
        <f t="shared" ref="BF9:BF39" si="11">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9" si="12">IF(C9="fagdag",M9,0)</f>
        <v>0</v>
      </c>
      <c r="CC9" s="1">
        <f t="shared" ref="CC9:CC39" si="13">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8" si="14">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5">IF(AND(I9="X",S9="X"),V9,0)</f>
        <v>0</v>
      </c>
      <c r="FT9" s="649">
        <f t="shared" ref="FT9:FT37"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on</v>
      </c>
      <c r="C10" s="128" t="s">
        <v>128</v>
      </c>
      <c r="D10" s="129" t="str">
        <f t="shared" si="1"/>
        <v/>
      </c>
      <c r="E10" s="932"/>
      <c r="F10" s="933"/>
      <c r="G10" s="934"/>
      <c r="H10" s="294"/>
      <c r="I10" s="519"/>
      <c r="J10" s="407"/>
      <c r="K10" s="374"/>
      <c r="L10" s="374"/>
      <c r="M10" s="374"/>
      <c r="N10" s="313">
        <f t="shared" ref="N10:N39" si="19">BA10</f>
        <v>0</v>
      </c>
      <c r="O10" s="313">
        <f t="shared" ref="O10:O39" si="20">CA10</f>
        <v>0</v>
      </c>
      <c r="P10" s="313">
        <f>IF(Stamoplysninger!$H$29="JA",Juli!DG10,CX10)</f>
        <v>0</v>
      </c>
      <c r="Q10" s="313">
        <f t="shared" ref="Q10:Q39" si="21">IF(OR(C10="Lejrskole",C10="Ekskursion"),0,N10-O10-P10)</f>
        <v>0</v>
      </c>
      <c r="R10" s="314"/>
      <c r="S10" s="319"/>
      <c r="T10" s="320"/>
      <c r="U10" s="320"/>
      <c r="V10" s="429"/>
      <c r="W10" s="406"/>
      <c r="X10" s="633"/>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6">
        <f t="shared" si="8"/>
        <v>0</v>
      </c>
      <c r="BC10" s="1">
        <f t="shared" ref="BC10:BC39" si="24">IF(C10="Lejrskole",L10,0)</f>
        <v>0</v>
      </c>
      <c r="BD10" s="1">
        <f t="shared" si="9"/>
        <v>0</v>
      </c>
      <c r="BE10" s="1">
        <f t="shared" si="10"/>
        <v>0</v>
      </c>
      <c r="BF10" s="1">
        <f t="shared" si="11"/>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9" si="25">SUM(BG10:BZ10)*24+SUM(BC10:BF10)</f>
        <v>0</v>
      </c>
      <c r="CB10" s="1">
        <f t="shared" si="12"/>
        <v>0</v>
      </c>
      <c r="CC10" s="1">
        <f t="shared" si="13"/>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to</v>
      </c>
      <c r="C11" s="128" t="s">
        <v>128</v>
      </c>
      <c r="D11" s="129" t="str">
        <f t="shared" si="1"/>
        <v/>
      </c>
      <c r="E11" s="932"/>
      <c r="F11" s="933"/>
      <c r="G11" s="934"/>
      <c r="H11" s="294"/>
      <c r="I11" s="519"/>
      <c r="J11" s="407"/>
      <c r="K11" s="374"/>
      <c r="L11" s="374"/>
      <c r="M11" s="374"/>
      <c r="N11" s="313">
        <f t="shared" si="19"/>
        <v>0</v>
      </c>
      <c r="O11" s="313">
        <f t="shared" si="20"/>
        <v>0</v>
      </c>
      <c r="P11" s="313">
        <f>IF(Stamoplysninger!$H$29="JA",Juli!DG11,CX11)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t="str">
        <f>IF(AND(C11="Skema 1",B11="ma"),Skemaoplysninger!$E$30,"")</f>
        <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t="str">
        <f>IF(AND(C11="Skema 1",B11="ma"),Skemaoplysninger!$E$31,"")</f>
        <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fr</v>
      </c>
      <c r="C12" s="128" t="s">
        <v>128</v>
      </c>
      <c r="D12" s="129" t="str">
        <f t="shared" si="1"/>
        <v/>
      </c>
      <c r="E12" s="932"/>
      <c r="F12" s="933"/>
      <c r="G12" s="934"/>
      <c r="H12" s="294"/>
      <c r="I12" s="519"/>
      <c r="J12" s="407"/>
      <c r="K12" s="374"/>
      <c r="L12" s="374"/>
      <c r="M12" s="374"/>
      <c r="N12" s="313">
        <f t="shared" si="19"/>
        <v>0</v>
      </c>
      <c r="O12" s="313">
        <f t="shared" si="20"/>
        <v>0</v>
      </c>
      <c r="P12" s="313">
        <f>IF(Stamoplysninger!$H$29="JA",Juli!DG12,CX12)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t="str">
        <f>IF(AND(C12="Skema 1",B12="ti"),Skemaoplysninger!$G$30,"")</f>
        <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t="str">
        <f>IF(AND(C12="Skema 1",B12="ti"),Skemaoplysninger!$G$31,"")</f>
        <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lø</v>
      </c>
      <c r="C13" s="128" t="s">
        <v>120</v>
      </c>
      <c r="D13" s="129" t="str">
        <f t="shared" si="1"/>
        <v/>
      </c>
      <c r="E13" s="932"/>
      <c r="F13" s="933"/>
      <c r="G13" s="934"/>
      <c r="H13" s="294"/>
      <c r="I13" s="407"/>
      <c r="J13" s="407"/>
      <c r="K13" s="374"/>
      <c r="L13" s="374"/>
      <c r="M13" s="374"/>
      <c r="N13" s="313">
        <f t="shared" si="19"/>
        <v>0</v>
      </c>
      <c r="O13" s="313">
        <f t="shared" si="20"/>
        <v>0</v>
      </c>
      <c r="P13" s="313">
        <f>IF(Stamoplysninger!$H$29="JA",Juli!DG13,CX13)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sø</v>
      </c>
      <c r="C14" s="128" t="s">
        <v>120</v>
      </c>
      <c r="D14" s="129" t="str">
        <f t="shared" si="1"/>
        <v/>
      </c>
      <c r="E14" s="932"/>
      <c r="F14" s="933"/>
      <c r="G14" s="934"/>
      <c r="H14" s="294"/>
      <c r="I14" s="407"/>
      <c r="J14" s="407"/>
      <c r="K14" s="374"/>
      <c r="L14" s="374"/>
      <c r="M14" s="374"/>
      <c r="N14" s="313">
        <f t="shared" si="19"/>
        <v>0</v>
      </c>
      <c r="O14" s="313">
        <f t="shared" si="20"/>
        <v>0</v>
      </c>
      <c r="P14" s="313">
        <f>IF(Stamoplysninger!$H$29="JA",Juli!DG14,CX14)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t="str">
        <f>IF(AND(C14="Skema 1",B14="ma"),Skemaoplysninger!$E$30,"")</f>
        <v/>
      </c>
      <c r="BH14" s="209" t="str">
        <f>IF(AND(C14="Skema 1",B14="ti"),Skemaoplysninger!$G$30,"")</f>
        <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t="str">
        <f>IF(AND(C14="Skema 1",B14="ma"),Skemaoplysninger!$E$31,"")</f>
        <v/>
      </c>
      <c r="CE14" s="209" t="str">
        <f>IF(AND(C14="Skema 1",B14="ti"),Skemaoplysninger!$G$31,"")</f>
        <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ma</v>
      </c>
      <c r="C15" s="128" t="s">
        <v>128</v>
      </c>
      <c r="D15" s="129">
        <f t="shared" si="1"/>
        <v>27.714285714285715</v>
      </c>
      <c r="E15" s="932"/>
      <c r="F15" s="933"/>
      <c r="G15" s="934"/>
      <c r="H15" s="294"/>
      <c r="I15" s="519"/>
      <c r="J15" s="407"/>
      <c r="K15" s="374"/>
      <c r="L15" s="374"/>
      <c r="M15" s="374"/>
      <c r="N15" s="313">
        <f t="shared" si="19"/>
        <v>0</v>
      </c>
      <c r="O15" s="313">
        <f t="shared" si="20"/>
        <v>0</v>
      </c>
      <c r="P15" s="313">
        <f>IF(Stamoplysninger!$H$29="JA",Juli!DG15,CX15)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t="str">
        <f>IF(AND(C15="Skema 1",B15="ma"),Skemaoplysninger!$E$30,"")</f>
        <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t="str">
        <f>IF(AND(C15="Skema 1",B15="ma"),Skemaoplysninger!$E$31,"")</f>
        <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ti</v>
      </c>
      <c r="C16" s="128" t="s">
        <v>210</v>
      </c>
      <c r="D16" s="129" t="str">
        <f t="shared" si="1"/>
        <v/>
      </c>
      <c r="E16" s="932" t="s">
        <v>113</v>
      </c>
      <c r="F16" s="933"/>
      <c r="G16" s="934"/>
      <c r="H16" s="294"/>
      <c r="I16" s="519"/>
      <c r="J16" s="407"/>
      <c r="K16" s="374"/>
      <c r="L16" s="374"/>
      <c r="M16" s="374"/>
      <c r="N16" s="313">
        <f t="shared" si="19"/>
        <v>0</v>
      </c>
      <c r="O16" s="313">
        <f t="shared" si="20"/>
        <v>0</v>
      </c>
      <c r="P16" s="313">
        <f>IF(Stamoplysninger!$H$29="JA",Juli!DG16,CX16)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t="str">
        <f t="shared" si="28"/>
        <v>Sommerferie</v>
      </c>
      <c r="DJ16" t="str">
        <f t="shared" si="29"/>
        <v/>
      </c>
      <c r="DK16" t="str">
        <f t="shared" si="14"/>
        <v/>
      </c>
      <c r="DL16" t="str">
        <f t="shared" si="14"/>
        <v>Sommerferie</v>
      </c>
      <c r="DM16" t="str">
        <f t="shared" si="14"/>
        <v/>
      </c>
      <c r="DN16" t="str">
        <f t="shared" si="30"/>
        <v>Sommerferie</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on</v>
      </c>
      <c r="C17" s="128" t="s">
        <v>210</v>
      </c>
      <c r="D17" s="129" t="str">
        <f t="shared" si="1"/>
        <v/>
      </c>
      <c r="E17" s="932" t="s">
        <v>113</v>
      </c>
      <c r="F17" s="933"/>
      <c r="G17" s="934"/>
      <c r="H17" s="294"/>
      <c r="I17" s="519"/>
      <c r="J17" s="407"/>
      <c r="K17" s="374"/>
      <c r="L17" s="374"/>
      <c r="M17" s="374"/>
      <c r="N17" s="313">
        <f t="shared" si="19"/>
        <v>0</v>
      </c>
      <c r="O17" s="313">
        <f t="shared" si="20"/>
        <v>0</v>
      </c>
      <c r="P17" s="313">
        <f>IF(Stamoplysninger!$H$29="JA",Juli!DG17,CX17)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t="str">
        <f t="shared" si="28"/>
        <v>Sommerferie</v>
      </c>
      <c r="DJ17" t="str">
        <f t="shared" si="29"/>
        <v/>
      </c>
      <c r="DK17" t="str">
        <f t="shared" si="14"/>
        <v/>
      </c>
      <c r="DL17" t="str">
        <f t="shared" si="14"/>
        <v>Sommerferie</v>
      </c>
      <c r="DM17" t="str">
        <f t="shared" si="14"/>
        <v/>
      </c>
      <c r="DN17" t="str">
        <f t="shared" si="30"/>
        <v>Sommerferie</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to</v>
      </c>
      <c r="C18" s="128" t="s">
        <v>210</v>
      </c>
      <c r="D18" s="129" t="str">
        <f t="shared" si="1"/>
        <v/>
      </c>
      <c r="E18" s="932" t="s">
        <v>113</v>
      </c>
      <c r="F18" s="933"/>
      <c r="G18" s="934"/>
      <c r="H18" s="294"/>
      <c r="I18" s="519"/>
      <c r="J18" s="407"/>
      <c r="K18" s="374"/>
      <c r="L18" s="374"/>
      <c r="M18" s="374"/>
      <c r="N18" s="313">
        <f t="shared" si="19"/>
        <v>0</v>
      </c>
      <c r="O18" s="313">
        <f t="shared" si="20"/>
        <v>0</v>
      </c>
      <c r="P18" s="313">
        <f>IF(Stamoplysninger!$H$29="JA",Juli!DG18,CX18)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t="str">
        <f>IF(AND(C18="Skema 1",B18="ma"),Skemaoplysninger!$E$30,"")</f>
        <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t="str">
        <f>IF(AND(C18="Skema 1",B18="ma"),Skemaoplysninger!$E$31,"")</f>
        <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t="str">
        <f t="shared" si="28"/>
        <v>Sommerferie</v>
      </c>
      <c r="DJ18" t="str">
        <f t="shared" si="29"/>
        <v/>
      </c>
      <c r="DK18" t="str">
        <f t="shared" si="14"/>
        <v/>
      </c>
      <c r="DL18" t="str">
        <f t="shared" si="14"/>
        <v>Sommerferie</v>
      </c>
      <c r="DM18" t="str">
        <f t="shared" si="14"/>
        <v/>
      </c>
      <c r="DN18" t="str">
        <f t="shared" si="30"/>
        <v>Sommerferie</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fr</v>
      </c>
      <c r="C19" s="128" t="s">
        <v>210</v>
      </c>
      <c r="D19" s="129" t="str">
        <f t="shared" si="1"/>
        <v/>
      </c>
      <c r="E19" s="932" t="s">
        <v>113</v>
      </c>
      <c r="F19" s="933"/>
      <c r="G19" s="934"/>
      <c r="H19" s="294"/>
      <c r="I19" s="519"/>
      <c r="J19" s="407"/>
      <c r="K19" s="374"/>
      <c r="L19" s="374"/>
      <c r="M19" s="374"/>
      <c r="N19" s="313">
        <f t="shared" si="19"/>
        <v>0</v>
      </c>
      <c r="O19" s="313">
        <f t="shared" si="20"/>
        <v>0</v>
      </c>
      <c r="P19" s="313">
        <f>IF(Stamoplysninger!$H$29="JA",Juli!DG19,CX19)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t="str">
        <f t="shared" si="28"/>
        <v>Sommerferie</v>
      </c>
      <c r="DJ19" t="str">
        <f t="shared" si="29"/>
        <v/>
      </c>
      <c r="DK19" t="str">
        <f t="shared" si="14"/>
        <v/>
      </c>
      <c r="DL19" t="str">
        <f t="shared" si="14"/>
        <v>Sommerferie</v>
      </c>
      <c r="DM19" t="str">
        <f t="shared" si="14"/>
        <v/>
      </c>
      <c r="DN19" t="str">
        <f t="shared" si="30"/>
        <v>Sommerferie</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lø</v>
      </c>
      <c r="C20" s="128" t="s">
        <v>120</v>
      </c>
      <c r="D20" s="129" t="str">
        <f t="shared" si="1"/>
        <v/>
      </c>
      <c r="E20" s="932"/>
      <c r="F20" s="933"/>
      <c r="G20" s="934"/>
      <c r="H20" s="294"/>
      <c r="I20" s="407"/>
      <c r="J20" s="407"/>
      <c r="K20" s="374"/>
      <c r="L20" s="374"/>
      <c r="M20" s="374"/>
      <c r="N20" s="313">
        <f t="shared" si="19"/>
        <v>0</v>
      </c>
      <c r="O20" s="313">
        <f t="shared" si="20"/>
        <v>0</v>
      </c>
      <c r="P20" s="313">
        <f>IF(Stamoplysninger!$H$29="JA",Juli!DG20,CX20)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sø</v>
      </c>
      <c r="C21" s="128" t="s">
        <v>120</v>
      </c>
      <c r="D21" s="129" t="str">
        <f t="shared" si="1"/>
        <v/>
      </c>
      <c r="E21" s="932"/>
      <c r="F21" s="933"/>
      <c r="G21" s="934"/>
      <c r="H21" s="293"/>
      <c r="I21" s="407"/>
      <c r="J21" s="407"/>
      <c r="K21" s="374"/>
      <c r="L21" s="374"/>
      <c r="M21" s="374"/>
      <c r="N21" s="313">
        <f t="shared" si="19"/>
        <v>0</v>
      </c>
      <c r="O21" s="313">
        <f t="shared" si="20"/>
        <v>0</v>
      </c>
      <c r="P21" s="313">
        <f>IF(Stamoplysninger!$H$29="JA",Juli!DG21,CX21)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t="str">
        <f>IF(AND(C21="Skema 1",B21="ma"),Skemaoplysninger!$E$30,"")</f>
        <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t="str">
        <f>IF(AND(C21="Skema 1",B21="ma"),Skemaoplysninger!$E$31,"")</f>
        <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ma</v>
      </c>
      <c r="C22" s="128" t="s">
        <v>210</v>
      </c>
      <c r="D22" s="129">
        <f t="shared" si="1"/>
        <v>28.714285714285715</v>
      </c>
      <c r="E22" s="932" t="s">
        <v>113</v>
      </c>
      <c r="F22" s="933"/>
      <c r="G22" s="934"/>
      <c r="H22" s="293"/>
      <c r="I22" s="519"/>
      <c r="J22" s="407"/>
      <c r="K22" s="374"/>
      <c r="L22" s="374"/>
      <c r="M22" s="374"/>
      <c r="N22" s="313">
        <f t="shared" si="19"/>
        <v>0</v>
      </c>
      <c r="O22" s="313">
        <f t="shared" si="20"/>
        <v>0</v>
      </c>
      <c r="P22" s="313">
        <f>IF(Stamoplysninger!$H$29="JA",Juli!DG22,CX22)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t="str">
        <f t="shared" si="28"/>
        <v>Sommerferie</v>
      </c>
      <c r="DJ22" t="str">
        <f t="shared" si="29"/>
        <v/>
      </c>
      <c r="DK22" t="str">
        <f t="shared" si="14"/>
        <v/>
      </c>
      <c r="DL22" t="str">
        <f t="shared" si="14"/>
        <v>Sommerferie</v>
      </c>
      <c r="DM22" t="str">
        <f t="shared" si="14"/>
        <v/>
      </c>
      <c r="DN22" t="str">
        <f t="shared" si="30"/>
        <v>Sommerferie</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ti</v>
      </c>
      <c r="C23" s="128" t="s">
        <v>210</v>
      </c>
      <c r="D23" s="129" t="str">
        <f t="shared" si="1"/>
        <v/>
      </c>
      <c r="E23" s="932" t="s">
        <v>113</v>
      </c>
      <c r="F23" s="933"/>
      <c r="G23" s="934"/>
      <c r="H23" s="293"/>
      <c r="I23" s="519"/>
      <c r="J23" s="407"/>
      <c r="K23" s="374"/>
      <c r="L23" s="374"/>
      <c r="M23" s="374"/>
      <c r="N23" s="313">
        <f t="shared" si="19"/>
        <v>0</v>
      </c>
      <c r="O23" s="313">
        <f t="shared" si="20"/>
        <v>0</v>
      </c>
      <c r="P23" s="313">
        <f>IF(Stamoplysninger!$H$29="JA",Juli!DG23,CX23)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t="str">
        <f t="shared" si="28"/>
        <v>Sommerferie</v>
      </c>
      <c r="DJ23" t="str">
        <f t="shared" si="29"/>
        <v/>
      </c>
      <c r="DK23" t="str">
        <f t="shared" si="14"/>
        <v/>
      </c>
      <c r="DL23" t="str">
        <f t="shared" si="14"/>
        <v>Sommerferie</v>
      </c>
      <c r="DM23" t="str">
        <f t="shared" si="14"/>
        <v/>
      </c>
      <c r="DN23" t="str">
        <f t="shared" si="30"/>
        <v>Sommerferie</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on</v>
      </c>
      <c r="C24" s="128" t="s">
        <v>210</v>
      </c>
      <c r="D24" s="129" t="str">
        <f t="shared" si="1"/>
        <v/>
      </c>
      <c r="E24" s="932" t="s">
        <v>113</v>
      </c>
      <c r="F24" s="933"/>
      <c r="G24" s="934"/>
      <c r="H24" s="294"/>
      <c r="I24" s="519"/>
      <c r="J24" s="407"/>
      <c r="K24" s="374"/>
      <c r="L24" s="374"/>
      <c r="M24" s="374"/>
      <c r="N24" s="313">
        <f t="shared" si="19"/>
        <v>0</v>
      </c>
      <c r="O24" s="313">
        <f t="shared" si="20"/>
        <v>0</v>
      </c>
      <c r="P24" s="313">
        <f>IF(Stamoplysninger!$H$29="JA",Juli!DG24,CX24)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t="str">
        <f t="shared" si="28"/>
        <v>Sommerferie</v>
      </c>
      <c r="DJ24" t="str">
        <f t="shared" si="29"/>
        <v/>
      </c>
      <c r="DK24" t="str">
        <f t="shared" si="14"/>
        <v/>
      </c>
      <c r="DL24" t="str">
        <f t="shared" si="14"/>
        <v>Sommerferie</v>
      </c>
      <c r="DM24" t="str">
        <f t="shared" si="14"/>
        <v/>
      </c>
      <c r="DN24" t="str">
        <f t="shared" si="30"/>
        <v>Sommerferie</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to</v>
      </c>
      <c r="C25" s="128" t="s">
        <v>210</v>
      </c>
      <c r="D25" s="129" t="str">
        <f t="shared" si="1"/>
        <v/>
      </c>
      <c r="E25" s="932" t="s">
        <v>113</v>
      </c>
      <c r="F25" s="933"/>
      <c r="G25" s="934"/>
      <c r="H25" s="294"/>
      <c r="I25" s="519"/>
      <c r="J25" s="407"/>
      <c r="K25" s="374"/>
      <c r="L25" s="374"/>
      <c r="M25" s="374"/>
      <c r="N25" s="313">
        <f t="shared" si="19"/>
        <v>0</v>
      </c>
      <c r="O25" s="313">
        <f t="shared" si="20"/>
        <v>0</v>
      </c>
      <c r="P25" s="313">
        <f>IF(Stamoplysninger!$H$29="JA",Juli!DG25,CX25)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t="str">
        <f>IF(AND(C25="Skema 1",B25="ma"),Skemaoplysninger!$E$30,"")</f>
        <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t="str">
        <f>IF(AND(C25="Skema 1",B25="ma"),Skemaoplysninger!$E$31,"")</f>
        <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t="str">
        <f t="shared" si="28"/>
        <v>Sommerferie</v>
      </c>
      <c r="DJ25" t="str">
        <f t="shared" si="29"/>
        <v/>
      </c>
      <c r="DK25" t="str">
        <f t="shared" si="14"/>
        <v/>
      </c>
      <c r="DL25" t="str">
        <f t="shared" si="14"/>
        <v>Sommerferie</v>
      </c>
      <c r="DM25" t="str">
        <f t="shared" si="14"/>
        <v/>
      </c>
      <c r="DN25" t="str">
        <f t="shared" si="30"/>
        <v>Sommerferie</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fr</v>
      </c>
      <c r="C26" s="128" t="s">
        <v>210</v>
      </c>
      <c r="D26" s="129" t="str">
        <f t="shared" si="1"/>
        <v/>
      </c>
      <c r="E26" s="932" t="s">
        <v>113</v>
      </c>
      <c r="F26" s="933"/>
      <c r="G26" s="934"/>
      <c r="H26" s="294"/>
      <c r="I26" s="519"/>
      <c r="J26" s="407"/>
      <c r="K26" s="374"/>
      <c r="L26" s="374"/>
      <c r="M26" s="374"/>
      <c r="N26" s="313">
        <f t="shared" si="19"/>
        <v>0</v>
      </c>
      <c r="O26" s="313">
        <f t="shared" si="20"/>
        <v>0</v>
      </c>
      <c r="P26" s="313">
        <f>IF(Stamoplysninger!$H$29="JA",Juli!DG26,CX26)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t="str">
        <f t="shared" si="28"/>
        <v>Sommerferie</v>
      </c>
      <c r="DJ26" t="str">
        <f t="shared" si="29"/>
        <v/>
      </c>
      <c r="DK26" t="str">
        <f t="shared" si="14"/>
        <v/>
      </c>
      <c r="DL26" t="str">
        <f t="shared" si="14"/>
        <v>Sommerferie</v>
      </c>
      <c r="DM26" t="str">
        <f t="shared" si="14"/>
        <v/>
      </c>
      <c r="DN26" t="str">
        <f t="shared" si="30"/>
        <v>Sommerferie</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lø</v>
      </c>
      <c r="C27" s="128" t="s">
        <v>120</v>
      </c>
      <c r="D27" s="129" t="str">
        <f t="shared" si="1"/>
        <v/>
      </c>
      <c r="E27" s="932"/>
      <c r="F27" s="933"/>
      <c r="G27" s="934"/>
      <c r="H27" s="294"/>
      <c r="I27" s="407"/>
      <c r="J27" s="407"/>
      <c r="K27" s="374"/>
      <c r="L27" s="374"/>
      <c r="M27" s="374"/>
      <c r="N27" s="313">
        <f t="shared" si="19"/>
        <v>0</v>
      </c>
      <c r="O27" s="313">
        <f t="shared" si="20"/>
        <v>0</v>
      </c>
      <c r="P27" s="313">
        <f>IF(Stamoplysninger!$H$29="JA",Juli!DG27,CX27)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t="str">
        <f>IF(AND(C27="Skema 1",B27="ma"),Skemaoplysninger!$E$30,"")</f>
        <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t="str">
        <f>IF(AND(C27="Skema 1",B27="ma"),Skemaoplysninger!$E$31,"")</f>
        <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sø</v>
      </c>
      <c r="C28" s="128" t="s">
        <v>120</v>
      </c>
      <c r="D28" s="129" t="str">
        <f t="shared" si="1"/>
        <v/>
      </c>
      <c r="E28" s="932"/>
      <c r="F28" s="933"/>
      <c r="G28" s="934"/>
      <c r="H28" s="294"/>
      <c r="I28" s="407"/>
      <c r="J28" s="407"/>
      <c r="K28" s="374"/>
      <c r="L28" s="374"/>
      <c r="M28" s="374"/>
      <c r="N28" s="313">
        <f t="shared" si="19"/>
        <v>0</v>
      </c>
      <c r="O28" s="313">
        <f t="shared" si="20"/>
        <v>0</v>
      </c>
      <c r="P28" s="313">
        <f>IF(Stamoplysninger!$H$29="JA",Juli!DG28,CX28)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t="str">
        <f>IF(AND(C28="Skema 1",B28="ma"),Skemaoplysninger!$E$30,"")</f>
        <v/>
      </c>
      <c r="BH28" s="209" t="str">
        <f>IF(AND(C28="Skema 1",B28="ti"),Skemaoplysninger!$G$30,"")</f>
        <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t="str">
        <f>IF(AND(C28="Skema 1",B28="ma"),Skemaoplysninger!$E$31,"")</f>
        <v/>
      </c>
      <c r="CE28" s="209" t="str">
        <f>IF(AND(C28="Skema 1",B28="ti"),Skemaoplysninger!$G$31,"")</f>
        <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ma</v>
      </c>
      <c r="C29" s="128" t="s">
        <v>210</v>
      </c>
      <c r="D29" s="129">
        <f t="shared" si="1"/>
        <v>29.714285714285715</v>
      </c>
      <c r="E29" s="932" t="s">
        <v>113</v>
      </c>
      <c r="F29" s="933"/>
      <c r="G29" s="934"/>
      <c r="H29" s="294"/>
      <c r="I29" s="519"/>
      <c r="J29" s="407"/>
      <c r="K29" s="374"/>
      <c r="L29" s="374"/>
      <c r="M29" s="374"/>
      <c r="N29" s="313">
        <f t="shared" si="19"/>
        <v>0</v>
      </c>
      <c r="O29" s="313">
        <f t="shared" si="20"/>
        <v>0</v>
      </c>
      <c r="P29" s="313">
        <f>IF(Stamoplysninger!$H$29="JA",Juli!DG29,CX29)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t="str">
        <f>IF(AND(C29="Skema 1",B29="ma"),Skemaoplysninger!$E$30,"")</f>
        <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t="str">
        <f>IF(AND(C29="Skema 1",B29="ma"),Skemaoplysninger!$E$31,"")</f>
        <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t="str">
        <f t="shared" si="28"/>
        <v>Sommerferie</v>
      </c>
      <c r="DJ29" t="str">
        <f t="shared" si="29"/>
        <v/>
      </c>
      <c r="DK29" t="str">
        <f t="shared" si="14"/>
        <v/>
      </c>
      <c r="DL29" t="str">
        <f t="shared" si="14"/>
        <v>Sommerferie</v>
      </c>
      <c r="DM29" t="str">
        <f t="shared" si="14"/>
        <v/>
      </c>
      <c r="DN29" t="str">
        <f t="shared" si="30"/>
        <v>Sommerferie</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ti</v>
      </c>
      <c r="C30" s="128" t="s">
        <v>210</v>
      </c>
      <c r="D30" s="129" t="str">
        <f t="shared" si="1"/>
        <v/>
      </c>
      <c r="E30" s="932" t="s">
        <v>113</v>
      </c>
      <c r="F30" s="933"/>
      <c r="G30" s="934"/>
      <c r="H30" s="294"/>
      <c r="I30" s="519"/>
      <c r="J30" s="407"/>
      <c r="K30" s="374"/>
      <c r="L30" s="374"/>
      <c r="M30" s="374"/>
      <c r="N30" s="313">
        <f t="shared" si="19"/>
        <v>0</v>
      </c>
      <c r="O30" s="313">
        <f t="shared" si="20"/>
        <v>0</v>
      </c>
      <c r="P30" s="313">
        <f>IF(Stamoplysninger!$H$29="JA",Juli!DG30,CX30)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t="str">
        <f t="shared" si="28"/>
        <v>Sommerferie</v>
      </c>
      <c r="DJ30" t="str">
        <f t="shared" si="29"/>
        <v/>
      </c>
      <c r="DK30" t="str">
        <f t="shared" si="14"/>
        <v/>
      </c>
      <c r="DL30" t="str">
        <f t="shared" si="14"/>
        <v>Sommerferie</v>
      </c>
      <c r="DM30" t="str">
        <f t="shared" si="14"/>
        <v/>
      </c>
      <c r="DN30" t="str">
        <f t="shared" si="30"/>
        <v>Sommerferie</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9"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on</v>
      </c>
      <c r="C31" s="128" t="s">
        <v>210</v>
      </c>
      <c r="D31" s="129" t="str">
        <f t="shared" si="1"/>
        <v/>
      </c>
      <c r="E31" s="932" t="s">
        <v>113</v>
      </c>
      <c r="F31" s="933"/>
      <c r="G31" s="934"/>
      <c r="H31" s="294"/>
      <c r="I31" s="519"/>
      <c r="J31" s="407"/>
      <c r="K31" s="374"/>
      <c r="L31" s="374"/>
      <c r="M31" s="374"/>
      <c r="N31" s="313">
        <f t="shared" si="19"/>
        <v>0</v>
      </c>
      <c r="O31" s="313">
        <f t="shared" si="20"/>
        <v>0</v>
      </c>
      <c r="P31" s="313">
        <f>IF(Stamoplysninger!$H$29="JA",Juli!DG31,CX31)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t="str">
        <f t="shared" si="28"/>
        <v>Sommerferie</v>
      </c>
      <c r="DJ31" t="str">
        <f t="shared" si="29"/>
        <v/>
      </c>
      <c r="DK31" t="str">
        <f t="shared" si="14"/>
        <v/>
      </c>
      <c r="DL31" t="str">
        <f t="shared" si="14"/>
        <v>Sommerferie</v>
      </c>
      <c r="DM31" t="str">
        <f t="shared" si="14"/>
        <v/>
      </c>
      <c r="DN31" t="str">
        <f t="shared" si="30"/>
        <v>Sommerferie</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to</v>
      </c>
      <c r="C32" s="128" t="s">
        <v>210</v>
      </c>
      <c r="D32" s="129" t="str">
        <f t="shared" si="1"/>
        <v/>
      </c>
      <c r="E32" s="964" t="s">
        <v>113</v>
      </c>
      <c r="F32" s="965"/>
      <c r="G32" s="966"/>
      <c r="H32" s="294"/>
      <c r="I32" s="519"/>
      <c r="J32" s="407"/>
      <c r="K32" s="374"/>
      <c r="L32" s="374"/>
      <c r="M32" s="374"/>
      <c r="N32" s="313">
        <f t="shared" si="19"/>
        <v>0</v>
      </c>
      <c r="O32" s="313">
        <f t="shared" si="20"/>
        <v>0</v>
      </c>
      <c r="P32" s="313">
        <f>IF(Stamoplysninger!$H$29="JA",Juli!DG32,CX32)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t="str">
        <f>IF(AND(C32="Skema 1",B32="ma"),Skemaoplysninger!$E$30,"")</f>
        <v/>
      </c>
      <c r="BH32" s="209" t="str">
        <f>IF(AND(C32="Skema 1",B32="ti"),Skemaoplysninger!$G$30,"")</f>
        <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t="str">
        <f>IF(AND(C32="Skema 1",B32="ma"),Skemaoplysninger!$E$31,"")</f>
        <v/>
      </c>
      <c r="CE32" s="209" t="str">
        <f>IF(AND(C32="Skema 1",B32="ti"),Skemaoplysninger!$G$31,"")</f>
        <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t="str">
        <f t="shared" si="28"/>
        <v>Sommerferie</v>
      </c>
      <c r="DJ32" t="str">
        <f t="shared" si="29"/>
        <v/>
      </c>
      <c r="DK32" t="str">
        <f t="shared" si="14"/>
        <v/>
      </c>
      <c r="DL32" t="str">
        <f t="shared" si="14"/>
        <v>Sommerferie</v>
      </c>
      <c r="DM32" t="str">
        <f t="shared" si="14"/>
        <v/>
      </c>
      <c r="DN32" t="str">
        <f t="shared" si="30"/>
        <v>Sommerferie</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fr</v>
      </c>
      <c r="C33" s="128" t="s">
        <v>210</v>
      </c>
      <c r="D33" s="129" t="str">
        <f t="shared" si="1"/>
        <v/>
      </c>
      <c r="E33" s="932" t="s">
        <v>113</v>
      </c>
      <c r="F33" s="933"/>
      <c r="G33" s="934"/>
      <c r="H33" s="294"/>
      <c r="I33" s="519"/>
      <c r="J33" s="407"/>
      <c r="K33" s="374"/>
      <c r="L33" s="374"/>
      <c r="M33" s="374"/>
      <c r="N33" s="313">
        <f t="shared" si="19"/>
        <v>0</v>
      </c>
      <c r="O33" s="313">
        <f t="shared" si="20"/>
        <v>0</v>
      </c>
      <c r="P33" s="313">
        <f>IF(Stamoplysninger!$H$29="JA",Juli!DG33,CX33)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t="str">
        <f t="shared" si="28"/>
        <v>Sommerferie</v>
      </c>
      <c r="DJ33" t="str">
        <f t="shared" si="29"/>
        <v/>
      </c>
      <c r="DK33" t="str">
        <f t="shared" si="14"/>
        <v/>
      </c>
      <c r="DL33" t="str">
        <f t="shared" si="14"/>
        <v>Sommerferie</v>
      </c>
      <c r="DM33" t="str">
        <f t="shared" si="14"/>
        <v/>
      </c>
      <c r="DN33" t="str">
        <f t="shared" si="30"/>
        <v>Sommerferie</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lø</v>
      </c>
      <c r="C34" s="128" t="s">
        <v>120</v>
      </c>
      <c r="D34" s="129" t="str">
        <f t="shared" si="1"/>
        <v/>
      </c>
      <c r="E34" s="932"/>
      <c r="F34" s="933"/>
      <c r="G34" s="934"/>
      <c r="H34" s="294"/>
      <c r="I34" s="407"/>
      <c r="J34" s="407"/>
      <c r="K34" s="374"/>
      <c r="L34" s="374"/>
      <c r="M34" s="374"/>
      <c r="N34" s="313">
        <f t="shared" si="19"/>
        <v>0</v>
      </c>
      <c r="O34" s="313">
        <f t="shared" si="20"/>
        <v>0</v>
      </c>
      <c r="P34" s="313">
        <f>IF(Stamoplysninger!$H$29="JA",Juli!DG34,CX34)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4"/>
        <v/>
      </c>
      <c r="DL34" t="str">
        <f t="shared" si="14"/>
        <v/>
      </c>
      <c r="DM34" t="str">
        <f t="shared" si="14"/>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sø</v>
      </c>
      <c r="C35" s="128" t="s">
        <v>120</v>
      </c>
      <c r="D35" s="129" t="str">
        <f t="shared" si="1"/>
        <v/>
      </c>
      <c r="E35" s="932"/>
      <c r="F35" s="933"/>
      <c r="G35" s="934"/>
      <c r="H35" s="294"/>
      <c r="I35" s="407"/>
      <c r="J35" s="407"/>
      <c r="K35" s="374"/>
      <c r="L35" s="374"/>
      <c r="M35" s="374"/>
      <c r="N35" s="313">
        <f t="shared" si="19"/>
        <v>0</v>
      </c>
      <c r="O35" s="313">
        <f t="shared" si="20"/>
        <v>0</v>
      </c>
      <c r="P35" s="313">
        <f>IF(Stamoplysninger!$H$29="JA",Juli!DG35,CX35)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t="str">
        <f>IF(AND(C35="Skema 1",B35="ma"),Skemaoplysninger!$E$30,"")</f>
        <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t="str">
        <f>IF(AND(C35="Skema 1",B35="ma"),Skemaoplysninger!$E$31,"")</f>
        <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ma</v>
      </c>
      <c r="C36" s="128" t="s">
        <v>210</v>
      </c>
      <c r="D36" s="129">
        <f t="shared" si="1"/>
        <v>30.714285714285715</v>
      </c>
      <c r="E36" s="932" t="s">
        <v>113</v>
      </c>
      <c r="F36" s="933"/>
      <c r="G36" s="934"/>
      <c r="H36" s="294"/>
      <c r="I36" s="519"/>
      <c r="J36" s="407"/>
      <c r="K36" s="374"/>
      <c r="L36" s="374"/>
      <c r="M36" s="374"/>
      <c r="N36" s="313">
        <f t="shared" si="19"/>
        <v>0</v>
      </c>
      <c r="O36" s="313">
        <f t="shared" si="20"/>
        <v>0</v>
      </c>
      <c r="P36" s="313">
        <f>IF(Stamoplysninger!$H$29="JA",Juli!DG36,CX36)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t="str">
        <f>IF(AND(C36="Skema 1",B36="ma"),Skemaoplysninger!$E$30,"")</f>
        <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t="str">
        <f>IF(AND(C36="Skema 1",B36="ma"),Skemaoplysninger!$E$31,"")</f>
        <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t="str">
        <f t="shared" si="28"/>
        <v>Sommerferie</v>
      </c>
      <c r="DJ36" t="str">
        <f t="shared" si="29"/>
        <v/>
      </c>
      <c r="DK36" t="str">
        <f t="shared" si="14"/>
        <v/>
      </c>
      <c r="DL36" t="str">
        <f t="shared" si="14"/>
        <v>Sommerferie</v>
      </c>
      <c r="DM36" t="str">
        <f t="shared" si="14"/>
        <v/>
      </c>
      <c r="DN36" t="str">
        <f t="shared" si="30"/>
        <v>Sommerferie</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ti</v>
      </c>
      <c r="C37" s="128" t="s">
        <v>210</v>
      </c>
      <c r="D37" s="129" t="str">
        <f t="shared" si="1"/>
        <v/>
      </c>
      <c r="E37" s="932" t="s">
        <v>113</v>
      </c>
      <c r="F37" s="933"/>
      <c r="G37" s="934"/>
      <c r="H37" s="294"/>
      <c r="I37" s="519"/>
      <c r="J37" s="407"/>
      <c r="K37" s="374"/>
      <c r="L37" s="374"/>
      <c r="M37" s="374"/>
      <c r="N37" s="313">
        <f t="shared" si="19"/>
        <v>0</v>
      </c>
      <c r="O37" s="313">
        <f t="shared" si="20"/>
        <v>0</v>
      </c>
      <c r="P37" s="313">
        <f>IF(Stamoplysninger!$H$29="JA",Juli!DG37,CX37)</f>
        <v>0</v>
      </c>
      <c r="Q37" s="313">
        <f t="shared" si="21"/>
        <v>0</v>
      </c>
      <c r="R37" s="314"/>
      <c r="S37" s="319"/>
      <c r="T37" s="320"/>
      <c r="U37" s="320"/>
      <c r="V37" s="429"/>
      <c r="W37" s="406"/>
      <c r="X37" s="633"/>
      <c r="Y37">
        <f t="shared" si="22"/>
        <v>0</v>
      </c>
      <c r="Z37">
        <f t="shared" si="2"/>
        <v>0</v>
      </c>
      <c r="AA37" s="1">
        <f t="shared" si="3"/>
        <v>0</v>
      </c>
      <c r="AB37" s="1">
        <f t="shared" si="4"/>
        <v>0</v>
      </c>
      <c r="AC37" s="1">
        <f t="shared" si="5"/>
        <v>0</v>
      </c>
      <c r="AD37" s="1">
        <f t="shared" si="6"/>
        <v>0</v>
      </c>
      <c r="AE37" s="1">
        <f t="shared" si="7"/>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3"/>
        <v>0</v>
      </c>
      <c r="BB37" s="226">
        <f t="shared" si="8"/>
        <v>0</v>
      </c>
      <c r="BC37" s="1">
        <f t="shared" si="24"/>
        <v>0</v>
      </c>
      <c r="BD37" s="1">
        <f t="shared" si="9"/>
        <v>0</v>
      </c>
      <c r="BE37" s="1">
        <f t="shared" si="10"/>
        <v>0</v>
      </c>
      <c r="BF37" s="1">
        <f t="shared" si="11"/>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2"/>
        <v>0</v>
      </c>
      <c r="CC37" s="1">
        <f t="shared" si="13"/>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t="str">
        <f t="shared" si="28"/>
        <v>Sommerferie</v>
      </c>
      <c r="DJ37" t="str">
        <f t="shared" si="29"/>
        <v/>
      </c>
      <c r="DK37" t="str">
        <f t="shared" si="14"/>
        <v/>
      </c>
      <c r="DL37" t="str">
        <f t="shared" si="14"/>
        <v>Sommerferie</v>
      </c>
      <c r="DM37" t="str">
        <f t="shared" si="14"/>
        <v/>
      </c>
      <c r="DN37" t="str">
        <f t="shared" si="30"/>
        <v>Sommerferie</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32">IF(AND(I37="X",S37="X"),V37,0)</f>
        <v>0</v>
      </c>
      <c r="FT37" s="649">
        <f t="shared" ref="FT37:FT39" si="33">IF(AND(AND(C37="ikke relevant",I37="X",S37="X")),V37,0)</f>
        <v>0</v>
      </c>
      <c r="FU37">
        <f t="shared" ref="FU37:FU39" si="34">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on</v>
      </c>
      <c r="C38" s="128" t="s">
        <v>210</v>
      </c>
      <c r="D38" s="129" t="str">
        <f t="shared" si="1"/>
        <v/>
      </c>
      <c r="E38" s="932" t="s">
        <v>113</v>
      </c>
      <c r="F38" s="933"/>
      <c r="G38" s="934"/>
      <c r="H38" s="294"/>
      <c r="I38" s="519"/>
      <c r="J38" s="407"/>
      <c r="K38" s="374"/>
      <c r="L38" s="374"/>
      <c r="M38" s="374"/>
      <c r="N38" s="313">
        <f t="shared" si="19"/>
        <v>0</v>
      </c>
      <c r="O38" s="313">
        <f t="shared" si="20"/>
        <v>0</v>
      </c>
      <c r="P38" s="313">
        <f>IF(Stamoplysninger!$H$29="JA",Juli!DG38,CX38)</f>
        <v>0</v>
      </c>
      <c r="Q38" s="313">
        <f t="shared" si="21"/>
        <v>0</v>
      </c>
      <c r="R38" s="314"/>
      <c r="S38" s="319"/>
      <c r="T38" s="320"/>
      <c r="U38" s="435"/>
      <c r="V38" s="429"/>
      <c r="W38" s="406"/>
      <c r="X38" s="633"/>
      <c r="Y38">
        <f t="shared" si="22"/>
        <v>0</v>
      </c>
      <c r="Z38">
        <f t="shared" si="2"/>
        <v>0</v>
      </c>
      <c r="AA38" s="1">
        <f t="shared" si="3"/>
        <v>0</v>
      </c>
      <c r="AB38" s="1">
        <f t="shared" si="4"/>
        <v>0</v>
      </c>
      <c r="AC38" s="1">
        <f t="shared" si="5"/>
        <v>0</v>
      </c>
      <c r="AD38" s="1">
        <f t="shared" si="6"/>
        <v>0</v>
      </c>
      <c r="AE38" s="1">
        <f t="shared" si="7"/>
        <v>0</v>
      </c>
      <c r="AF38" s="1">
        <f>IF(C38="Orlov",7.4*Stamoplysninger!$E$15,0)</f>
        <v>0</v>
      </c>
      <c r="AG38" t="str">
        <f>IF(AND(C38="Skema 1",B38="ma"),Arbejdstidsoversigt!$E$72,"")</f>
        <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23"/>
        <v>0</v>
      </c>
      <c r="BB38" s="226">
        <f t="shared" si="8"/>
        <v>0</v>
      </c>
      <c r="BC38" s="1">
        <f t="shared" si="24"/>
        <v>0</v>
      </c>
      <c r="BD38" s="1">
        <f t="shared" si="9"/>
        <v>0</v>
      </c>
      <c r="BE38" s="1">
        <f t="shared" si="10"/>
        <v>0</v>
      </c>
      <c r="BF38" s="1">
        <f t="shared" si="11"/>
        <v>0</v>
      </c>
      <c r="BG38" s="209" t="str">
        <f>IF(AND(C38="Skema 1",B38="ma"),Skemaoplysninger!$E$30,"")</f>
        <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2"/>
        <v>0</v>
      </c>
      <c r="CC38" s="1">
        <f t="shared" si="13"/>
        <v>0</v>
      </c>
      <c r="CD38" s="209" t="str">
        <f>IF(AND(C38="Skema 1",B38="ma"),Skemaoplysninger!$E$31,"")</f>
        <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t="str">
        <f t="shared" si="28"/>
        <v>Sommerferie</v>
      </c>
      <c r="DJ38" t="str">
        <f t="shared" si="29"/>
        <v/>
      </c>
      <c r="DK38" t="str">
        <f t="shared" si="14"/>
        <v/>
      </c>
      <c r="DL38" t="str">
        <f t="shared" si="14"/>
        <v>Sommerferie</v>
      </c>
      <c r="DM38" t="str">
        <f t="shared" si="14"/>
        <v/>
      </c>
      <c r="DN38" t="str">
        <f t="shared" si="30"/>
        <v>Sommerferie</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2"/>
        <v>0</v>
      </c>
      <c r="FT38" s="649">
        <f t="shared" si="33"/>
        <v>0</v>
      </c>
      <c r="FU38">
        <f t="shared" si="34"/>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to</v>
      </c>
      <c r="C39" s="128" t="s">
        <v>210</v>
      </c>
      <c r="D39" s="129" t="str">
        <f t="shared" si="1"/>
        <v/>
      </c>
      <c r="E39" s="964" t="s">
        <v>113</v>
      </c>
      <c r="F39" s="965"/>
      <c r="G39" s="966"/>
      <c r="H39" s="293"/>
      <c r="I39" s="519"/>
      <c r="J39" s="407"/>
      <c r="K39" s="374"/>
      <c r="L39" s="374"/>
      <c r="M39" s="374"/>
      <c r="N39" s="313">
        <f t="shared" si="19"/>
        <v>0</v>
      </c>
      <c r="O39" s="313">
        <f t="shared" si="20"/>
        <v>0</v>
      </c>
      <c r="P39" s="313">
        <f>IF(Stamoplysninger!$H$29="JA",Juli!DG39,CX39)</f>
        <v>0</v>
      </c>
      <c r="Q39" s="313">
        <f t="shared" si="21"/>
        <v>0</v>
      </c>
      <c r="R39" s="314"/>
      <c r="S39" s="319"/>
      <c r="T39" s="320"/>
      <c r="U39" s="213"/>
      <c r="V39" s="429"/>
      <c r="W39" s="406"/>
      <c r="X39" s="634"/>
      <c r="Y39">
        <f t="shared" si="22"/>
        <v>0</v>
      </c>
      <c r="Z39">
        <f t="shared" si="2"/>
        <v>0</v>
      </c>
      <c r="AA39" s="1">
        <f t="shared" si="3"/>
        <v>0</v>
      </c>
      <c r="AB39" s="1">
        <f t="shared" si="4"/>
        <v>0</v>
      </c>
      <c r="AC39" s="1">
        <f t="shared" si="5"/>
        <v>0</v>
      </c>
      <c r="AD39" s="1">
        <f t="shared" si="6"/>
        <v>0</v>
      </c>
      <c r="AE39" s="1">
        <f t="shared" si="7"/>
        <v>0</v>
      </c>
      <c r="AF39" s="1">
        <f>IF(C39="Orlov",7.4*Stamoplysninger!$E$15,0)</f>
        <v>0</v>
      </c>
      <c r="AG39" t="str">
        <f>IF(AND(C39="Skema 1",B39="ma"),Arbejdstidsoversigt!$E$72,"")</f>
        <v/>
      </c>
      <c r="AH39" t="str">
        <f>IF(AND(C39="Skema 1",B39="ti"),Arbejdstidsoversigt!$E$73,"")</f>
        <v/>
      </c>
      <c r="AI39" t="str">
        <f>IF(AND(C39="Skema 1",B39="on"),Arbejdstidsoversigt!$E$74,"")</f>
        <v/>
      </c>
      <c r="AJ39" t="str">
        <f>IF(AND(C39="Skema 1",B39="to"),Arbejdstidsoversigt!$E$75,"")</f>
        <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23"/>
        <v>0</v>
      </c>
      <c r="BB39" s="226">
        <f t="shared" si="8"/>
        <v>0</v>
      </c>
      <c r="BC39" s="1">
        <f t="shared" si="24"/>
        <v>0</v>
      </c>
      <c r="BD39" s="1">
        <f t="shared" si="9"/>
        <v>0</v>
      </c>
      <c r="BE39" s="1">
        <f t="shared" si="10"/>
        <v>0</v>
      </c>
      <c r="BF39" s="1">
        <f t="shared" si="11"/>
        <v>0</v>
      </c>
      <c r="BG39" s="209" t="str">
        <f>IF(AND(C39="Skema 1",B39="ma"),Skemaoplysninger!$E$30,"")</f>
        <v/>
      </c>
      <c r="BH39" s="209" t="str">
        <f>IF(AND(C39="Skema 1",B39="ti"),Skemaoplysninger!$G$30,"")</f>
        <v/>
      </c>
      <c r="BI39" s="209" t="str">
        <f>IF(AND(C39="Skema 1",B39="on"),Skemaoplysninger!$I$30,"")</f>
        <v/>
      </c>
      <c r="BJ39" s="209" t="str">
        <f>IF(AND(C39="Skema 1",B39="to"),Skemaoplysninger!$K$30,"")</f>
        <v/>
      </c>
      <c r="BK39" s="209" t="str">
        <f>IF(AND(C39="Skema 1",B39="fr"),Skemaoplysninger!$M$30,"")</f>
        <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2"/>
        <v>0</v>
      </c>
      <c r="CC39" s="1">
        <f t="shared" si="13"/>
        <v>0</v>
      </c>
      <c r="CD39" s="209" t="str">
        <f>IF(AND(C39="Skema 1",B39="ma"),Skemaoplysninger!$E$31,"")</f>
        <v/>
      </c>
      <c r="CE39" s="209" t="str">
        <f>IF(AND(C39="Skema 1",B39="ti"),Skemaoplysninger!$G$31,"")</f>
        <v/>
      </c>
      <c r="CF39" s="209" t="str">
        <f>IF(AND(C39="Skema 1",B39="on"),Skemaoplysninger!$I$31,"")</f>
        <v/>
      </c>
      <c r="CG39" s="209" t="str">
        <f>IF(AND(C39="Skema 1",B39="to"),Skemaoplysninger!$K$31,"")</f>
        <v/>
      </c>
      <c r="CH39" s="209" t="str">
        <f>IF(AND(C39="Skema 1",B39="fr"),Skemaoplysninger!$M$31,"")</f>
        <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 t="shared" si="27"/>
        <v/>
      </c>
      <c r="DI39" t="str">
        <f t="shared" si="28"/>
        <v>Sommerferie</v>
      </c>
      <c r="DJ39" t="str">
        <f t="shared" si="29"/>
        <v/>
      </c>
      <c r="DK39" t="str">
        <f>IF(DH39=0,"",DH39)</f>
        <v/>
      </c>
      <c r="DL39" t="str">
        <f>IF(DI39=0,"",DI39)</f>
        <v>Sommerferie</v>
      </c>
      <c r="DM39" t="str">
        <f>IF(DJ39=0,"",DJ39)</f>
        <v/>
      </c>
      <c r="DN39" t="str">
        <f t="shared" si="30"/>
        <v>Sommerferie</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2"/>
        <v>0</v>
      </c>
      <c r="FT39" s="649">
        <f t="shared" si="33"/>
        <v>0</v>
      </c>
      <c r="FU39">
        <f t="shared" si="34"/>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7" t="s">
        <v>260</v>
      </c>
      <c r="B40" s="988"/>
      <c r="C40" s="988"/>
      <c r="D40" s="988"/>
      <c r="E40" s="988"/>
      <c r="F40" s="988"/>
      <c r="G40" s="988"/>
      <c r="H40" s="988"/>
      <c r="I40" s="989"/>
      <c r="J40" s="308"/>
      <c r="K40" s="316"/>
      <c r="L40" s="316"/>
      <c r="M40" s="316"/>
      <c r="N40" s="317">
        <f>SUM(N9:N39)</f>
        <v>0</v>
      </c>
      <c r="O40" s="317">
        <f>SUM(O9:O39)</f>
        <v>0</v>
      </c>
      <c r="P40" s="317">
        <f>SUM(P9:P39)</f>
        <v>0</v>
      </c>
      <c r="Q40" s="317">
        <f>SUM(Q9:Q39)</f>
        <v>0</v>
      </c>
      <c r="R40" s="318">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35">SUM(AA9:AA39)</f>
        <v>0</v>
      </c>
      <c r="AB40" s="231">
        <f t="shared" si="35"/>
        <v>0</v>
      </c>
      <c r="AC40" s="231">
        <f t="shared" si="35"/>
        <v>0</v>
      </c>
      <c r="AD40" s="231">
        <f t="shared" si="35"/>
        <v>0</v>
      </c>
      <c r="AE40" s="231">
        <f t="shared" si="35"/>
        <v>0</v>
      </c>
      <c r="AF40" s="231">
        <f t="shared" si="35"/>
        <v>0</v>
      </c>
      <c r="BA40" s="1">
        <f>SUM(BA9:BA39)</f>
        <v>0</v>
      </c>
      <c r="BB40" s="111"/>
      <c r="BC40" s="231">
        <f>SUM(BC9:BC39)</f>
        <v>0</v>
      </c>
      <c r="BD40" s="231">
        <f>SUM(BD9:BD39)</f>
        <v>0</v>
      </c>
      <c r="BE40" s="231">
        <f>SUM(BE9:BE39)</f>
        <v>0</v>
      </c>
      <c r="BF40" s="231">
        <f>SUM(BF9:BF39)</f>
        <v>0</v>
      </c>
      <c r="CA40" s="231">
        <f>SUM(CA9:CA39)</f>
        <v>0</v>
      </c>
      <c r="CB40" s="231">
        <f>SUM(CB9:CB39)</f>
        <v>0</v>
      </c>
      <c r="CC40" s="231">
        <f>SUM(CC9:CC39)</f>
        <v>0</v>
      </c>
      <c r="CX40" s="245"/>
      <c r="CY40" s="245">
        <f t="shared" ref="CY40:DG40" si="36">SUM(CY9:CY39)</f>
        <v>0</v>
      </c>
      <c r="CZ40" s="245">
        <f t="shared" si="36"/>
        <v>0</v>
      </c>
      <c r="DA40" s="245">
        <f t="shared" si="36"/>
        <v>0</v>
      </c>
      <c r="DB40" s="245">
        <f t="shared" si="36"/>
        <v>0</v>
      </c>
      <c r="DC40" s="245">
        <f t="shared" si="36"/>
        <v>0</v>
      </c>
      <c r="DD40" s="245">
        <f t="shared" si="36"/>
        <v>0</v>
      </c>
      <c r="DE40" s="245">
        <f t="shared" si="36"/>
        <v>0</v>
      </c>
      <c r="DF40" s="245">
        <f t="shared" si="36"/>
        <v>0</v>
      </c>
      <c r="DG40" s="245">
        <f t="shared" si="36"/>
        <v>0</v>
      </c>
      <c r="DO40" s="660">
        <f>SUM(DO9:DO39)</f>
        <v>0</v>
      </c>
      <c r="DP40" s="661">
        <f t="shared" ref="DP40:GC40" si="37">SUM(DP9:DP39)</f>
        <v>0</v>
      </c>
      <c r="DQ40" s="661">
        <f t="shared" si="37"/>
        <v>0</v>
      </c>
      <c r="DR40" s="661">
        <f t="shared" si="37"/>
        <v>0</v>
      </c>
      <c r="DS40" s="664">
        <f t="shared" si="37"/>
        <v>0</v>
      </c>
      <c r="DT40" s="664">
        <f t="shared" si="37"/>
        <v>0</v>
      </c>
      <c r="DU40" s="661">
        <f t="shared" si="37"/>
        <v>0</v>
      </c>
      <c r="DV40" s="664">
        <f t="shared" si="37"/>
        <v>0</v>
      </c>
      <c r="DW40" s="660">
        <f t="shared" ref="DW40:EB40" si="38">SUM(DW9:DW39)</f>
        <v>0</v>
      </c>
      <c r="DX40" s="661">
        <f t="shared" si="38"/>
        <v>0</v>
      </c>
      <c r="DY40" s="661">
        <f t="shared" si="38"/>
        <v>0</v>
      </c>
      <c r="DZ40" s="664">
        <f t="shared" si="38"/>
        <v>0</v>
      </c>
      <c r="EA40" s="664">
        <f t="shared" si="38"/>
        <v>0</v>
      </c>
      <c r="EB40" s="664">
        <f t="shared" si="38"/>
        <v>0</v>
      </c>
      <c r="EC40" s="661">
        <f t="shared" si="37"/>
        <v>0</v>
      </c>
      <c r="ED40" s="661">
        <f t="shared" si="37"/>
        <v>0</v>
      </c>
      <c r="EE40" s="661">
        <f t="shared" si="37"/>
        <v>0</v>
      </c>
      <c r="EF40" s="661">
        <f t="shared" si="37"/>
        <v>0</v>
      </c>
      <c r="EG40" s="664">
        <f t="shared" si="37"/>
        <v>0</v>
      </c>
      <c r="EH40" s="664">
        <f t="shared" si="37"/>
        <v>0</v>
      </c>
      <c r="EI40" s="664">
        <f t="shared" si="37"/>
        <v>0</v>
      </c>
      <c r="EJ40" s="664">
        <f t="shared" si="37"/>
        <v>0</v>
      </c>
      <c r="EK40" s="661">
        <f t="shared" si="37"/>
        <v>0</v>
      </c>
      <c r="EL40" s="661">
        <f t="shared" si="37"/>
        <v>0</v>
      </c>
      <c r="EM40" s="664">
        <f t="shared" si="37"/>
        <v>0</v>
      </c>
      <c r="EN40" s="664">
        <f t="shared" si="37"/>
        <v>0</v>
      </c>
      <c r="EO40" s="661">
        <f t="shared" si="37"/>
        <v>0</v>
      </c>
      <c r="EP40" s="661">
        <f t="shared" si="37"/>
        <v>0</v>
      </c>
      <c r="EQ40" s="664">
        <f t="shared" si="37"/>
        <v>0</v>
      </c>
      <c r="ER40" s="667">
        <f t="shared" si="37"/>
        <v>0</v>
      </c>
      <c r="ES40" s="661">
        <f t="shared" si="37"/>
        <v>0</v>
      </c>
      <c r="ET40" s="661">
        <f t="shared" si="37"/>
        <v>0</v>
      </c>
      <c r="EU40" s="664">
        <f t="shared" si="37"/>
        <v>0</v>
      </c>
      <c r="EV40" s="667">
        <f t="shared" si="37"/>
        <v>0</v>
      </c>
      <c r="EW40" s="661">
        <f t="shared" si="37"/>
        <v>0</v>
      </c>
      <c r="EX40" s="661">
        <f t="shared" si="37"/>
        <v>0</v>
      </c>
      <c r="EY40" s="664">
        <f t="shared" si="37"/>
        <v>0</v>
      </c>
      <c r="EZ40" s="667">
        <f t="shared" si="37"/>
        <v>0</v>
      </c>
      <c r="FA40" s="661">
        <f t="shared" si="37"/>
        <v>0</v>
      </c>
      <c r="FB40" s="661">
        <f t="shared" si="37"/>
        <v>0</v>
      </c>
      <c r="FC40" s="664">
        <f t="shared" si="37"/>
        <v>0</v>
      </c>
      <c r="FD40" s="667">
        <f t="shared" si="37"/>
        <v>0</v>
      </c>
      <c r="FE40" s="661">
        <f t="shared" si="37"/>
        <v>0</v>
      </c>
      <c r="FF40" s="661">
        <f t="shared" si="37"/>
        <v>0</v>
      </c>
      <c r="FG40" s="664">
        <f t="shared" si="37"/>
        <v>0</v>
      </c>
      <c r="FH40" s="667">
        <f t="shared" si="37"/>
        <v>0</v>
      </c>
      <c r="FI40" s="676">
        <f t="shared" si="37"/>
        <v>0</v>
      </c>
      <c r="FJ40" s="661">
        <f t="shared" si="37"/>
        <v>0</v>
      </c>
      <c r="FK40" s="676">
        <f t="shared" si="37"/>
        <v>0</v>
      </c>
      <c r="FL40" s="664">
        <f t="shared" si="37"/>
        <v>0</v>
      </c>
      <c r="FM40" s="676">
        <f t="shared" si="37"/>
        <v>0</v>
      </c>
      <c r="FN40" s="676">
        <f t="shared" si="37"/>
        <v>0</v>
      </c>
      <c r="FO40" s="676">
        <f t="shared" si="37"/>
        <v>0</v>
      </c>
      <c r="FP40" s="661">
        <f t="shared" si="37"/>
        <v>0</v>
      </c>
      <c r="FQ40" s="676">
        <f t="shared" si="37"/>
        <v>0</v>
      </c>
      <c r="FR40" s="667">
        <f t="shared" si="37"/>
        <v>0</v>
      </c>
      <c r="FS40" s="680">
        <f t="shared" si="37"/>
        <v>0</v>
      </c>
      <c r="FT40" s="681">
        <f t="shared" si="37"/>
        <v>0</v>
      </c>
      <c r="FU40" s="681">
        <f t="shared" si="37"/>
        <v>0</v>
      </c>
      <c r="FV40" s="680">
        <f>SUM(FV9:FV39)</f>
        <v>0</v>
      </c>
      <c r="FW40" s="681">
        <f t="shared" si="37"/>
        <v>0</v>
      </c>
      <c r="FX40" s="680">
        <f t="shared" si="37"/>
        <v>0</v>
      </c>
      <c r="FY40" s="681">
        <f t="shared" si="37"/>
        <v>0</v>
      </c>
      <c r="FZ40" s="676">
        <f t="shared" si="37"/>
        <v>0</v>
      </c>
      <c r="GA40" s="676">
        <f t="shared" si="37"/>
        <v>0</v>
      </c>
      <c r="GB40" s="676">
        <f t="shared" si="37"/>
        <v>0</v>
      </c>
      <c r="GC40" s="676">
        <f t="shared" si="37"/>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31"/>
      <c r="AB41" s="210"/>
      <c r="AC41" s="210"/>
      <c r="AD41" s="231"/>
      <c r="AE41" s="231"/>
      <c r="AG41" s="231"/>
      <c r="BC41" s="231"/>
      <c r="BD41" s="231"/>
      <c r="BE41" s="231"/>
      <c r="BF41" s="231"/>
      <c r="BG41" s="111"/>
      <c r="CB41" s="231"/>
      <c r="CC41" s="231"/>
      <c r="CD41" s="111"/>
      <c r="CX41" s="244"/>
      <c r="CZ41"/>
    </row>
    <row r="42" spans="1:185" ht="70" customHeight="1">
      <c r="A42" s="973" t="str">
        <f>"Arbejdstid for "&amp;A7&amp;" måned:"</f>
        <v>Arbejdstid for Juli måned:</v>
      </c>
      <c r="B42" s="974"/>
      <c r="C42" s="974"/>
      <c r="D42" s="974"/>
      <c r="E42" s="974"/>
      <c r="F42" s="974"/>
      <c r="G42" s="974"/>
      <c r="H42" s="325" t="s">
        <v>255</v>
      </c>
      <c r="I42" s="974" t="s">
        <v>221</v>
      </c>
      <c r="J42" s="975"/>
      <c r="K42" s="976"/>
      <c r="L42" s="258"/>
      <c r="M42" s="1026" t="str">
        <f>"Ulempetimer og weekendtimer i "&amp;A5&amp;""</f>
        <v>Ulempetimer og weekendtimer i Juli måneds kalender for: . Måneden vedr. normperioden:  - .</v>
      </c>
      <c r="N42" s="1004"/>
      <c r="O42" s="1004"/>
      <c r="P42" s="1004"/>
      <c r="Q42" s="1004"/>
      <c r="R42" s="1004"/>
      <c r="S42" s="1004"/>
      <c r="T42" s="1004"/>
      <c r="U42" s="1004"/>
      <c r="V42" s="1004"/>
      <c r="W42" s="1004"/>
      <c r="X42" s="1005"/>
      <c r="Y42" s="235"/>
      <c r="Z42" s="235"/>
      <c r="AD42" s="89"/>
      <c r="AE42" s="89"/>
      <c r="BM42" s="1"/>
      <c r="CJ42" s="1"/>
      <c r="CU42" s="244"/>
      <c r="CV42" s="244"/>
      <c r="CY42"/>
      <c r="CZ42"/>
    </row>
    <row r="43" spans="1:185">
      <c r="A43" s="977" t="s">
        <v>528</v>
      </c>
      <c r="B43" s="978"/>
      <c r="C43" s="978"/>
      <c r="D43" s="978"/>
      <c r="E43" s="978"/>
      <c r="F43" s="978"/>
      <c r="G43" s="978"/>
      <c r="H43" s="252">
        <f>D78</f>
        <v>23</v>
      </c>
      <c r="I43" s="990">
        <f>IF(Stamoplysninger!$E$12="Ja",1924/Arbejdstidsoversigt!$K$9*Stamoplysninger!$E$15*H43,H43*7.4*Stamoplysninger!$E$15)</f>
        <v>169.54789272030652</v>
      </c>
      <c r="J43" s="991"/>
      <c r="K43" s="992"/>
      <c r="L43" s="254"/>
      <c r="M43" s="1027" t="s">
        <v>496</v>
      </c>
      <c r="N43" s="1028"/>
      <c r="O43" s="1028"/>
      <c r="P43" s="1028"/>
      <c r="Q43" s="1028"/>
      <c r="R43" s="1028"/>
      <c r="S43" s="1028"/>
      <c r="T43" s="1028"/>
      <c r="U43" s="1029"/>
      <c r="V43" s="1108">
        <f>P65+P69+P72+P74</f>
        <v>0</v>
      </c>
      <c r="W43" s="1108"/>
      <c r="X43" s="1109"/>
      <c r="Y43" s="235"/>
      <c r="Z43" s="235"/>
      <c r="AD43" s="89"/>
      <c r="AE43" s="89"/>
      <c r="BM43" s="1"/>
      <c r="CJ43" s="1"/>
      <c r="CU43" s="244"/>
      <c r="CV43" s="244"/>
      <c r="CY43"/>
      <c r="CZ43"/>
    </row>
    <row r="44" spans="1:185">
      <c r="A44" s="977" t="str">
        <f>"Ferie "&amp;A7&amp;" måned"</f>
        <v>Ferie Juli måned</v>
      </c>
      <c r="B44" s="978"/>
      <c r="C44" s="978"/>
      <c r="D44" s="978"/>
      <c r="E44" s="978"/>
      <c r="F44" s="978"/>
      <c r="G44" s="978"/>
      <c r="H44" s="253">
        <f>IF(D73&gt;0,$D$73,"0")</f>
        <v>18</v>
      </c>
      <c r="I44" s="979">
        <f>H44*7.4*Stamoplysninger!$E$15</f>
        <v>133.20000000000002</v>
      </c>
      <c r="J44" s="980"/>
      <c r="K44" s="981"/>
      <c r="L44" s="254"/>
      <c r="M44" s="1033" t="s">
        <v>259</v>
      </c>
      <c r="N44" s="1034"/>
      <c r="O44" s="1034"/>
      <c r="P44" s="1034"/>
      <c r="Q44" s="1034"/>
      <c r="R44" s="1034"/>
      <c r="S44" s="1034"/>
      <c r="T44" s="1034"/>
      <c r="U44" s="1035"/>
      <c r="V44" s="1110">
        <f>Q66+Q68+Q71+Q73</f>
        <v>0</v>
      </c>
      <c r="W44" s="1110"/>
      <c r="X44" s="1111"/>
      <c r="Y44" s="235"/>
      <c r="Z44" s="235"/>
      <c r="AD44" s="89"/>
      <c r="AE44" s="89"/>
      <c r="BM44" s="1"/>
      <c r="CJ44" s="1"/>
      <c r="CU44" s="244"/>
      <c r="CV44" s="244"/>
      <c r="CY44"/>
      <c r="CZ44"/>
    </row>
    <row r="45" spans="1:185">
      <c r="A45" s="977" t="str">
        <f>"Søgnehelligdage i "&amp;A7&amp;" måned"</f>
        <v>Søgnehelligdage i Juli måned</v>
      </c>
      <c r="B45" s="978"/>
      <c r="C45" s="978"/>
      <c r="D45" s="978"/>
      <c r="E45" s="978"/>
      <c r="F45" s="978"/>
      <c r="G45" s="978"/>
      <c r="H45" s="253">
        <f>IF(D72&gt;0,D72,0)</f>
        <v>0</v>
      </c>
      <c r="I45" s="979">
        <f>H45*7.4*Stamoplysninger!$E$15</f>
        <v>0</v>
      </c>
      <c r="J45" s="980"/>
      <c r="K45" s="981"/>
      <c r="L45" s="255"/>
      <c r="M45" s="1143" t="s">
        <v>295</v>
      </c>
      <c r="N45" s="1144"/>
      <c r="O45" s="1144"/>
      <c r="P45" s="1144"/>
      <c r="Q45" s="1144"/>
      <c r="R45" s="1144"/>
      <c r="S45" s="1144"/>
      <c r="T45" s="1144"/>
      <c r="U45" s="1145"/>
      <c r="V45" s="1148">
        <f>Juni!V52</f>
        <v>0</v>
      </c>
      <c r="W45" s="1149"/>
      <c r="X45" s="1152"/>
      <c r="Y45" s="235"/>
      <c r="Z45" s="235"/>
      <c r="AD45" s="89"/>
      <c r="AE45" s="89"/>
      <c r="BM45" s="1"/>
      <c r="CJ45" s="1"/>
      <c r="CU45" s="244"/>
      <c r="CV45" s="244"/>
      <c r="CY45"/>
      <c r="CZ45"/>
    </row>
    <row r="46" spans="1:185">
      <c r="A46" s="977" t="str">
        <f>"Nettoarbejdstid ialt i "&amp;A7&amp;" måned"</f>
        <v>Nettoarbejdstid ialt i Juli måned</v>
      </c>
      <c r="B46" s="978"/>
      <c r="C46" s="978"/>
      <c r="D46" s="978"/>
      <c r="E46" s="978"/>
      <c r="F46" s="978"/>
      <c r="G46" s="978"/>
      <c r="H46" s="256">
        <f>H43-H44-H45</f>
        <v>5</v>
      </c>
      <c r="I46" s="979">
        <f>I43-I44-I45</f>
        <v>36.347892720306504</v>
      </c>
      <c r="J46" s="980"/>
      <c r="K46" s="981"/>
      <c r="L46" s="381"/>
      <c r="M46" s="1041" t="s">
        <v>301</v>
      </c>
      <c r="N46" s="1042"/>
      <c r="O46" s="1042"/>
      <c r="P46" s="1042"/>
      <c r="Q46" s="1042"/>
      <c r="R46" s="1042"/>
      <c r="S46" s="1042"/>
      <c r="T46" s="1042"/>
      <c r="U46" s="1043"/>
      <c r="V46" s="1044">
        <f>SUM(V44:X45)</f>
        <v>0</v>
      </c>
      <c r="W46" s="1045"/>
      <c r="X46" s="1046"/>
      <c r="Y46" s="235"/>
      <c r="Z46" s="235"/>
      <c r="AD46" s="89"/>
      <c r="AE46" s="89"/>
      <c r="BM46" s="1"/>
      <c r="CJ46" s="1"/>
      <c r="CU46" s="244"/>
      <c r="CV46" s="244"/>
      <c r="CY46"/>
      <c r="CZ46"/>
    </row>
    <row r="47" spans="1:185">
      <c r="A47" s="993" t="str">
        <f>"Planlagt arbejdstid efter ovennstående "&amp;A7&amp;" måned kalender"</f>
        <v>Planlagt arbejdstid efter ovennstående Juli måned kalender</v>
      </c>
      <c r="B47" s="994"/>
      <c r="C47" s="994"/>
      <c r="D47" s="994"/>
      <c r="E47" s="994"/>
      <c r="F47" s="994"/>
      <c r="G47" s="994"/>
      <c r="H47" s="468">
        <f>D64+D65+D66+D67+D68+D69+D70</f>
        <v>0</v>
      </c>
      <c r="I47" s="995">
        <f>N40+R40+V106</f>
        <v>0</v>
      </c>
      <c r="J47" s="996"/>
      <c r="K47" s="997"/>
      <c r="L47" s="381"/>
      <c r="M47" s="1053" t="s">
        <v>293</v>
      </c>
      <c r="N47" s="1054"/>
      <c r="O47" s="1054"/>
      <c r="P47" s="1054"/>
      <c r="Q47" s="1054"/>
      <c r="R47" s="1054"/>
      <c r="S47" s="1054"/>
      <c r="T47" s="1054"/>
      <c r="U47" s="1054"/>
      <c r="V47" s="1054"/>
      <c r="W47" s="1054"/>
      <c r="X47" s="1055"/>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1056" t="s">
        <v>462</v>
      </c>
      <c r="N48" s="1057"/>
      <c r="O48" s="1057"/>
      <c r="P48" s="1057"/>
      <c r="Q48" s="1057"/>
      <c r="R48" s="1057"/>
      <c r="S48" s="1057"/>
      <c r="T48" s="1057"/>
      <c r="U48" s="1058"/>
      <c r="V48" s="1059" t="s">
        <v>221</v>
      </c>
      <c r="W48" s="1060"/>
      <c r="X48" s="1061"/>
      <c r="Y48" s="235"/>
      <c r="Z48" s="235"/>
      <c r="AD48" s="89"/>
      <c r="AE48" s="89"/>
      <c r="BM48" s="1"/>
      <c r="CJ48" s="1"/>
      <c r="CU48" s="244"/>
      <c r="CV48" s="244"/>
      <c r="CY48"/>
      <c r="CZ48"/>
    </row>
    <row r="49" spans="1:110">
      <c r="A49" s="1020" t="str">
        <f>"Arbejde særligt planlagt for "&amp;A7&amp;" måned efter fanen skemaoplysninger"</f>
        <v>Arbejde særligt planlagt for Juli måned efter fanen skemaoplysninger</v>
      </c>
      <c r="B49" s="1021"/>
      <c r="C49" s="1021"/>
      <c r="D49" s="1021"/>
      <c r="E49" s="1021"/>
      <c r="F49" s="1021"/>
      <c r="G49" s="1021"/>
      <c r="H49" s="1022"/>
      <c r="I49" s="996">
        <f>Skemaoplysninger!V91</f>
        <v>0</v>
      </c>
      <c r="J49" s="1018"/>
      <c r="K49" s="1019"/>
      <c r="L49" s="237"/>
      <c r="M49" s="882"/>
      <c r="N49" s="883"/>
      <c r="O49" s="883"/>
      <c r="P49" s="883"/>
      <c r="Q49" s="883"/>
      <c r="R49" s="883"/>
      <c r="S49" s="883"/>
      <c r="T49" s="883"/>
      <c r="U49" s="884"/>
      <c r="V49" s="1062"/>
      <c r="W49" s="1062"/>
      <c r="X49" s="1063"/>
      <c r="Y49"/>
      <c r="Z49" s="235"/>
      <c r="AA49" s="235"/>
      <c r="AG49" s="89"/>
      <c r="AH49" s="89"/>
      <c r="BA49" s="235"/>
      <c r="BO49" s="1"/>
      <c r="CL49" s="1"/>
      <c r="CV49" s="244"/>
      <c r="CW49" s="244"/>
      <c r="CY49"/>
      <c r="CZ49"/>
    </row>
    <row r="50" spans="1:110">
      <c r="A50" s="982" t="s">
        <v>291</v>
      </c>
      <c r="B50" s="983"/>
      <c r="C50" s="983"/>
      <c r="D50" s="983"/>
      <c r="E50" s="983"/>
      <c r="F50" s="983"/>
      <c r="G50" s="983"/>
      <c r="H50" s="983"/>
      <c r="I50" s="984">
        <f>V40+X40-FA40+V106</f>
        <v>0</v>
      </c>
      <c r="J50" s="985"/>
      <c r="K50" s="986"/>
      <c r="L50" s="237"/>
      <c r="M50" s="882"/>
      <c r="N50" s="883"/>
      <c r="O50" s="883"/>
      <c r="P50" s="883"/>
      <c r="Q50" s="883"/>
      <c r="R50" s="883"/>
      <c r="S50" s="883"/>
      <c r="T50" s="883"/>
      <c r="U50" s="884"/>
      <c r="V50" s="885"/>
      <c r="W50" s="886"/>
      <c r="X50" s="887"/>
      <c r="Y50"/>
      <c r="Z50" s="235"/>
      <c r="AA50" s="235"/>
      <c r="AE50" s="89"/>
      <c r="AF50" s="243"/>
      <c r="AG50" s="89"/>
      <c r="BN50" s="1"/>
      <c r="CK50" s="1"/>
      <c r="CV50" s="244"/>
      <c r="CW50" s="244"/>
      <c r="CY50"/>
      <c r="CZ50"/>
    </row>
    <row r="51" spans="1:110" ht="17" thickBot="1">
      <c r="A51" s="257" t="str">
        <f>"Faktisk arbejdstid ialt i "&amp;A7&amp;" måned"</f>
        <v>Faktisk arbejdstid ialt i Juli måned</v>
      </c>
      <c r="B51" s="309"/>
      <c r="C51" s="310"/>
      <c r="D51" s="310"/>
      <c r="E51" s="310"/>
      <c r="F51" s="310"/>
      <c r="G51" s="310"/>
      <c r="H51" s="311"/>
      <c r="I51" s="1023">
        <f>I47+I50+I49+I48</f>
        <v>0</v>
      </c>
      <c r="J51" s="1024"/>
      <c r="K51" s="1025"/>
      <c r="L51" s="330"/>
      <c r="M51" s="882"/>
      <c r="N51" s="883"/>
      <c r="O51" s="883"/>
      <c r="P51" s="883"/>
      <c r="Q51" s="883"/>
      <c r="R51" s="883"/>
      <c r="S51" s="883"/>
      <c r="T51" s="883"/>
      <c r="U51" s="884"/>
      <c r="V51" s="885"/>
      <c r="W51" s="886"/>
      <c r="X51" s="887"/>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882"/>
      <c r="N52" s="883"/>
      <c r="O52" s="883"/>
      <c r="P52" s="883"/>
      <c r="Q52" s="883"/>
      <c r="R52" s="883"/>
      <c r="S52" s="883"/>
      <c r="T52" s="883"/>
      <c r="U52" s="884"/>
      <c r="V52" s="885"/>
      <c r="W52" s="886"/>
      <c r="X52" s="887"/>
      <c r="Y52" s="235"/>
      <c r="Z52" s="235"/>
      <c r="AA52" s="235"/>
      <c r="AB52" s="235"/>
      <c r="AC52" s="213"/>
      <c r="AD52" s="243"/>
      <c r="AE52" s="243"/>
      <c r="AF52" s="243"/>
      <c r="AG52" s="243"/>
      <c r="AH52" s="235"/>
      <c r="AJ52" s="235"/>
      <c r="AK52" s="235"/>
      <c r="AO52" s="89"/>
      <c r="AP52" s="89"/>
      <c r="BW52" s="1"/>
      <c r="CT52" s="1"/>
      <c r="CY52"/>
      <c r="CZ52"/>
      <c r="DE52" s="244"/>
      <c r="DF52" s="244"/>
    </row>
    <row r="53" spans="1:110" ht="26" thickBot="1">
      <c r="A53" s="973" t="s">
        <v>478</v>
      </c>
      <c r="B53" s="974"/>
      <c r="C53" s="974"/>
      <c r="D53" s="974"/>
      <c r="E53" s="974"/>
      <c r="F53" s="974"/>
      <c r="G53" s="974"/>
      <c r="H53" s="698" t="s">
        <v>669</v>
      </c>
      <c r="I53" s="974" t="s">
        <v>477</v>
      </c>
      <c r="J53" s="974"/>
      <c r="K53" s="976"/>
      <c r="L53" s="492"/>
      <c r="M53" s="1047" t="s">
        <v>294</v>
      </c>
      <c r="N53" s="1048"/>
      <c r="O53" s="1048"/>
      <c r="P53" s="1048"/>
      <c r="Q53" s="1048"/>
      <c r="R53" s="1048"/>
      <c r="S53" s="1048"/>
      <c r="T53" s="1048"/>
      <c r="U53" s="1049"/>
      <c r="V53" s="1096">
        <f>V46-SUM(V49:X52)</f>
        <v>0</v>
      </c>
      <c r="W53" s="1097"/>
      <c r="X53" s="1098"/>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08"/>
      <c r="B54" s="1009"/>
      <c r="C54" s="1009"/>
      <c r="D54" s="1009"/>
      <c r="E54" s="1009"/>
      <c r="F54" s="1009"/>
      <c r="G54" s="1009"/>
      <c r="H54" s="597">
        <f>Juni!H61</f>
        <v>0</v>
      </c>
      <c r="I54" s="1099">
        <f>Juni!I61</f>
        <v>0</v>
      </c>
      <c r="J54" s="1099"/>
      <c r="K54" s="1100"/>
      <c r="L54" s="492"/>
      <c r="M54" s="515"/>
      <c r="N54" s="515"/>
      <c r="O54" s="515"/>
      <c r="P54" s="515"/>
      <c r="Q54" s="516"/>
      <c r="R54" s="517"/>
      <c r="S54" s="517"/>
      <c r="T54" s="517"/>
      <c r="U54" s="517"/>
      <c r="V54" s="515"/>
      <c r="W54" s="518"/>
      <c r="X54" s="515"/>
      <c r="Y54" s="235"/>
      <c r="Z54" s="235"/>
      <c r="AA54" s="235"/>
      <c r="AB54" s="235"/>
      <c r="AC54" s="213"/>
      <c r="AD54" s="243"/>
      <c r="AE54" s="243"/>
      <c r="AF54" s="243"/>
      <c r="AG54" s="243"/>
      <c r="AH54" s="235"/>
      <c r="AJ54" s="235"/>
      <c r="AK54" s="235"/>
      <c r="AO54" s="89"/>
      <c r="AP54" s="89"/>
      <c r="BW54" s="1"/>
      <c r="CT54" s="1"/>
      <c r="CY54"/>
      <c r="CZ54"/>
      <c r="DE54" s="244"/>
      <c r="DF54" s="244"/>
    </row>
    <row r="55" spans="1:110" ht="16" customHeight="1">
      <c r="A55" s="1084" t="s">
        <v>481</v>
      </c>
      <c r="B55" s="1085"/>
      <c r="C55" s="1085"/>
      <c r="D55" s="1085"/>
      <c r="E55" s="1085"/>
      <c r="F55" s="1085"/>
      <c r="G55" s="1086"/>
      <c r="H55" s="595"/>
      <c r="I55" s="1087"/>
      <c r="J55" s="1088"/>
      <c r="K55" s="1089"/>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7" customHeight="1">
      <c r="A56" s="879" t="s">
        <v>670</v>
      </c>
      <c r="B56" s="880"/>
      <c r="C56" s="880"/>
      <c r="D56" s="880"/>
      <c r="E56" s="880"/>
      <c r="F56" s="880"/>
      <c r="G56" s="880"/>
      <c r="H56" s="880"/>
      <c r="I56" s="880"/>
      <c r="J56" s="880"/>
      <c r="K56" s="881"/>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10" t="s">
        <v>671</v>
      </c>
      <c r="B57" s="1011"/>
      <c r="C57" s="913" t="s">
        <v>509</v>
      </c>
      <c r="D57" s="914"/>
      <c r="E57" s="915" t="s">
        <v>510</v>
      </c>
      <c r="F57" s="880"/>
      <c r="G57" s="916"/>
      <c r="H57" s="925" t="s">
        <v>479</v>
      </c>
      <c r="I57" s="925"/>
      <c r="J57" s="925"/>
      <c r="K57" s="92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917"/>
      <c r="B58" s="918"/>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919"/>
      <c r="B60" s="920"/>
      <c r="C60" s="921"/>
      <c r="D60" s="920"/>
      <c r="E60" s="922"/>
      <c r="F60" s="923"/>
      <c r="G60" s="924"/>
      <c r="H60" s="596"/>
      <c r="I60" s="911"/>
      <c r="J60" s="911"/>
      <c r="K60" s="912"/>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919"/>
      <c r="B61" s="920"/>
      <c r="C61" s="921"/>
      <c r="D61" s="920"/>
      <c r="E61" s="922"/>
      <c r="F61" s="923"/>
      <c r="G61" s="924"/>
      <c r="H61" s="596"/>
      <c r="I61" s="911"/>
      <c r="J61" s="911"/>
      <c r="K61" s="912"/>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7" thickBot="1">
      <c r="A62" s="908" t="s">
        <v>480</v>
      </c>
      <c r="B62" s="909"/>
      <c r="C62" s="910"/>
      <c r="D62" s="910"/>
      <c r="E62" s="910"/>
      <c r="F62" s="910"/>
      <c r="G62" s="910"/>
      <c r="H62" s="598">
        <f>H55+H54-SUM(H58:H61)</f>
        <v>0</v>
      </c>
      <c r="I62" s="927">
        <f>I54+I55-SUM(I58:K61)</f>
        <v>0</v>
      </c>
      <c r="J62" s="928"/>
      <c r="K62" s="9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idden="1">
      <c r="A63" s="434"/>
      <c r="B63" s="434"/>
      <c r="C63" s="434"/>
      <c r="D63" s="434"/>
      <c r="E63" s="434"/>
      <c r="F63" s="434"/>
      <c r="G63" s="434"/>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122" t="s">
        <v>206</v>
      </c>
      <c r="B64" s="122"/>
      <c r="C64" s="122"/>
      <c r="D64" s="122">
        <f>COUNTIF([0]!Juli,"Skema 1")</f>
        <v>0</v>
      </c>
      <c r="E64" s="389"/>
      <c r="F64" s="122" t="s">
        <v>186</v>
      </c>
      <c r="G64" s="122">
        <f>COUNTIFS($B$9:$B$39,"ma",[0]!Juli,"Skema 1")</f>
        <v>0</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09" hidden="1">
      <c r="A65" s="1128" t="s">
        <v>207</v>
      </c>
      <c r="B65" s="1128"/>
      <c r="C65" s="1128"/>
      <c r="D65" s="490">
        <f>COUNTIF([0]!Juli,"Skema 2")</f>
        <v>0</v>
      </c>
      <c r="E65" s="491"/>
      <c r="F65" s="490" t="s">
        <v>187</v>
      </c>
      <c r="G65" s="490">
        <f>COUNTIFS($B$9:$B$39,"ti",[0]!Juli,"Skema 1")</f>
        <v>0</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09" hidden="1">
      <c r="A66" s="1128" t="s">
        <v>208</v>
      </c>
      <c r="B66" s="1128"/>
      <c r="C66" s="1128"/>
      <c r="D66" s="490">
        <f>COUNTIF([0]!Juli,"Skema 3")</f>
        <v>0</v>
      </c>
      <c r="E66" s="491"/>
      <c r="F66" s="490" t="s">
        <v>188</v>
      </c>
      <c r="G66" s="490">
        <f>COUNTIFS($B$9:$B$39,"on",[0]!Juli,"Skema 1")</f>
        <v>0</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Y66"/>
      <c r="Z66"/>
      <c r="AA66" s="89"/>
      <c r="AB66" s="89"/>
      <c r="BI66" s="1"/>
      <c r="CF66" s="1"/>
      <c r="CQ66" s="244"/>
      <c r="CR66" s="244"/>
      <c r="CY66"/>
      <c r="CZ66"/>
    </row>
    <row r="67" spans="1:109" hidden="1">
      <c r="A67" s="1128" t="s">
        <v>209</v>
      </c>
      <c r="B67" s="1128"/>
      <c r="C67" s="1128"/>
      <c r="D67" s="490">
        <f>COUNTIF([0]!Juli,"Skema 4")</f>
        <v>0</v>
      </c>
      <c r="E67" s="491"/>
      <c r="F67" s="490" t="s">
        <v>190</v>
      </c>
      <c r="G67" s="490">
        <f>COUNTIFS($B$9:$B$39,"to",[0]!Juli,"Skema 1")</f>
        <v>0</v>
      </c>
      <c r="H67" s="490"/>
      <c r="I67" s="668" t="s">
        <v>591</v>
      </c>
      <c r="J67" s="650"/>
      <c r="K67" s="503"/>
      <c r="L67" s="653"/>
      <c r="M67" s="656"/>
      <c r="N67" s="656"/>
      <c r="O67" s="4"/>
      <c r="P67" s="669"/>
      <c r="Q67" s="671"/>
      <c r="R67" s="227"/>
      <c r="S67" s="227"/>
      <c r="T67" s="227"/>
      <c r="U67" s="227"/>
      <c r="V67" s="227"/>
      <c r="W67" s="117"/>
      <c r="X67" s="117"/>
      <c r="Y67" s="235"/>
      <c r="Z67" s="235"/>
      <c r="AA67" s="235"/>
      <c r="AB67" s="213"/>
      <c r="AC67" s="243"/>
      <c r="AD67" s="243"/>
      <c r="AE67" s="243"/>
      <c r="AF67" s="213"/>
      <c r="AG67" s="235"/>
      <c r="AI67" s="235"/>
      <c r="AJ67" s="235"/>
      <c r="AN67" s="89"/>
      <c r="AO67" s="89"/>
      <c r="BV67" s="1"/>
      <c r="CS67" s="1"/>
      <c r="CY67"/>
      <c r="CZ67"/>
      <c r="DD67" s="244"/>
      <c r="DE67" s="244"/>
    </row>
    <row r="68" spans="1:109" hidden="1">
      <c r="A68" s="490" t="s">
        <v>112</v>
      </c>
      <c r="B68" s="490"/>
      <c r="C68" s="490"/>
      <c r="D68" s="490">
        <f>COUNTIF([0]!Juli,"Fagdag")+COUNTIF([0]!Juli,"emnedag")</f>
        <v>0</v>
      </c>
      <c r="E68" s="491"/>
      <c r="F68" s="490" t="s">
        <v>189</v>
      </c>
      <c r="G68" s="490">
        <f>COUNTIFS($B$9:$B$39,"fr",[0]!Juli,"Skema 1")</f>
        <v>0</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235"/>
      <c r="Z68" s="235"/>
      <c r="AA68" s="235"/>
      <c r="AB68" s="213"/>
      <c r="AC68" s="243"/>
      <c r="AD68" s="243"/>
      <c r="AE68" s="243"/>
      <c r="AF68" s="213"/>
      <c r="AG68" s="235"/>
      <c r="AI68" s="235"/>
      <c r="AJ68" s="235"/>
      <c r="AN68" s="89"/>
      <c r="AO68" s="89"/>
      <c r="BV68" s="1"/>
      <c r="CS68" s="1"/>
      <c r="CY68"/>
      <c r="CZ68"/>
      <c r="DD68" s="244"/>
      <c r="DE68" s="244"/>
    </row>
    <row r="69" spans="1:109" hidden="1">
      <c r="A69" s="494" t="s">
        <v>111</v>
      </c>
      <c r="B69" s="490"/>
      <c r="C69" s="490"/>
      <c r="D69" s="490">
        <f>COUNTIF([0]!Juli,"Lejrskole")+COUNTIF([0]!Juli,"Ekskursion")</f>
        <v>0</v>
      </c>
      <c r="E69" s="491"/>
      <c r="F69" s="490"/>
      <c r="G69" s="490"/>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235"/>
      <c r="Z69" s="235"/>
      <c r="AA69" s="235"/>
      <c r="AB69" s="213"/>
      <c r="AC69" s="243"/>
      <c r="AD69" s="243"/>
      <c r="AE69" s="243"/>
      <c r="AF69" s="213"/>
      <c r="AG69" s="235"/>
      <c r="AI69" s="235"/>
      <c r="AJ69" s="235"/>
      <c r="AN69" s="89"/>
      <c r="AO69" s="89"/>
      <c r="BV69" s="1"/>
      <c r="CS69" s="1"/>
      <c r="CY69"/>
      <c r="CZ69"/>
      <c r="DD69" s="244"/>
      <c r="DE69" s="244"/>
    </row>
    <row r="70" spans="1:109" hidden="1">
      <c r="A70" s="490" t="s">
        <v>110</v>
      </c>
      <c r="B70" s="490"/>
      <c r="C70" s="490"/>
      <c r="D70" s="490">
        <f>COUNTIF([0]!Juli,"Pæd.dag")</f>
        <v>0</v>
      </c>
      <c r="E70" s="491"/>
      <c r="F70" s="490" t="s">
        <v>191</v>
      </c>
      <c r="G70" s="490">
        <f>COUNTIFS($B$9:$B$39,"ma",[0]!Juli,"Skema 2")</f>
        <v>0</v>
      </c>
      <c r="H70" s="490"/>
      <c r="I70" s="653" t="s">
        <v>594</v>
      </c>
      <c r="J70" s="653"/>
      <c r="K70" s="653"/>
      <c r="L70" s="653"/>
      <c r="M70" s="657"/>
      <c r="N70" s="657"/>
      <c r="O70" s="4"/>
      <c r="P70" s="669"/>
      <c r="Q70" s="671"/>
      <c r="R70" s="227"/>
      <c r="S70" s="227"/>
      <c r="T70" s="227"/>
      <c r="U70" s="227"/>
      <c r="V70" s="227"/>
      <c r="W70" s="117"/>
      <c r="X70" s="117"/>
      <c r="Y70" s="235"/>
      <c r="Z70" s="235"/>
      <c r="AA70" s="235"/>
      <c r="AB70" s="213"/>
      <c r="AC70" s="243"/>
      <c r="AD70" s="243"/>
      <c r="AE70" s="243"/>
      <c r="AG70" s="235"/>
      <c r="AI70" s="235"/>
      <c r="AJ70" s="235"/>
      <c r="AN70" s="89"/>
      <c r="AO70" s="89"/>
      <c r="BV70" s="1"/>
      <c r="CS70" s="1"/>
      <c r="CY70"/>
      <c r="CZ70"/>
      <c r="DD70" s="244"/>
      <c r="DE70" s="244"/>
    </row>
    <row r="71" spans="1:109" hidden="1">
      <c r="A71" s="490" t="s">
        <v>120</v>
      </c>
      <c r="B71" s="490"/>
      <c r="C71" s="490"/>
      <c r="D71" s="490">
        <f>COUNTIF([0]!Juli,"Weekend")</f>
        <v>8</v>
      </c>
      <c r="E71" s="491"/>
      <c r="F71" s="490" t="s">
        <v>192</v>
      </c>
      <c r="G71" s="490">
        <f>COUNTIFS($B$9:$B$39,"ti",[0]!Juli,"Skema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Y71"/>
      <c r="Z71"/>
      <c r="AM71" s="1"/>
      <c r="BJ71" s="1"/>
      <c r="BU71" s="244"/>
      <c r="BV71" s="244"/>
      <c r="CY71"/>
      <c r="CZ71"/>
    </row>
    <row r="72" spans="1:109" hidden="1">
      <c r="A72" s="490" t="s">
        <v>127</v>
      </c>
      <c r="B72" s="490"/>
      <c r="C72" s="490"/>
      <c r="D72" s="490">
        <f>COUNTIF([0]!Juli,"SH-dag")</f>
        <v>0</v>
      </c>
      <c r="E72" s="491"/>
      <c r="F72" s="490" t="s">
        <v>193</v>
      </c>
      <c r="G72" s="490">
        <f>COUNTIFS($B$9:$B$39,"on",[0]!Juli,"Skema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Y72"/>
      <c r="Z72"/>
      <c r="AM72" s="1"/>
      <c r="BJ72" s="1"/>
      <c r="BU72" s="244"/>
      <c r="BV72" s="244"/>
      <c r="CY72"/>
      <c r="CZ72"/>
    </row>
    <row r="73" spans="1:109" hidden="1">
      <c r="A73" s="490" t="s">
        <v>109</v>
      </c>
      <c r="B73" s="490"/>
      <c r="C73" s="490"/>
      <c r="D73" s="490">
        <f>COUNTIF([0]!Juli,"Feriedag")</f>
        <v>18</v>
      </c>
      <c r="E73" s="491"/>
      <c r="F73" s="490" t="s">
        <v>194</v>
      </c>
      <c r="G73" s="490">
        <f>COUNTIFS($B$9:$B$39,"to",[0]!Juli,"Skema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Y73"/>
      <c r="Z73"/>
      <c r="AM73" s="1"/>
      <c r="BJ73" s="1"/>
      <c r="BU73" s="244"/>
      <c r="BV73" s="244"/>
      <c r="CY73"/>
      <c r="CZ73"/>
    </row>
    <row r="74" spans="1:109" hidden="1">
      <c r="A74" s="490" t="s">
        <v>178</v>
      </c>
      <c r="B74" s="490"/>
      <c r="C74" s="490"/>
      <c r="D74" s="490">
        <f>COUNTIF([0]!Juli,"Nul-dag")</f>
        <v>5</v>
      </c>
      <c r="E74" s="491"/>
      <c r="F74" s="490" t="s">
        <v>195</v>
      </c>
      <c r="G74" s="490">
        <f>COUNTIFS($B$9:$B$39,"fr",[0]!Juli,"Skema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V74" t="s">
        <v>605</v>
      </c>
      <c r="Y74"/>
      <c r="Z74"/>
      <c r="AM74" s="1"/>
      <c r="BJ74" s="1"/>
      <c r="BU74" s="244"/>
      <c r="BV74" s="244"/>
      <c r="CY74"/>
      <c r="CZ74"/>
    </row>
    <row r="75" spans="1:109" hidden="1">
      <c r="A75" s="490" t="s">
        <v>415</v>
      </c>
      <c r="B75" s="490"/>
      <c r="C75" s="490"/>
      <c r="D75" s="490">
        <f>COUNTIF([0]!Juli,"Orlov")</f>
        <v>0</v>
      </c>
      <c r="E75" s="491"/>
      <c r="F75" s="496"/>
      <c r="G75" s="496"/>
      <c r="H75" s="496"/>
      <c r="I75" s="653" t="s">
        <v>604</v>
      </c>
      <c r="J75" s="653"/>
      <c r="K75" s="653"/>
      <c r="L75" s="653"/>
      <c r="M75" s="659"/>
      <c r="N75" s="659"/>
      <c r="O75" s="4"/>
      <c r="P75" s="652"/>
      <c r="R75">
        <f>IF(C10="ikke relevant",V10*-1+X10*-1,0)</f>
        <v>0</v>
      </c>
      <c r="S75" t="s">
        <v>610</v>
      </c>
      <c r="V75">
        <f>IF(C10="ikke relevant",R10*-1,0)</f>
        <v>0</v>
      </c>
      <c r="Y75" s="384">
        <f>IF(Stamoplysninger!B26="Der er indgået lokalaftale omkring weekendtillæg. Weekendtimerne afspadseres.",Juli!#REF!,0)</f>
        <v>0</v>
      </c>
      <c r="Z75" s="384"/>
      <c r="AA75" s="384"/>
      <c r="AB75" s="385"/>
      <c r="AC75" s="122"/>
      <c r="AD75" s="122"/>
      <c r="AE75" s="227"/>
      <c r="AG75" s="227"/>
      <c r="AH75" s="227"/>
      <c r="AI75" s="227"/>
      <c r="AJ75" s="117"/>
      <c r="AK75" s="117"/>
      <c r="BA75" s="1"/>
      <c r="BX75" s="1"/>
      <c r="CI75" s="244"/>
      <c r="CJ75" s="244"/>
      <c r="CY75"/>
      <c r="CZ75"/>
    </row>
    <row r="76" spans="1:109" hidden="1">
      <c r="A76" s="490" t="s">
        <v>160</v>
      </c>
      <c r="B76" s="490"/>
      <c r="C76" s="490"/>
      <c r="D76" s="490">
        <f>COUNTIF([0]!Juli,"Ikke relevant")</f>
        <v>0</v>
      </c>
      <c r="E76" s="491"/>
      <c r="F76" s="490" t="s">
        <v>196</v>
      </c>
      <c r="G76" s="490">
        <f>COUNTIFS($B$9:$B$39,"ma",[0]!Juli,"Skema 3")</f>
        <v>0</v>
      </c>
      <c r="H76" s="490"/>
      <c r="I76" s="653"/>
      <c r="J76" s="653"/>
      <c r="K76" s="653"/>
      <c r="L76" s="503"/>
      <c r="M76" s="659"/>
      <c r="N76" s="659"/>
      <c r="O76" s="4"/>
      <c r="P76" s="652"/>
      <c r="R76">
        <f>IF(C11="ikke relevant",V11*-1+X11*-1,0)</f>
        <v>0</v>
      </c>
      <c r="V76">
        <f>IF(C11="ikke relevant",R11*-1,0)</f>
        <v>0</v>
      </c>
      <c r="Y76" s="384">
        <f>IF(Stamoplysninger!B26="Der er indgået lokalaftale omkring weekendtillæg. Weekendtimerne udbetales.",Juli!#REF!,0)</f>
        <v>0</v>
      </c>
      <c r="Z76" s="384"/>
      <c r="AA76" s="384"/>
      <c r="AB76" s="385"/>
      <c r="AC76" s="122"/>
      <c r="AD76" s="122"/>
      <c r="AE76" s="227"/>
      <c r="AG76" s="227"/>
      <c r="AH76" s="227"/>
      <c r="AI76" s="227"/>
      <c r="AJ76" s="117"/>
      <c r="AK76" s="117"/>
      <c r="BA76" s="1"/>
      <c r="BX76" s="1"/>
      <c r="CI76" s="244"/>
      <c r="CJ76" s="244"/>
      <c r="CY76"/>
      <c r="CZ76"/>
    </row>
    <row r="77" spans="1:109" hidden="1">
      <c r="A77" s="490" t="s">
        <v>108</v>
      </c>
      <c r="B77" s="490"/>
      <c r="C77" s="490"/>
      <c r="D77" s="490">
        <f>SUM(D64:D76)</f>
        <v>31</v>
      </c>
      <c r="E77" s="490"/>
      <c r="F77" s="490" t="s">
        <v>197</v>
      </c>
      <c r="G77" s="490">
        <f>COUNTIFS($B$9:$B$39,"ti",[0]!Juli,"Skema 3")</f>
        <v>0</v>
      </c>
      <c r="H77" s="490"/>
      <c r="I77" s="653"/>
      <c r="J77" s="653"/>
      <c r="K77" s="653"/>
      <c r="L77" s="503"/>
      <c r="M77" s="659"/>
      <c r="N77" s="659"/>
      <c r="O77" s="4"/>
      <c r="P77" s="652"/>
      <c r="R77">
        <f t="shared" ref="R77:R105" si="39">IF(C12="ikke relevant",V12*-1+X12*-1,0)</f>
        <v>0</v>
      </c>
      <c r="V77">
        <f t="shared" ref="V77:V105" si="40">IF(C12="ikke relevant",R12*-1,0)</f>
        <v>0</v>
      </c>
      <c r="Y77" s="40"/>
      <c r="Z77" s="40"/>
      <c r="AA77" s="40"/>
      <c r="AB77" s="40"/>
      <c r="AC77" s="40"/>
      <c r="AD77" s="40"/>
      <c r="AE77" s="40"/>
      <c r="AG77" s="40"/>
      <c r="AM77" s="1"/>
      <c r="BA77" s="1"/>
      <c r="BX77" s="1"/>
      <c r="CI77" s="244"/>
      <c r="CJ77" s="244"/>
      <c r="CY77"/>
      <c r="CZ77"/>
    </row>
    <row r="78" spans="1:109" hidden="1">
      <c r="A78" s="490" t="s">
        <v>239</v>
      </c>
      <c r="B78" s="490"/>
      <c r="C78" s="490"/>
      <c r="D78" s="490">
        <f>D77-D71-A87-D76</f>
        <v>23</v>
      </c>
      <c r="E78" s="497"/>
      <c r="F78" s="490" t="s">
        <v>198</v>
      </c>
      <c r="G78" s="490">
        <f>COUNTIFS($B$9:$B$39,"on",[0]!Juli,"Skema 3")</f>
        <v>0</v>
      </c>
      <c r="H78" s="490"/>
      <c r="I78" s="653"/>
      <c r="J78" s="653"/>
      <c r="K78" s="653"/>
      <c r="L78" s="503"/>
      <c r="M78" s="659"/>
      <c r="N78" s="659"/>
      <c r="O78" s="4"/>
      <c r="P78" s="652"/>
      <c r="R78">
        <f t="shared" si="39"/>
        <v>0</v>
      </c>
      <c r="V78">
        <f t="shared" si="40"/>
        <v>0</v>
      </c>
      <c r="Y78"/>
      <c r="Z78" s="1"/>
      <c r="AO78" s="1"/>
      <c r="BL78" s="1"/>
      <c r="BW78" s="244"/>
      <c r="BX78" s="244"/>
      <c r="CY78"/>
      <c r="CZ78"/>
    </row>
    <row r="79" spans="1:109" hidden="1">
      <c r="A79" s="490"/>
      <c r="B79" s="490"/>
      <c r="C79" s="490"/>
      <c r="D79" s="490"/>
      <c r="E79" s="490"/>
      <c r="F79" s="490" t="s">
        <v>199</v>
      </c>
      <c r="G79" s="490">
        <f>COUNTIFS($B$9:$B$39,"to",[0]!Juli,"Skema 3")</f>
        <v>0</v>
      </c>
      <c r="H79" s="490"/>
      <c r="I79" s="655"/>
      <c r="J79" s="653"/>
      <c r="K79" s="653"/>
      <c r="L79" s="503"/>
      <c r="M79" s="651"/>
      <c r="N79" s="651"/>
      <c r="O79" s="4"/>
      <c r="P79" s="652"/>
      <c r="R79">
        <f t="shared" si="39"/>
        <v>0</v>
      </c>
      <c r="V79">
        <f t="shared" si="40"/>
        <v>0</v>
      </c>
      <c r="Y79"/>
      <c r="Z79" s="1"/>
      <c r="AO79" s="1"/>
      <c r="BL79" s="1"/>
      <c r="BW79" s="244"/>
      <c r="BX79" s="244"/>
      <c r="CY79"/>
      <c r="CZ79"/>
    </row>
    <row r="80" spans="1:109" hidden="1">
      <c r="A80" s="490"/>
      <c r="B80" s="490"/>
      <c r="C80" s="490"/>
      <c r="D80" s="490"/>
      <c r="E80" s="490"/>
      <c r="F80" s="490" t="s">
        <v>200</v>
      </c>
      <c r="G80" s="490">
        <f>COUNTIFS($B$9:$B$39,"fr",[0]!Juli,"Skema 3")</f>
        <v>0</v>
      </c>
      <c r="H80" s="490"/>
      <c r="I80" s="498"/>
      <c r="J80" s="503"/>
      <c r="K80" s="503"/>
      <c r="L80" s="503"/>
      <c r="M80" s="4"/>
      <c r="N80" s="4"/>
      <c r="O80" s="4"/>
      <c r="P80" s="4"/>
      <c r="R80">
        <f t="shared" si="39"/>
        <v>0</v>
      </c>
      <c r="V80">
        <f t="shared" si="40"/>
        <v>0</v>
      </c>
      <c r="Y80"/>
      <c r="Z80" s="1"/>
      <c r="AO80" s="1"/>
      <c r="BL80" s="1"/>
      <c r="BW80" s="244"/>
      <c r="BX80" s="244"/>
      <c r="CY80"/>
      <c r="CZ80"/>
    </row>
    <row r="81" spans="1:111" hidden="1">
      <c r="A81" s="490" t="s">
        <v>292</v>
      </c>
      <c r="B81" s="490"/>
      <c r="C81" s="490"/>
      <c r="D81" s="490"/>
      <c r="E81" s="490"/>
      <c r="F81" s="490"/>
      <c r="G81" s="490"/>
      <c r="H81" s="490"/>
      <c r="I81" s="498"/>
      <c r="J81" s="503"/>
      <c r="K81" s="503"/>
      <c r="L81" s="503"/>
      <c r="M81" s="4"/>
      <c r="N81" s="4"/>
      <c r="O81" s="4"/>
      <c r="P81" s="4"/>
      <c r="R81">
        <f t="shared" si="39"/>
        <v>0</v>
      </c>
      <c r="V81">
        <f t="shared" si="40"/>
        <v>0</v>
      </c>
      <c r="Y81"/>
      <c r="Z81" s="1"/>
      <c r="AO81" s="1"/>
      <c r="BL81" s="1"/>
      <c r="BW81" s="244"/>
      <c r="BX81" s="244"/>
      <c r="CY81"/>
      <c r="CZ81"/>
    </row>
    <row r="82" spans="1:111" hidden="1">
      <c r="A82" s="490">
        <f>COUNTIF(C13:C14,"Skema 1")+COUNTIF(C13:C14,"Skema 2")+COUNTIF(C13:C14,"Skema 3")+COUNTIF(C13:C14,"Skema 4")+COUNTIF(C13:C14,"Fagdag")+COUNTIF(C13:C14,"Emnedag")+COUNTIF(C13:C14,"Lejrskole")+COUNTIF(C13:C14,"Ekskursion")+COUNTIF(C13:C14,"Pæd.dag")</f>
        <v>0</v>
      </c>
      <c r="B82" s="490"/>
      <c r="C82" s="490"/>
      <c r="D82" s="490"/>
      <c r="E82" s="490"/>
      <c r="F82" s="490" t="s">
        <v>201</v>
      </c>
      <c r="G82" s="490">
        <f>COUNTIFS($B$9:$B$39,"ma",[0]!Juli,"Skema 4")</f>
        <v>0</v>
      </c>
      <c r="H82" s="490"/>
      <c r="I82" s="498"/>
      <c r="J82" s="503"/>
      <c r="K82" s="503"/>
      <c r="L82" s="503"/>
      <c r="M82" s="4"/>
      <c r="N82" s="4"/>
      <c r="O82" s="4"/>
      <c r="P82" s="4"/>
      <c r="R82">
        <f t="shared" si="39"/>
        <v>0</v>
      </c>
      <c r="V82">
        <f t="shared" si="40"/>
        <v>0</v>
      </c>
      <c r="Y82"/>
      <c r="Z82" s="1"/>
      <c r="AO82" s="1"/>
      <c r="BL82" s="1"/>
      <c r="BW82" s="244"/>
      <c r="BX82" s="244"/>
      <c r="CY82"/>
      <c r="CZ82"/>
    </row>
    <row r="83" spans="1:111" hidden="1">
      <c r="A83" s="490">
        <f>COUNTIF(C20:C21,"Skema 1")+COUNTIF(C20:C21,"Skema 2")+COUNTIF(C20:C21,"Skema 3")+COUNTIF(C20:C21,"Skema 4")+COUNTIF(C20:C21,"Fagdag")+COUNTIF(C20:C21,"Emnedag")+COUNTIF(C20:C21,"Lejrskole")+COUNTIF(C20:C21,"Ekskursion")+COUNTIF(C20:C21,"Pæd.dag")</f>
        <v>0</v>
      </c>
      <c r="B83" s="490"/>
      <c r="C83" s="490"/>
      <c r="D83" s="490"/>
      <c r="E83" s="490"/>
      <c r="F83" s="490" t="s">
        <v>202</v>
      </c>
      <c r="G83" s="490">
        <f>COUNTIFS($B$9:$B$39,"ti",[0]!Juli,"Skema 4")</f>
        <v>0</v>
      </c>
      <c r="H83" s="490"/>
      <c r="I83" s="498"/>
      <c r="J83" s="503"/>
      <c r="K83" s="503"/>
      <c r="L83" s="503"/>
      <c r="M83" s="4"/>
      <c r="N83" s="4"/>
      <c r="O83" s="4"/>
      <c r="P83" s="4"/>
      <c r="R83">
        <f t="shared" si="39"/>
        <v>0</v>
      </c>
      <c r="V83">
        <f t="shared" si="40"/>
        <v>0</v>
      </c>
      <c r="Y83"/>
      <c r="Z83" s="1"/>
      <c r="AO83" s="1"/>
      <c r="BL83" s="1"/>
      <c r="BW83" s="244"/>
      <c r="BX83" s="244"/>
      <c r="CY83"/>
      <c r="CZ83"/>
    </row>
    <row r="84" spans="1:111" hidden="1">
      <c r="A84" s="490">
        <f>COUNTIF(C27:C28,"Skema 1")+COUNTIF(C27:C28,"Skema 2")+COUNTIF(C27:C28,"Skema 3")+COUNTIF(C27:C28,"Skema 4")+COUNTIF(C27:C28,"Fagdag")+COUNTIF(C27:C28,"Emnedag")+COUNTIF(C27:C28,"Lejrskole")+COUNTIF(C27:C28,"Ekskursion")+COUNTIF(C27:C28,"Pæd.dag")</f>
        <v>0</v>
      </c>
      <c r="B84" s="490"/>
      <c r="C84" s="490"/>
      <c r="D84" s="490"/>
      <c r="E84" s="490"/>
      <c r="F84" s="490" t="s">
        <v>203</v>
      </c>
      <c r="G84" s="490">
        <f>COUNTIFS($B$9:$B$39,"on",[0]!Juli,"Skema 4")</f>
        <v>0</v>
      </c>
      <c r="H84" s="490"/>
      <c r="I84" s="498"/>
      <c r="J84" s="503"/>
      <c r="K84" s="503"/>
      <c r="L84" s="503"/>
      <c r="M84" s="4"/>
      <c r="N84" s="4"/>
      <c r="O84" s="4"/>
      <c r="P84" s="4"/>
      <c r="R84">
        <f t="shared" si="39"/>
        <v>0</v>
      </c>
      <c r="V84">
        <f t="shared" si="40"/>
        <v>0</v>
      </c>
      <c r="Y84"/>
      <c r="Z84" s="1"/>
      <c r="AO84" s="1"/>
      <c r="BL84" s="1"/>
      <c r="BW84" s="244"/>
      <c r="BX84" s="244"/>
      <c r="CY84"/>
      <c r="CZ84"/>
    </row>
    <row r="85" spans="1:111" hidden="1">
      <c r="A85" s="490">
        <f>COUNTIF(C34:C35,"Skema 1")+COUNTIF(C34:C35,"Skema 2")+COUNTIF(C34:C35,"Skema 3")+COUNTIF(C34:C35,"Skema 4")+COUNTIF(C34:C35,"Fagdag")+COUNTIF(C34:C35,"Emnedag")+COUNTIF(C34:C35,"Lejrskole")+COUNTIF(C34:C35,"Ekskursion")+COUNTIF(C34:C35,"Pæd.dag")</f>
        <v>0</v>
      </c>
      <c r="B85" s="490"/>
      <c r="C85" s="490"/>
      <c r="D85" s="490"/>
      <c r="E85" s="490"/>
      <c r="F85" s="490" t="s">
        <v>204</v>
      </c>
      <c r="G85" s="490">
        <f>COUNTIFS($B$9:$B$39,"to",[0]!Juli,"Skema 4")</f>
        <v>0</v>
      </c>
      <c r="H85" s="490"/>
      <c r="I85" s="498"/>
      <c r="J85" s="503"/>
      <c r="K85" s="503"/>
      <c r="L85" s="503"/>
      <c r="M85" s="4"/>
      <c r="N85" s="4"/>
      <c r="O85" s="4"/>
      <c r="P85" s="4"/>
      <c r="R85">
        <f t="shared" si="39"/>
        <v>0</v>
      </c>
      <c r="V85">
        <f t="shared" si="40"/>
        <v>0</v>
      </c>
      <c r="Y85"/>
      <c r="Z85"/>
      <c r="AO85" s="1">
        <f>SUM(N85:AN85)</f>
        <v>0</v>
      </c>
      <c r="BL85" s="1">
        <f>SUM(AI85:BK85)</f>
        <v>0</v>
      </c>
      <c r="BW85" s="244"/>
      <c r="BX85" s="244"/>
      <c r="CY85"/>
      <c r="CZ85"/>
    </row>
    <row r="86" spans="1:111" hidden="1">
      <c r="A86" s="490"/>
      <c r="B86" s="490"/>
      <c r="C86" s="490"/>
      <c r="D86" s="490"/>
      <c r="E86" s="490"/>
      <c r="F86" s="490" t="s">
        <v>205</v>
      </c>
      <c r="G86" s="490">
        <f>COUNTIFS($B$9:$B$39,"fr",[0]!Juli,"Skema 4")</f>
        <v>0</v>
      </c>
      <c r="H86" s="490"/>
      <c r="I86" s="490"/>
      <c r="J86" s="493"/>
      <c r="K86" s="493"/>
      <c r="L86" s="40"/>
      <c r="R86">
        <f t="shared" si="39"/>
        <v>0</v>
      </c>
      <c r="V86">
        <f t="shared" si="40"/>
        <v>0</v>
      </c>
      <c r="Y86"/>
      <c r="Z86"/>
      <c r="AO86" s="1">
        <f>SUM(N86:AN86)</f>
        <v>0</v>
      </c>
      <c r="BL86" s="1">
        <f>SUM(AI86:BK86)</f>
        <v>0</v>
      </c>
      <c r="BW86" s="244"/>
      <c r="BX86" s="244"/>
      <c r="CY86"/>
      <c r="CZ86"/>
    </row>
    <row r="87" spans="1:111" hidden="1">
      <c r="A87" s="490">
        <f>SUM(A82:A86)</f>
        <v>0</v>
      </c>
      <c r="B87" s="490"/>
      <c r="C87" s="490"/>
      <c r="D87" s="490"/>
      <c r="E87" s="490"/>
      <c r="F87" s="490"/>
      <c r="G87" s="495">
        <f>SUM(G64:G86)</f>
        <v>0</v>
      </c>
      <c r="H87" s="493"/>
      <c r="I87" s="490"/>
      <c r="J87" s="493"/>
      <c r="K87" s="493"/>
      <c r="L87" s="40"/>
      <c r="R87">
        <f t="shared" si="39"/>
        <v>0</v>
      </c>
      <c r="V87">
        <f t="shared" si="40"/>
        <v>0</v>
      </c>
      <c r="Y87"/>
      <c r="Z87"/>
      <c r="AO87" s="1">
        <f>SUM(N87:AN87)</f>
        <v>0</v>
      </c>
      <c r="BL87" s="1">
        <f>SUM(AI87:BK87)</f>
        <v>0</v>
      </c>
      <c r="BW87" s="244"/>
      <c r="BX87" s="244"/>
      <c r="CY87"/>
      <c r="CZ87"/>
    </row>
    <row r="88" spans="1:111" hidden="1">
      <c r="A88" s="493"/>
      <c r="B88" s="493"/>
      <c r="C88" s="493"/>
      <c r="D88" s="493"/>
      <c r="E88" s="490"/>
      <c r="F88" s="490"/>
      <c r="G88" s="490"/>
      <c r="H88" s="40"/>
      <c r="I88" s="493"/>
      <c r="J88" s="493"/>
      <c r="K88" s="493"/>
      <c r="L88" s="40"/>
      <c r="R88">
        <f t="shared" si="39"/>
        <v>0</v>
      </c>
      <c r="V88">
        <f t="shared" si="40"/>
        <v>0</v>
      </c>
      <c r="Y88"/>
      <c r="Z88"/>
      <c r="AO88" s="1">
        <f>SUM(N88:AN88)</f>
        <v>0</v>
      </c>
      <c r="BL88" s="1">
        <f>SUM(AI88:BK88)</f>
        <v>0</v>
      </c>
      <c r="BW88" s="244"/>
      <c r="BX88" s="244"/>
      <c r="CY88"/>
      <c r="CZ88"/>
    </row>
    <row r="89" spans="1:111" hidden="1">
      <c r="A89" s="493"/>
      <c r="B89" s="493"/>
      <c r="C89" s="493"/>
      <c r="D89" s="493"/>
      <c r="E89" s="490"/>
      <c r="F89" s="490"/>
      <c r="G89" s="490"/>
      <c r="H89" s="40"/>
      <c r="I89" s="40"/>
      <c r="J89" s="493"/>
      <c r="K89" s="493"/>
      <c r="L89" s="40"/>
      <c r="R89">
        <f t="shared" si="39"/>
        <v>0</v>
      </c>
      <c r="V89">
        <f t="shared" si="40"/>
        <v>0</v>
      </c>
      <c r="Y89"/>
      <c r="Z89"/>
      <c r="BW89" s="244"/>
      <c r="BX89" s="244"/>
      <c r="CY89"/>
      <c r="CZ89"/>
    </row>
    <row r="90" spans="1:111" hidden="1">
      <c r="A90" s="493"/>
      <c r="B90" s="493"/>
      <c r="C90" s="493"/>
      <c r="D90" s="493"/>
      <c r="E90" s="490"/>
      <c r="F90" s="490"/>
      <c r="G90" s="490"/>
      <c r="H90" s="40"/>
      <c r="I90" s="40"/>
      <c r="J90" s="40"/>
      <c r="K90" s="40"/>
      <c r="L90" s="40"/>
      <c r="R90">
        <f t="shared" si="39"/>
        <v>0</v>
      </c>
      <c r="V90">
        <f t="shared" si="40"/>
        <v>0</v>
      </c>
      <c r="Y90"/>
      <c r="Z90"/>
      <c r="BW90" s="244"/>
      <c r="BX90" s="244"/>
      <c r="CY90"/>
      <c r="CZ90"/>
    </row>
    <row r="91" spans="1:111" hidden="1">
      <c r="A91" s="493"/>
      <c r="B91" s="493"/>
      <c r="C91" s="493"/>
      <c r="D91" s="493"/>
      <c r="E91" s="490"/>
      <c r="F91" s="490"/>
      <c r="G91" s="490"/>
      <c r="H91" s="40"/>
      <c r="I91" s="40"/>
      <c r="J91" s="40"/>
      <c r="K91" s="40"/>
      <c r="L91" s="40"/>
      <c r="R91">
        <f t="shared" si="39"/>
        <v>0</v>
      </c>
      <c r="V91">
        <f t="shared" si="40"/>
        <v>0</v>
      </c>
      <c r="Y91"/>
      <c r="Z91"/>
      <c r="BW91" s="244"/>
      <c r="BX91" s="244"/>
      <c r="CY91"/>
      <c r="CZ91"/>
    </row>
    <row r="92" spans="1:111" hidden="1">
      <c r="A92" s="493"/>
      <c r="B92" s="493"/>
      <c r="C92" s="493"/>
      <c r="D92" s="493"/>
      <c r="E92" s="490"/>
      <c r="F92" s="490"/>
      <c r="G92" s="490"/>
      <c r="I92" s="40"/>
      <c r="J92" s="40"/>
      <c r="K92" s="40"/>
      <c r="L92" s="40"/>
      <c r="R92">
        <f t="shared" si="39"/>
        <v>0</v>
      </c>
      <c r="V92">
        <f t="shared" si="40"/>
        <v>0</v>
      </c>
      <c r="Y92"/>
      <c r="Z92"/>
      <c r="BW92" s="244"/>
      <c r="BX92" s="244"/>
      <c r="CY92"/>
      <c r="CZ92"/>
    </row>
    <row r="93" spans="1:111" hidden="1">
      <c r="A93" s="493"/>
      <c r="B93" s="493"/>
      <c r="C93" s="493"/>
      <c r="D93" s="493"/>
      <c r="E93" s="490"/>
      <c r="F93" s="490"/>
      <c r="G93" s="490"/>
      <c r="I93" s="40"/>
      <c r="J93" s="40"/>
      <c r="K93" s="40"/>
      <c r="L93" s="40"/>
      <c r="R93">
        <f t="shared" si="39"/>
        <v>0</v>
      </c>
      <c r="V93">
        <f t="shared" si="40"/>
        <v>0</v>
      </c>
      <c r="Y93"/>
      <c r="Z93"/>
      <c r="AF93" s="228"/>
      <c r="BW93" s="244"/>
      <c r="BX93" s="244"/>
      <c r="CY93"/>
      <c r="CZ93"/>
    </row>
    <row r="94" spans="1:111" hidden="1">
      <c r="A94" s="493"/>
      <c r="B94" s="493"/>
      <c r="C94" s="493"/>
      <c r="D94" s="493"/>
      <c r="E94" s="490"/>
      <c r="F94" s="490"/>
      <c r="G94" s="490"/>
      <c r="I94" s="40"/>
      <c r="J94" s="40"/>
      <c r="K94" s="40"/>
      <c r="L94" s="40"/>
      <c r="R94">
        <f t="shared" si="39"/>
        <v>0</v>
      </c>
      <c r="V94">
        <f t="shared" si="40"/>
        <v>0</v>
      </c>
      <c r="Y94"/>
      <c r="Z94"/>
      <c r="AD94" s="4"/>
      <c r="AE94" s="228"/>
      <c r="AF94" s="228"/>
      <c r="AG94" s="228"/>
      <c r="AH94" s="228"/>
      <c r="CY94"/>
      <c r="CZ94"/>
      <c r="DF94" s="244"/>
      <c r="DG94" s="244"/>
    </row>
    <row r="95" spans="1:111" hidden="1">
      <c r="A95" s="493"/>
      <c r="B95" s="493"/>
      <c r="C95" s="493"/>
      <c r="D95" s="493"/>
      <c r="E95" s="490"/>
      <c r="F95" s="490"/>
      <c r="G95" s="490"/>
      <c r="I95" s="40"/>
      <c r="J95" s="40"/>
      <c r="K95" s="40"/>
      <c r="L95" s="40"/>
      <c r="R95">
        <f t="shared" si="39"/>
        <v>0</v>
      </c>
      <c r="V95">
        <f t="shared" si="40"/>
        <v>0</v>
      </c>
      <c r="Y95"/>
      <c r="Z95"/>
      <c r="AD95" s="4"/>
      <c r="AE95" s="228"/>
      <c r="AG95" s="228"/>
      <c r="AH95" s="228"/>
      <c r="CY95"/>
      <c r="CZ95"/>
      <c r="DF95" s="244"/>
      <c r="DG95" s="244"/>
    </row>
    <row r="96" spans="1:111" hidden="1">
      <c r="A96" s="493"/>
      <c r="B96" s="493"/>
      <c r="C96" s="493"/>
      <c r="D96" s="493"/>
      <c r="E96" s="490"/>
      <c r="F96" s="490"/>
      <c r="G96" s="490"/>
      <c r="I96" s="40"/>
      <c r="J96" s="40"/>
      <c r="K96" s="40"/>
      <c r="L96" s="40"/>
      <c r="R96">
        <f t="shared" si="39"/>
        <v>0</v>
      </c>
      <c r="V96">
        <f t="shared" si="40"/>
        <v>0</v>
      </c>
    </row>
    <row r="97" spans="1:22" hidden="1">
      <c r="A97" s="493"/>
      <c r="B97" s="493"/>
      <c r="C97" s="493"/>
      <c r="D97" s="493"/>
      <c r="E97" s="490"/>
      <c r="F97" s="490"/>
      <c r="G97" s="490"/>
      <c r="I97" s="40"/>
      <c r="J97" s="40"/>
      <c r="K97" s="40"/>
      <c r="L97" s="40"/>
      <c r="R97">
        <f t="shared" si="39"/>
        <v>0</v>
      </c>
      <c r="V97">
        <f t="shared" si="40"/>
        <v>0</v>
      </c>
    </row>
    <row r="98" spans="1:22" hidden="1">
      <c r="A98" s="493"/>
      <c r="B98" s="493"/>
      <c r="C98" s="493"/>
      <c r="D98" s="493"/>
      <c r="E98" s="493"/>
      <c r="F98" s="493"/>
      <c r="G98" s="493"/>
      <c r="I98" s="40"/>
      <c r="J98" s="40"/>
      <c r="K98" s="40"/>
      <c r="L98" s="40"/>
      <c r="R98">
        <f t="shared" si="39"/>
        <v>0</v>
      </c>
      <c r="V98">
        <f t="shared" si="40"/>
        <v>0</v>
      </c>
    </row>
    <row r="99" spans="1:22" hidden="1">
      <c r="I99" s="40"/>
      <c r="J99" s="40"/>
      <c r="K99" s="40"/>
      <c r="L99" s="40"/>
      <c r="R99">
        <f t="shared" si="39"/>
        <v>0</v>
      </c>
      <c r="V99">
        <f t="shared" si="40"/>
        <v>0</v>
      </c>
    </row>
    <row r="100" spans="1:22" hidden="1">
      <c r="I100" s="40"/>
      <c r="J100" s="40"/>
      <c r="K100" s="40"/>
      <c r="L100" s="439"/>
      <c r="R100">
        <f t="shared" si="39"/>
        <v>0</v>
      </c>
      <c r="V100">
        <f t="shared" si="40"/>
        <v>0</v>
      </c>
    </row>
    <row r="101" spans="1:22" hidden="1">
      <c r="I101" s="40"/>
      <c r="J101" s="40"/>
      <c r="K101" s="40"/>
      <c r="L101" s="439"/>
      <c r="R101">
        <f t="shared" si="39"/>
        <v>0</v>
      </c>
      <c r="V101">
        <f t="shared" si="40"/>
        <v>0</v>
      </c>
    </row>
    <row r="102" spans="1:22" hidden="1">
      <c r="I102" s="40"/>
      <c r="J102" s="40"/>
      <c r="K102" s="40"/>
      <c r="L102" s="439"/>
      <c r="R102">
        <f t="shared" si="39"/>
        <v>0</v>
      </c>
      <c r="V102">
        <f t="shared" si="40"/>
        <v>0</v>
      </c>
    </row>
    <row r="103" spans="1:22" hidden="1">
      <c r="I103" s="439"/>
      <c r="J103" s="40"/>
      <c r="K103" s="40"/>
      <c r="L103" s="439"/>
      <c r="R103">
        <f t="shared" si="39"/>
        <v>0</v>
      </c>
      <c r="V103">
        <f t="shared" si="40"/>
        <v>0</v>
      </c>
    </row>
    <row r="104" spans="1:22" hidden="1">
      <c r="I104" s="439"/>
      <c r="J104" s="439"/>
      <c r="K104" s="439"/>
      <c r="L104" s="439"/>
      <c r="R104">
        <f t="shared" si="39"/>
        <v>0</v>
      </c>
      <c r="V104">
        <f t="shared" si="40"/>
        <v>0</v>
      </c>
    </row>
    <row r="105" spans="1:22" ht="17" hidden="1" thickBot="1">
      <c r="I105" s="439"/>
      <c r="J105" s="439"/>
      <c r="K105" s="439"/>
      <c r="L105" s="439"/>
      <c r="R105">
        <f t="shared" si="39"/>
        <v>0</v>
      </c>
      <c r="V105">
        <f t="shared" si="40"/>
        <v>0</v>
      </c>
    </row>
    <row r="106" spans="1:22" ht="17" hidden="1" thickBot="1">
      <c r="I106" s="439"/>
      <c r="J106" s="439"/>
      <c r="K106" s="439"/>
      <c r="L106" s="439"/>
      <c r="R106" s="684">
        <f>SUM(R75:R105)+FB40</f>
        <v>0</v>
      </c>
      <c r="V106">
        <f>SUM(V75:V105)</f>
        <v>0</v>
      </c>
    </row>
    <row r="107" spans="1:22" hidden="1">
      <c r="I107" s="439"/>
      <c r="J107" s="439"/>
      <c r="K107" s="439"/>
      <c r="L107" s="439"/>
    </row>
    <row r="108" spans="1:22" hidden="1"/>
    <row r="109" spans="1:22" hidden="1"/>
    <row r="110" spans="1:22" hidden="1"/>
    <row r="111" spans="1:22" hidden="1"/>
  </sheetData>
  <sheetProtection sheet="1" objects="1" scenarios="1"/>
  <mergeCells count="174">
    <mergeCell ref="FQ8:FR8"/>
    <mergeCell ref="DS8:DV8"/>
    <mergeCell ref="DZ8:EB8"/>
    <mergeCell ref="EG8:EI8"/>
    <mergeCell ref="EM8:EN8"/>
    <mergeCell ref="EQ8:ER8"/>
    <mergeCell ref="EU8:EV8"/>
    <mergeCell ref="FC8:FD8"/>
    <mergeCell ref="FG8:FH8"/>
    <mergeCell ref="FK8:FL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A62:G62"/>
    <mergeCell ref="I62:K62"/>
    <mergeCell ref="A67:C67"/>
    <mergeCell ref="E32:G32"/>
    <mergeCell ref="A65:C65"/>
    <mergeCell ref="A66:C66"/>
    <mergeCell ref="I51:K51"/>
    <mergeCell ref="A56:K56"/>
    <mergeCell ref="A57:B57"/>
    <mergeCell ref="C57:D57"/>
    <mergeCell ref="E57:G57"/>
    <mergeCell ref="H57:K57"/>
    <mergeCell ref="A58:B58"/>
    <mergeCell ref="C58:D58"/>
    <mergeCell ref="E58:G58"/>
    <mergeCell ref="A44:G44"/>
    <mergeCell ref="I44:K44"/>
    <mergeCell ref="A45:G45"/>
    <mergeCell ref="I45:K45"/>
    <mergeCell ref="E36:G36"/>
    <mergeCell ref="E37:G37"/>
    <mergeCell ref="E39:G39"/>
    <mergeCell ref="A40:I40"/>
    <mergeCell ref="A53:G54"/>
    <mergeCell ref="M50:U50"/>
    <mergeCell ref="V50:X50"/>
    <mergeCell ref="M51:U51"/>
    <mergeCell ref="V51:X51"/>
    <mergeCell ref="A50:H50"/>
    <mergeCell ref="I50:K50"/>
    <mergeCell ref="A46:G46"/>
    <mergeCell ref="I46:K46"/>
    <mergeCell ref="A47:G47"/>
    <mergeCell ref="I47:K47"/>
    <mergeCell ref="M46:U46"/>
    <mergeCell ref="A48:H48"/>
    <mergeCell ref="I48:K48"/>
    <mergeCell ref="V46:X46"/>
    <mergeCell ref="M47:X47"/>
    <mergeCell ref="M48:U48"/>
    <mergeCell ref="V48:X48"/>
    <mergeCell ref="M49:U49"/>
    <mergeCell ref="V49:X49"/>
    <mergeCell ref="M45:U45"/>
    <mergeCell ref="E27:G27"/>
    <mergeCell ref="E28:G28"/>
    <mergeCell ref="V45:X45"/>
    <mergeCell ref="A49:H49"/>
    <mergeCell ref="I49:K49"/>
    <mergeCell ref="A42:G42"/>
    <mergeCell ref="I42:K42"/>
    <mergeCell ref="A43:G43"/>
    <mergeCell ref="I43:K43"/>
    <mergeCell ref="M42:X42"/>
    <mergeCell ref="M43:U43"/>
    <mergeCell ref="V43:X43"/>
    <mergeCell ref="M44:U44"/>
    <mergeCell ref="V44:X44"/>
    <mergeCell ref="E38:G38"/>
    <mergeCell ref="E30:G30"/>
    <mergeCell ref="E31:G31"/>
    <mergeCell ref="E33:G33"/>
    <mergeCell ref="E34:G34"/>
    <mergeCell ref="E35:G35"/>
    <mergeCell ref="E29:G29"/>
    <mergeCell ref="E26:G26"/>
    <mergeCell ref="S6:X6"/>
    <mergeCell ref="S8:U8"/>
    <mergeCell ref="V8:X8"/>
    <mergeCell ref="I6:I7"/>
    <mergeCell ref="J6:J7"/>
    <mergeCell ref="E17:G17"/>
    <mergeCell ref="E18:G18"/>
    <mergeCell ref="E19:G19"/>
    <mergeCell ref="E20:G20"/>
    <mergeCell ref="E21:G21"/>
    <mergeCell ref="E22:G22"/>
    <mergeCell ref="BG6:BK6"/>
    <mergeCell ref="BL6:BP6"/>
    <mergeCell ref="AG6:AK6"/>
    <mergeCell ref="E6:G8"/>
    <mergeCell ref="K6:L6"/>
    <mergeCell ref="N6:N7"/>
    <mergeCell ref="O6:O7"/>
    <mergeCell ref="E25:G25"/>
    <mergeCell ref="I8:J8"/>
    <mergeCell ref="AA6:AE6"/>
    <mergeCell ref="E15:G15"/>
    <mergeCell ref="E16:G16"/>
    <mergeCell ref="E23:G23"/>
    <mergeCell ref="E24:G24"/>
    <mergeCell ref="E11:G11"/>
    <mergeCell ref="K8:R8"/>
    <mergeCell ref="B2:E2"/>
    <mergeCell ref="E4:G4"/>
    <mergeCell ref="K4:L4"/>
    <mergeCell ref="A5:R5"/>
    <mergeCell ref="P6:P7"/>
    <mergeCell ref="Q6:Q7"/>
    <mergeCell ref="R6:R7"/>
    <mergeCell ref="A4:D4"/>
    <mergeCell ref="S5:X5"/>
    <mergeCell ref="A3:X3"/>
    <mergeCell ref="A7:D8"/>
    <mergeCell ref="H7:H8"/>
    <mergeCell ref="A61:B61"/>
    <mergeCell ref="A55:G55"/>
    <mergeCell ref="I55:K55"/>
    <mergeCell ref="I58:K58"/>
    <mergeCell ref="A59:B59"/>
    <mergeCell ref="C59:D59"/>
    <mergeCell ref="E59:G59"/>
    <mergeCell ref="I59:K59"/>
    <mergeCell ref="A60:B60"/>
    <mergeCell ref="C60:D60"/>
    <mergeCell ref="E60:G60"/>
    <mergeCell ref="I60:K60"/>
    <mergeCell ref="C61:D61"/>
    <mergeCell ref="E61:G61"/>
    <mergeCell ref="I61:K61"/>
    <mergeCell ref="I53:K53"/>
    <mergeCell ref="M53:U53"/>
    <mergeCell ref="V53:X53"/>
    <mergeCell ref="I54:K54"/>
    <mergeCell ref="E12:G12"/>
    <mergeCell ref="E13:G13"/>
    <mergeCell ref="E14:G14"/>
    <mergeCell ref="EY8:EZ8"/>
    <mergeCell ref="EW6:EZ6"/>
    <mergeCell ref="M52:U52"/>
    <mergeCell ref="V52:X52"/>
    <mergeCell ref="DA6:DE6"/>
    <mergeCell ref="E9:G9"/>
    <mergeCell ref="E10:G10"/>
    <mergeCell ref="BQ6:BU6"/>
    <mergeCell ref="BV6:BZ6"/>
    <mergeCell ref="CD6:CH6"/>
    <mergeCell ref="CI6:CM6"/>
    <mergeCell ref="CN6:CR6"/>
    <mergeCell ref="CS6:CW6"/>
    <mergeCell ref="AL6:AP6"/>
    <mergeCell ref="AQ6:AU6"/>
    <mergeCell ref="AV6:AZ6"/>
    <mergeCell ref="BC6:BF6"/>
  </mergeCells>
  <conditionalFormatting sqref="A9:H9 D10:H31 A10:C39 D32:E32 H32 D33:H39">
    <cfRule type="expression" dxfId="441" priority="77">
      <formula>OR($C9="SH-dag")</formula>
    </cfRule>
    <cfRule type="expression" dxfId="440" priority="76">
      <formula>OR($C9="nul-dag")</formula>
    </cfRule>
    <cfRule type="expression" dxfId="439" priority="71">
      <formula>OR($C9="skema 2")</formula>
    </cfRule>
    <cfRule type="expression" dxfId="438" priority="72">
      <formula>OR($C9="Skema 3")</formula>
    </cfRule>
    <cfRule type="expression" dxfId="437" priority="73">
      <formula>OR($C9="Skema 4")</formula>
    </cfRule>
    <cfRule type="expression" dxfId="436" priority="74">
      <formula>OR($C9="Ikke relevant")</formula>
    </cfRule>
    <cfRule type="expression" dxfId="435" priority="84" stopIfTrue="1">
      <formula>OR($C9="Orlov")</formula>
    </cfRule>
    <cfRule type="expression" dxfId="434" priority="83">
      <formula>OR($C9="weekend")</formula>
    </cfRule>
    <cfRule type="expression" dxfId="433" priority="82">
      <formula>OR($C9="feriedag")</formula>
    </cfRule>
    <cfRule type="expression" dxfId="432" priority="81">
      <formula>OR($C9="fagdag")</formula>
    </cfRule>
    <cfRule type="expression" dxfId="431" priority="80">
      <formula>OR($C9="emnedag")</formula>
    </cfRule>
    <cfRule type="expression" dxfId="430" priority="79">
      <formula>OR($C9="lejrskole")</formula>
    </cfRule>
    <cfRule type="expression" dxfId="429" priority="78">
      <formula>OR($C9="ekskursion")</formula>
    </cfRule>
    <cfRule type="expression" dxfId="428" priority="75">
      <formula>OR($C9="pæd.dag")</formula>
    </cfRule>
  </conditionalFormatting>
  <conditionalFormatting sqref="D10:H31 D33:H39 A9:H9 A10:C39 D32:E32 H32">
    <cfRule type="expression" dxfId="427" priority="70">
      <formula>OR($C9="Skema 1")</formula>
    </cfRule>
  </conditionalFormatting>
  <conditionalFormatting sqref="E20">
    <cfRule type="expression" dxfId="426" priority="86">
      <formula>OR($D19="nul-dag")</formula>
    </cfRule>
    <cfRule type="expression" dxfId="425" priority="92">
      <formula>OR($D19="feriedag")</formula>
    </cfRule>
    <cfRule type="expression" dxfId="424" priority="93">
      <formula>OR($D19="weekend")</formula>
    </cfRule>
    <cfRule type="expression" dxfId="423" priority="94" stopIfTrue="1">
      <formula>OR($D19="skoledag")</formula>
    </cfRule>
    <cfRule type="expression" dxfId="422" priority="95">
      <formula>OR($D19="Ikke relevant")</formula>
    </cfRule>
    <cfRule type="expression" dxfId="421" priority="85">
      <formula>OR($D19="pæd.dag")</formula>
    </cfRule>
    <cfRule type="expression" dxfId="420" priority="87">
      <formula>OR($D19="SH-dag")</formula>
    </cfRule>
    <cfRule type="expression" dxfId="419" priority="88">
      <formula>OR($D19="ekskursion")</formula>
    </cfRule>
    <cfRule type="expression" dxfId="418" priority="89">
      <formula>OR($D19="lejrskole")</formula>
    </cfRule>
    <cfRule type="expression" dxfId="417" priority="90">
      <formula>OR($D19="emnedag")</formula>
    </cfRule>
    <cfRule type="expression" dxfId="416" priority="91">
      <formula>OR($D19="fagdag")</formula>
    </cfRule>
  </conditionalFormatting>
  <conditionalFormatting sqref="E27">
    <cfRule type="expression" dxfId="415" priority="31" stopIfTrue="1">
      <formula>OR($D26="skoledag")</formula>
    </cfRule>
    <cfRule type="expression" dxfId="414" priority="32">
      <formula>OR($D26="Ikke relevant")</formula>
    </cfRule>
    <cfRule type="expression" dxfId="413" priority="30">
      <formula>OR($D26="weekend")</formula>
    </cfRule>
    <cfRule type="expression" dxfId="412" priority="29">
      <formula>OR($D26="feriedag")</formula>
    </cfRule>
    <cfRule type="expression" dxfId="411" priority="28">
      <formula>OR($D26="fagdag")</formula>
    </cfRule>
    <cfRule type="expression" dxfId="410" priority="27">
      <formula>OR($D26="emnedag")</formula>
    </cfRule>
    <cfRule type="expression" dxfId="409" priority="26">
      <formula>OR($D26="lejrskole")</formula>
    </cfRule>
    <cfRule type="expression" dxfId="408" priority="25">
      <formula>OR($D26="ekskursion")</formula>
    </cfRule>
    <cfRule type="expression" dxfId="407" priority="24">
      <formula>OR($D26="SH-dag")</formula>
    </cfRule>
    <cfRule type="expression" dxfId="406" priority="23">
      <formula>OR($D26="nul-dag")</formula>
    </cfRule>
    <cfRule type="expression" dxfId="405" priority="22">
      <formula>OR($D26="pæd.dag")</formula>
    </cfRule>
  </conditionalFormatting>
  <conditionalFormatting sqref="E34">
    <cfRule type="expression" dxfId="404" priority="21">
      <formula>OR($D33="Ikke relevant")</formula>
    </cfRule>
    <cfRule type="expression" dxfId="403" priority="20" stopIfTrue="1">
      <formula>OR($D33="skoledag")</formula>
    </cfRule>
    <cfRule type="expression" dxfId="402" priority="19">
      <formula>OR($D33="weekend")</formula>
    </cfRule>
    <cfRule type="expression" dxfId="401" priority="18">
      <formula>OR($D33="feriedag")</formula>
    </cfRule>
    <cfRule type="expression" dxfId="400" priority="17">
      <formula>OR($D33="fagdag")</formula>
    </cfRule>
    <cfRule type="expression" dxfId="399" priority="16">
      <formula>OR($D33="emnedag")</formula>
    </cfRule>
    <cfRule type="expression" dxfId="398" priority="15">
      <formula>OR($D33="lejrskole")</formula>
    </cfRule>
    <cfRule type="expression" dxfId="397" priority="14">
      <formula>OR($D33="ekskursion")</formula>
    </cfRule>
    <cfRule type="expression" dxfId="396" priority="13">
      <formula>OR($D33="SH-dag")</formula>
    </cfRule>
    <cfRule type="expression" dxfId="395" priority="12">
      <formula>OR($D33="nul-dag")</formula>
    </cfRule>
    <cfRule type="expression" dxfId="394" priority="11">
      <formula>OR($D33="pæd.dag")</formula>
    </cfRule>
  </conditionalFormatting>
  <conditionalFormatting sqref="H58:H61">
    <cfRule type="expression" dxfId="393" priority="1">
      <formula>OR($A58&gt;0,)</formula>
    </cfRule>
  </conditionalFormatting>
  <conditionalFormatting sqref="I58:I61">
    <cfRule type="expression" dxfId="392" priority="2">
      <formula>OR($C58&gt;0,)</formula>
    </cfRule>
  </conditionalFormatting>
  <conditionalFormatting sqref="K9:K39">
    <cfRule type="expression" dxfId="391" priority="67">
      <formula>OR($C9="Pæd.dag",)</formula>
    </cfRule>
  </conditionalFormatting>
  <conditionalFormatting sqref="K9:L39">
    <cfRule type="expression" dxfId="390" priority="68">
      <formula>OR($C9="Lejrskole",)</formula>
    </cfRule>
    <cfRule type="expression" dxfId="389" priority="69">
      <formula>OR($C9="Ekskursion",)</formula>
    </cfRule>
  </conditionalFormatting>
  <conditionalFormatting sqref="K9:M39">
    <cfRule type="expression" dxfId="388" priority="66">
      <formula>OR($C9="emnedag",)</formula>
    </cfRule>
    <cfRule type="expression" dxfId="387" priority="65">
      <formula>OR($C9="fagdag",)</formula>
    </cfRule>
  </conditionalFormatting>
  <conditionalFormatting sqref="R9:R39">
    <cfRule type="expression" dxfId="386" priority="96">
      <formula>OR($H9&gt;"0",)</formula>
    </cfRule>
  </conditionalFormatting>
  <conditionalFormatting sqref="V9:V39">
    <cfRule type="expression" dxfId="385" priority="10">
      <formula>OR($S9="X",)</formula>
    </cfRule>
  </conditionalFormatting>
  <conditionalFormatting sqref="V49:X52">
    <cfRule type="expression" dxfId="384" priority="3">
      <formula>OR($M49&gt;0,)</formula>
    </cfRule>
  </conditionalFormatting>
  <conditionalFormatting sqref="W9:W39">
    <cfRule type="expression" dxfId="383" priority="9">
      <formula>OR($T9="X",)</formula>
    </cfRule>
  </conditionalFormatting>
  <conditionalFormatting sqref="X9:X39">
    <cfRule type="expression" dxfId="382" priority="8">
      <formula>OR($U9="X",)</formula>
    </cfRule>
  </conditionalFormatting>
  <dataValidations count="3">
    <dataValidation type="list" allowBlank="1" showInputMessage="1" showErrorMessage="1" sqref="S9:T39 U9:U37 A58:D61" xr:uid="{279D01AC-9297-1849-AEDD-544AB54087D2}">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7:I28 I20:I21 I13:I14 I34:I35" xr:uid="{BF62690F-D7E4-994D-B26B-7D9CA6925AAF}">
      <formula1>$W$1:$W$2</formula1>
    </dataValidation>
    <dataValidation type="list" allowBlank="1" showInputMessage="1" showErrorMessage="1" promptTitle="OBS:" prompt="Ved arrangementer med overnatning ydes istedet for ulempe- og weekendgodtgørelse på hhv. 25% og 50% faste tillæg pr. påbegyndt dag. " sqref="J9:J39" xr:uid="{4C52EC2B-5E1C-6C41-831F-B92E6925EDF6}">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August!$A$89:$A$103</xm:f>
          </x14:formula1>
          <xm:sqref>C9:C39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112"/>
  <sheetViews>
    <sheetView topLeftCell="A4" zoomScaleNormal="100" workbookViewId="0">
      <selection activeCell="J36" sqref="J36"/>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814" t="s">
        <v>439</v>
      </c>
      <c r="D1" s="814"/>
      <c r="E1" s="814"/>
      <c r="F1" s="814"/>
      <c r="G1" s="814"/>
      <c r="H1" s="814"/>
      <c r="I1" s="814"/>
      <c r="J1" s="814"/>
      <c r="K1" s="354"/>
      <c r="L1" s="354"/>
    </row>
    <row r="2" spans="1:12" ht="56" customHeight="1">
      <c r="A2" s="13"/>
      <c r="B2" s="4"/>
      <c r="C2" s="1231" t="s">
        <v>342</v>
      </c>
      <c r="D2" s="1231"/>
      <c r="E2" s="1231"/>
      <c r="F2" s="1231"/>
      <c r="G2" s="1231"/>
      <c r="H2" s="1231"/>
      <c r="I2" s="1231"/>
      <c r="J2" s="1231"/>
      <c r="K2" s="353"/>
      <c r="L2" s="353"/>
    </row>
    <row r="3" spans="1:12" ht="43" customHeight="1">
      <c r="A3" s="13"/>
      <c r="B3" s="4"/>
      <c r="C3" s="1231" t="s">
        <v>440</v>
      </c>
      <c r="D3" s="1231"/>
      <c r="E3" s="1231"/>
      <c r="F3" s="1231"/>
      <c r="G3" s="1231"/>
      <c r="H3" s="1231"/>
      <c r="I3" s="1231"/>
      <c r="J3" s="1231"/>
      <c r="K3" s="353"/>
      <c r="L3" s="353"/>
    </row>
    <row r="4" spans="1:12" ht="56" customHeight="1">
      <c r="A4" s="13"/>
      <c r="B4" s="4"/>
      <c r="C4" s="1231" t="s">
        <v>695</v>
      </c>
      <c r="D4" s="1231"/>
      <c r="E4" s="1231"/>
      <c r="F4" s="1231"/>
      <c r="G4" s="1231"/>
      <c r="H4" s="1231"/>
      <c r="I4" s="1231"/>
      <c r="J4" s="1231"/>
      <c r="K4" s="353"/>
      <c r="L4" s="353"/>
    </row>
    <row r="5" spans="1:12" ht="62" customHeight="1">
      <c r="A5" s="13"/>
      <c r="B5" s="4"/>
      <c r="C5" s="1244" t="s">
        <v>694</v>
      </c>
      <c r="D5" s="1231"/>
      <c r="E5" s="1231"/>
      <c r="F5" s="1231"/>
      <c r="G5" s="1231"/>
      <c r="H5" s="1231"/>
      <c r="I5" s="1231"/>
      <c r="J5" s="1231"/>
      <c r="K5" s="353"/>
      <c r="L5" s="353"/>
    </row>
    <row r="6" spans="1:12" ht="81" customHeight="1">
      <c r="A6" s="13"/>
      <c r="B6" s="4"/>
      <c r="C6" s="1231" t="s">
        <v>696</v>
      </c>
      <c r="D6" s="1231"/>
      <c r="E6" s="1231"/>
      <c r="F6" s="1231"/>
      <c r="G6" s="1231"/>
      <c r="H6" s="1231"/>
      <c r="I6" s="1231"/>
      <c r="J6" s="1231"/>
      <c r="K6" s="353"/>
      <c r="L6" s="353"/>
    </row>
    <row r="7" spans="1:12" s="6" customFormat="1" ht="24" customHeight="1" thickBot="1">
      <c r="A7" s="1246" t="s">
        <v>441</v>
      </c>
      <c r="B7" s="1246"/>
      <c r="C7" s="1245" t="s">
        <v>442</v>
      </c>
      <c r="D7" s="1245"/>
      <c r="E7" s="1245"/>
      <c r="F7" s="1245"/>
      <c r="G7" s="1245"/>
      <c r="H7" s="1245"/>
      <c r="I7" s="1245"/>
      <c r="J7" s="1245"/>
      <c r="K7" s="467"/>
      <c r="L7" s="467"/>
    </row>
    <row r="8" spans="1:12" ht="28" customHeight="1">
      <c r="A8" s="1155">
        <v>1</v>
      </c>
      <c r="B8" s="1248" t="s">
        <v>25</v>
      </c>
      <c r="C8" s="1249"/>
      <c r="D8" s="1249"/>
      <c r="E8" s="1249"/>
      <c r="F8" s="1249"/>
      <c r="G8" s="1249"/>
      <c r="H8" s="1249"/>
      <c r="I8" s="1249"/>
      <c r="J8" s="1250"/>
    </row>
    <row r="9" spans="1:12" ht="20" customHeight="1">
      <c r="A9" s="1156"/>
      <c r="B9" s="1251" t="str">
        <f>"Der er for perioden: "&amp;Stamoplysninger!E11&amp;" - "&amp;Stamoplysninger!G11&amp;" planlagt følgende arbejdstid:"</f>
        <v>Der er for perioden:  -  planlagt følgende arbejdstid:</v>
      </c>
      <c r="C9" s="1252"/>
      <c r="D9" s="1252"/>
      <c r="E9" s="1252"/>
      <c r="F9" s="1252"/>
      <c r="G9" s="1252"/>
      <c r="H9" s="1252"/>
      <c r="I9" s="1252"/>
      <c r="J9" s="1253"/>
      <c r="K9" s="602">
        <v>261</v>
      </c>
    </row>
    <row r="10" spans="1:12" ht="26" customHeight="1">
      <c r="A10" s="1156"/>
      <c r="B10" s="1289" t="str">
        <f>IF(Stamoplysninger!E8&gt;0,Stamoplysninger!E8,"")</f>
        <v/>
      </c>
      <c r="C10" s="1290"/>
      <c r="D10" s="1290"/>
      <c r="E10" s="1290"/>
      <c r="F10" s="1290"/>
      <c r="G10" s="1290"/>
      <c r="H10" s="1290"/>
      <c r="I10" s="1290"/>
      <c r="J10" s="1291"/>
    </row>
    <row r="11" spans="1:12" ht="32" customHeight="1">
      <c r="A11" s="1156"/>
      <c r="B11" s="1241"/>
      <c r="C11" s="1242"/>
      <c r="D11" s="1242"/>
      <c r="E11" s="1242"/>
      <c r="F11" s="1243"/>
      <c r="G11" s="1247" t="s">
        <v>10</v>
      </c>
      <c r="H11" s="1247"/>
      <c r="I11" s="1235" t="s">
        <v>30</v>
      </c>
      <c r="J11" s="1236"/>
    </row>
    <row r="12" spans="1:12" ht="32" customHeight="1">
      <c r="A12" s="1156"/>
      <c r="B12" s="1255" t="s">
        <v>215</v>
      </c>
      <c r="C12" s="1201"/>
      <c r="D12" s="1201"/>
      <c r="E12" s="1201"/>
      <c r="F12" s="1202"/>
      <c r="G12" s="1233">
        <f>August!$D$78+September!$D$77+Oktober!$D$78+November!$D$77+December!$D$78+Januar!$D$78+Februar!$D$76+Marts!$D$78+April!$D$77+Maj!$D$78+Juni!$D$77+Juli!$D$78</f>
        <v>261</v>
      </c>
      <c r="H12" s="1233"/>
      <c r="I12" s="1237">
        <f>IF(Stamoplysninger!E12="Ja",1924/K9*G12*Stamoplysninger!E15,Arbejdstidsoversigt!G12*7.4*Stamoplysninger!E15)</f>
        <v>1924</v>
      </c>
      <c r="J12" s="1238"/>
    </row>
    <row r="13" spans="1:12" ht="32" customHeight="1">
      <c r="A13" s="1156"/>
      <c r="B13" s="1255" t="s">
        <v>216</v>
      </c>
      <c r="C13" s="1201"/>
      <c r="D13" s="1201"/>
      <c r="E13" s="1201"/>
      <c r="F13" s="1202"/>
      <c r="G13" s="1233">
        <f>August!$D$72+September!$D$71+Oktober!$D$72+November!$D$71+December!$D$72+Januar!$D$72+Februar!$D$70+Marts!$D$72+April!$D$71+Maj!$D$72+Juni!$D$71+Juli!$D$72</f>
        <v>8</v>
      </c>
      <c r="H13" s="1233"/>
      <c r="I13" s="1237">
        <f>G13*7.4*Stamoplysninger!E15</f>
        <v>59.2</v>
      </c>
      <c r="J13" s="1238"/>
    </row>
    <row r="14" spans="1:12" ht="32" customHeight="1">
      <c r="A14" s="1156"/>
      <c r="B14" s="1255" t="s">
        <v>217</v>
      </c>
      <c r="C14" s="1201"/>
      <c r="D14" s="1201"/>
      <c r="E14" s="1201"/>
      <c r="F14" s="1202"/>
      <c r="G14" s="1233">
        <f>August!$D$73+September!$D$72+Oktober!$D$73+November!$D$72+December!$D$73+Januar!$D$73+Februar!$D$71+Marts!$D$73+April!$D$72+Maj!$D$73+Juni!$D$72+Juli!$D$73</f>
        <v>25</v>
      </c>
      <c r="H14" s="1233"/>
      <c r="I14" s="1237">
        <f>G14*Stamoplysninger!E15*7.4</f>
        <v>185</v>
      </c>
      <c r="J14" s="1238"/>
    </row>
    <row r="15" spans="1:12" ht="32" customHeight="1" thickBot="1">
      <c r="A15" s="1156"/>
      <c r="B15" s="1256" t="s">
        <v>25</v>
      </c>
      <c r="C15" s="1257"/>
      <c r="D15" s="1257"/>
      <c r="E15" s="1257"/>
      <c r="F15" s="1258"/>
      <c r="G15" s="1234">
        <f>G12-G13-G14</f>
        <v>228</v>
      </c>
      <c r="H15" s="1234"/>
      <c r="I15" s="1239">
        <f>I12-I13-I14</f>
        <v>1679.8</v>
      </c>
      <c r="J15" s="1240"/>
    </row>
    <row r="16" spans="1:12" ht="26" customHeight="1" thickBot="1">
      <c r="A16" s="1157"/>
      <c r="B16" s="1171" t="str">
        <f>"Normperiodens "&amp;G15&amp;" dage fordeler sig således:"</f>
        <v>Normperiodens 228 dage fordeler sig således:</v>
      </c>
      <c r="C16" s="1172"/>
      <c r="D16" s="1172"/>
      <c r="E16" s="1172"/>
      <c r="F16" s="1172"/>
      <c r="G16" s="1172"/>
      <c r="H16" s="1172"/>
      <c r="I16" s="1172"/>
      <c r="J16" s="1173"/>
    </row>
    <row r="17" spans="1:14" ht="26" customHeight="1">
      <c r="A17" s="1157"/>
      <c r="B17" s="1158" t="s">
        <v>689</v>
      </c>
      <c r="C17" s="1159"/>
      <c r="D17" s="1159"/>
      <c r="E17" s="1159"/>
      <c r="F17" s="1159"/>
      <c r="G17" s="1159"/>
      <c r="H17" s="1159"/>
      <c r="I17" s="1160">
        <f>Aar!AE37</f>
        <v>0</v>
      </c>
      <c r="J17" s="1161" t="e">
        <f>H17=August!C23+#REF!+#REF!+#REF!+#REF!+#REF!+#REF!+#REF!+#REF!+#REF!+#REF!+#REF!</f>
        <v>#VALUE!</v>
      </c>
    </row>
    <row r="18" spans="1:14" ht="26" customHeight="1">
      <c r="A18" s="1157"/>
      <c r="B18" s="1162" t="s">
        <v>178</v>
      </c>
      <c r="C18" s="1163"/>
      <c r="D18" s="1163"/>
      <c r="E18" s="1163"/>
      <c r="F18" s="1163"/>
      <c r="G18" s="1163"/>
      <c r="H18" s="1163"/>
      <c r="I18" s="1164">
        <f>Aar!AM35</f>
        <v>28</v>
      </c>
      <c r="J18" s="1165" t="e">
        <f>H18=August!C24+#REF!+#REF!+#REF!+#REF!+#REF!+#REF!+#REF!+#REF!+#REF!+#REF!+#REF!</f>
        <v>#VALUE!</v>
      </c>
    </row>
    <row r="19" spans="1:14" ht="26" customHeight="1">
      <c r="A19" s="1157"/>
      <c r="B19" s="1162" t="s">
        <v>418</v>
      </c>
      <c r="C19" s="1163"/>
      <c r="D19" s="1163"/>
      <c r="E19" s="1163"/>
      <c r="F19" s="1163"/>
      <c r="G19" s="1163"/>
      <c r="H19" s="1163"/>
      <c r="I19" s="1164">
        <f>Aar!AV37</f>
        <v>0</v>
      </c>
      <c r="J19" s="1165" t="e">
        <f>H19=August!C25+#REF!+#REF!+#REF!+#REF!+#REF!+#REF!+#REF!+#REF!+#REF!+#REF!+#REF!</f>
        <v>#VALUE!</v>
      </c>
    </row>
    <row r="20" spans="1:14" ht="23" customHeight="1">
      <c r="A20" s="1157"/>
      <c r="B20" s="1174" t="s">
        <v>329</v>
      </c>
      <c r="C20" s="1175"/>
      <c r="D20" s="1175"/>
      <c r="E20" s="1175"/>
      <c r="F20" s="1175"/>
      <c r="G20" s="1175"/>
      <c r="H20" s="1175"/>
      <c r="I20" s="1176">
        <f>I39</f>
        <v>0</v>
      </c>
      <c r="J20" s="1177" t="e">
        <f>H20=August!C25+#REF!+#REF!+#REF!+#REF!+#REF!+#REF!+#REF!+#REF!+#REF!+#REF!+#REF!</f>
        <v>#VALUE!</v>
      </c>
    </row>
    <row r="21" spans="1:14" ht="29" customHeight="1">
      <c r="A21" s="1157"/>
      <c r="B21" s="1174" t="s">
        <v>244</v>
      </c>
      <c r="C21" s="1175"/>
      <c r="D21" s="1175"/>
      <c r="E21" s="1175"/>
      <c r="F21" s="1175"/>
      <c r="G21" s="1175"/>
      <c r="H21" s="1175"/>
      <c r="I21" s="1178">
        <f>I40</f>
        <v>200</v>
      </c>
      <c r="J21" s="1179"/>
    </row>
    <row r="22" spans="1:14" ht="29" customHeight="1">
      <c r="A22" s="1157"/>
      <c r="B22" s="1174" t="s">
        <v>245</v>
      </c>
      <c r="C22" s="1175"/>
      <c r="D22" s="1175"/>
      <c r="E22" s="1175"/>
      <c r="F22" s="1175"/>
      <c r="G22" s="1175"/>
      <c r="H22" s="1175"/>
      <c r="I22" s="1178">
        <f>I41</f>
        <v>0</v>
      </c>
      <c r="J22" s="1179"/>
    </row>
    <row r="23" spans="1:14" ht="21" customHeight="1" thickBot="1">
      <c r="A23" s="1157"/>
      <c r="B23" s="1180" t="s">
        <v>73</v>
      </c>
      <c r="C23" s="1181"/>
      <c r="D23" s="1181"/>
      <c r="E23" s="1181"/>
      <c r="F23" s="1181"/>
      <c r="G23" s="1181"/>
      <c r="H23" s="1181"/>
      <c r="I23" s="1182">
        <f>I20+I21+I22</f>
        <v>200</v>
      </c>
      <c r="J23" s="1183"/>
      <c r="K23" s="1166" t="str">
        <f>IF(I23&lt;&gt;200,"OBS der er normalt 200 skoledage i et skoleår"," ")</f>
        <v xml:space="preserve"> </v>
      </c>
      <c r="L23" s="1166"/>
      <c r="M23" s="1166"/>
      <c r="N23" s="1166"/>
    </row>
    <row r="24" spans="1:14" ht="16" customHeight="1" thickBot="1">
      <c r="A24" s="25"/>
      <c r="B24" s="4"/>
      <c r="C24" s="33"/>
      <c r="D24" s="33"/>
      <c r="E24" s="33"/>
      <c r="F24" s="33"/>
      <c r="G24" s="33"/>
      <c r="H24" s="33"/>
    </row>
    <row r="25" spans="1:14" ht="25" customHeight="1">
      <c r="A25" s="1192">
        <v>2</v>
      </c>
      <c r="B25" s="1194" t="str">
        <f>""&amp;Stamoplysninger!E8&amp;"'s arbejdstid for normperioden "&amp;Stamoplysninger!E11&amp;" - "&amp;Stamoplysninger!G11&amp;" fordeler sig således:"</f>
        <v>'s arbejdstid for normperioden  -  fordeler sig således:</v>
      </c>
      <c r="C25" s="1195"/>
      <c r="D25" s="1195"/>
      <c r="E25" s="1195"/>
      <c r="F25" s="1195"/>
      <c r="G25" s="1195"/>
      <c r="H25" s="1195"/>
      <c r="I25" s="1195"/>
      <c r="J25" s="1196"/>
    </row>
    <row r="26" spans="1:14" ht="15" customHeight="1">
      <c r="A26" s="1193"/>
      <c r="B26" s="1197" t="s">
        <v>335</v>
      </c>
      <c r="C26" s="1198"/>
      <c r="D26" s="1198"/>
      <c r="E26" s="1198"/>
      <c r="F26" s="1198"/>
      <c r="G26" s="1198"/>
      <c r="H26" s="1198"/>
      <c r="I26" s="1198"/>
      <c r="J26" s="1199"/>
    </row>
    <row r="27" spans="1:14" ht="17" customHeight="1">
      <c r="A27" s="1193"/>
      <c r="B27" s="475"/>
      <c r="C27" s="355"/>
      <c r="D27" s="355"/>
      <c r="E27" s="355"/>
      <c r="F27" s="355"/>
      <c r="G27" s="355"/>
      <c r="H27" s="355"/>
      <c r="I27" s="356"/>
      <c r="J27" s="357" t="s">
        <v>30</v>
      </c>
    </row>
    <row r="28" spans="1:14" ht="17" customHeight="1">
      <c r="A28" s="1193"/>
      <c r="B28" s="1200" t="s">
        <v>56</v>
      </c>
      <c r="C28" s="1201"/>
      <c r="D28" s="1201"/>
      <c r="E28" s="1201"/>
      <c r="F28" s="1201"/>
      <c r="G28" s="1201"/>
      <c r="H28" s="1201"/>
      <c r="I28" s="1202"/>
      <c r="J28" s="358">
        <f>J48</f>
        <v>1679.8</v>
      </c>
    </row>
    <row r="29" spans="1:14" ht="17" customHeight="1">
      <c r="A29" s="1193"/>
      <c r="B29" s="1200" t="s">
        <v>316</v>
      </c>
      <c r="C29" s="1201"/>
      <c r="D29" s="1201"/>
      <c r="E29" s="1201"/>
      <c r="F29" s="1201"/>
      <c r="G29" s="1201"/>
      <c r="H29" s="1201"/>
      <c r="I29" s="1202"/>
      <c r="J29" s="358">
        <f>I67</f>
        <v>0</v>
      </c>
    </row>
    <row r="30" spans="1:14" ht="17" customHeight="1">
      <c r="A30" s="1193"/>
      <c r="B30" s="1203" t="s">
        <v>90</v>
      </c>
      <c r="C30" s="1204"/>
      <c r="D30" s="1204"/>
      <c r="E30" s="1204"/>
      <c r="F30" s="1204"/>
      <c r="G30" s="1204"/>
      <c r="H30" s="1204"/>
      <c r="I30" s="1205"/>
      <c r="J30" s="358">
        <f>J49</f>
        <v>0</v>
      </c>
    </row>
    <row r="31" spans="1:14" ht="17" customHeight="1">
      <c r="A31" s="1193"/>
      <c r="B31" s="1203" t="s">
        <v>123</v>
      </c>
      <c r="C31" s="1204"/>
      <c r="D31" s="1204"/>
      <c r="E31" s="1204"/>
      <c r="F31" s="1204"/>
      <c r="G31" s="1204"/>
      <c r="H31" s="1204"/>
      <c r="I31" s="1205"/>
      <c r="J31" s="358">
        <f>J50</f>
        <v>0</v>
      </c>
    </row>
    <row r="32" spans="1:14" ht="17" customHeight="1">
      <c r="A32" s="1193"/>
      <c r="B32" s="1203" t="s">
        <v>169</v>
      </c>
      <c r="C32" s="1204"/>
      <c r="D32" s="1204"/>
      <c r="E32" s="1204"/>
      <c r="F32" s="1204"/>
      <c r="G32" s="1204"/>
      <c r="H32" s="1204"/>
      <c r="I32" s="1205"/>
      <c r="J32" s="358">
        <f t="shared" ref="J32:J35" si="0">J51</f>
        <v>0</v>
      </c>
    </row>
    <row r="33" spans="1:14" ht="16" customHeight="1">
      <c r="A33" s="1193"/>
      <c r="B33" s="476" t="s">
        <v>416</v>
      </c>
      <c r="C33" s="445"/>
      <c r="D33" s="445"/>
      <c r="E33" s="445"/>
      <c r="F33" s="445"/>
      <c r="G33" s="445"/>
      <c r="H33" s="445"/>
      <c r="I33" s="446"/>
      <c r="J33" s="358">
        <f t="shared" si="0"/>
        <v>0</v>
      </c>
    </row>
    <row r="34" spans="1:14" ht="17" customHeight="1">
      <c r="A34" s="1193"/>
      <c r="B34" s="1203" t="s">
        <v>278</v>
      </c>
      <c r="C34" s="1204"/>
      <c r="D34" s="1204"/>
      <c r="E34" s="1204"/>
      <c r="F34" s="1204"/>
      <c r="G34" s="1204"/>
      <c r="H34" s="1204"/>
      <c r="I34" s="1205"/>
      <c r="J34" s="358">
        <f t="shared" si="0"/>
        <v>0</v>
      </c>
    </row>
    <row r="35" spans="1:14" ht="17" customHeight="1" thickBot="1">
      <c r="A35" s="1193"/>
      <c r="B35" s="1206" t="s">
        <v>452</v>
      </c>
      <c r="C35" s="1207"/>
      <c r="D35" s="1207"/>
      <c r="E35" s="1207"/>
      <c r="F35" s="1207"/>
      <c r="G35" s="1207"/>
      <c r="H35" s="1207"/>
      <c r="I35" s="1208"/>
      <c r="J35" s="358">
        <f t="shared" si="0"/>
        <v>0</v>
      </c>
    </row>
    <row r="36" spans="1:14" ht="17" customHeight="1">
      <c r="A36" s="1193"/>
      <c r="B36" s="1209" t="str">
        <f>"Rest arbejdstid til i alt "&amp;I40&amp;" skemadage"</f>
        <v>Rest arbejdstid til i alt 200 skemadage</v>
      </c>
      <c r="C36" s="1210"/>
      <c r="D36" s="1210"/>
      <c r="E36" s="1210"/>
      <c r="F36" s="1210"/>
      <c r="G36" s="1210"/>
      <c r="H36" s="1210"/>
      <c r="I36" s="1211"/>
      <c r="J36" s="222">
        <f>J28-J30-J31-J32-J33-J34-J35-J29</f>
        <v>1679.8</v>
      </c>
    </row>
    <row r="37" spans="1:14" ht="26" hidden="1" customHeight="1">
      <c r="A37" s="707"/>
      <c r="B37" s="1312" t="str">
        <f>"Arbejdstiden til skemadage der udgør "&amp;J36&amp;" fordeles på "&amp;I40&amp;" skemadage i skema 3."</f>
        <v>Arbejdstiden til skemadage der udgør 1679,8 fordeles på 200 skemadage i skema 3.</v>
      </c>
      <c r="C37" s="1195"/>
      <c r="D37" s="1195"/>
      <c r="E37" s="1195"/>
      <c r="F37" s="1195"/>
      <c r="G37" s="1195"/>
      <c r="H37" s="1195"/>
      <c r="I37" s="1195"/>
      <c r="J37" s="1196"/>
    </row>
    <row r="38" spans="1:14" ht="19" hidden="1" customHeight="1" thickBot="1">
      <c r="A38" s="707"/>
      <c r="B38" s="1313" t="s">
        <v>343</v>
      </c>
      <c r="C38" s="1314"/>
      <c r="D38" s="1314"/>
      <c r="E38" s="1314"/>
      <c r="F38" s="1314"/>
      <c r="G38" s="1314"/>
      <c r="H38" s="1314"/>
      <c r="I38" s="1314"/>
      <c r="J38" s="1315"/>
    </row>
    <row r="39" spans="1:14" ht="23" hidden="1" customHeight="1">
      <c r="A39" s="707"/>
      <c r="B39" s="1316" t="s">
        <v>329</v>
      </c>
      <c r="C39" s="1317"/>
      <c r="D39" s="1317"/>
      <c r="E39" s="1317"/>
      <c r="F39" s="1317"/>
      <c r="G39" s="1317"/>
      <c r="H39" s="1317"/>
      <c r="I39" s="1318">
        <f>I63</f>
        <v>0</v>
      </c>
      <c r="J39" s="1319" t="e">
        <f>H39=August!C44+#REF!+#REF!+#REF!+#REF!+#REF!+#REF!+#REF!+#REF!+#REF!+#REF!+#REF!</f>
        <v>#REF!</v>
      </c>
    </row>
    <row r="40" spans="1:14" ht="29" hidden="1" customHeight="1">
      <c r="A40" s="707"/>
      <c r="B40" s="1184" t="s">
        <v>244</v>
      </c>
      <c r="C40" s="1185"/>
      <c r="D40" s="1185"/>
      <c r="E40" s="1185"/>
      <c r="F40" s="1185"/>
      <c r="G40" s="1185"/>
      <c r="H40" s="1185"/>
      <c r="I40" s="1186">
        <f>I64</f>
        <v>200</v>
      </c>
      <c r="J40" s="1187"/>
    </row>
    <row r="41" spans="1:14" ht="29" hidden="1" customHeight="1">
      <c r="A41" s="707"/>
      <c r="B41" s="1184" t="s">
        <v>245</v>
      </c>
      <c r="C41" s="1185"/>
      <c r="D41" s="1185"/>
      <c r="E41" s="1185"/>
      <c r="F41" s="1185"/>
      <c r="G41" s="1185"/>
      <c r="H41" s="1185"/>
      <c r="I41" s="1186">
        <f>I65</f>
        <v>0</v>
      </c>
      <c r="J41" s="1187"/>
    </row>
    <row r="42" spans="1:14" ht="21" hidden="1" customHeight="1">
      <c r="A42" s="707"/>
      <c r="B42" s="1188" t="s">
        <v>73</v>
      </c>
      <c r="C42" s="1189"/>
      <c r="D42" s="1189"/>
      <c r="E42" s="1189"/>
      <c r="F42" s="1189"/>
      <c r="G42" s="1189"/>
      <c r="H42" s="1189"/>
      <c r="I42" s="1190">
        <f>I39+I40+I41</f>
        <v>200</v>
      </c>
      <c r="J42" s="1191"/>
      <c r="K42" s="1166" t="str">
        <f>IF(I42&lt;&gt;200,"OBS der er normalt 200 skoledage i et skoleår"," ")</f>
        <v xml:space="preserve"> </v>
      </c>
      <c r="L42" s="1166"/>
      <c r="M42" s="1166"/>
      <c r="N42" s="1166"/>
    </row>
    <row r="43" spans="1:14" ht="33" customHeight="1" thickBot="1">
      <c r="A43" s="707"/>
      <c r="B43" s="1167" t="str">
        <f>"Gns. arbejdstid på "&amp;I40&amp;" skoleskemadage der fordeles herunder. (Check i række104 at timerne anvendes og rammesættes i skema 3)"</f>
        <v>Gns. arbejdstid på 200 skoleskemadage der fordeles herunder. (Check i række104 at timerne anvendes og rammesættes i skema 3)</v>
      </c>
      <c r="C43" s="1168"/>
      <c r="D43" s="1168"/>
      <c r="E43" s="1168"/>
      <c r="F43" s="1168"/>
      <c r="G43" s="1168"/>
      <c r="H43" s="1168"/>
      <c r="I43" s="1169">
        <f>I68</f>
        <v>8.3989999999999991</v>
      </c>
      <c r="J43" s="1170"/>
    </row>
    <row r="44" spans="1:14" s="713" customFormat="1" ht="16" hidden="1" customHeight="1" thickBot="1">
      <c r="A44" s="710"/>
      <c r="B44" s="711"/>
      <c r="C44" s="712"/>
      <c r="D44" s="712"/>
      <c r="E44" s="712"/>
      <c r="F44" s="712"/>
      <c r="G44" s="712"/>
      <c r="H44" s="712"/>
    </row>
    <row r="45" spans="1:14" s="713" customFormat="1" ht="25" hidden="1" customHeight="1">
      <c r="A45" s="1274">
        <v>2</v>
      </c>
      <c r="B45" s="1259" t="s">
        <v>334</v>
      </c>
      <c r="C45" s="1260"/>
      <c r="D45" s="1260"/>
      <c r="E45" s="1260"/>
      <c r="F45" s="1260"/>
      <c r="G45" s="1260"/>
      <c r="H45" s="1260"/>
      <c r="I45" s="1260"/>
      <c r="J45" s="1261"/>
      <c r="K45" s="713" t="s">
        <v>692</v>
      </c>
    </row>
    <row r="46" spans="1:14" s="713" customFormat="1" ht="15" hidden="1" customHeight="1">
      <c r="A46" s="1275"/>
      <c r="B46" s="1280" t="s">
        <v>335</v>
      </c>
      <c r="C46" s="1281"/>
      <c r="D46" s="1281"/>
      <c r="E46" s="1281"/>
      <c r="F46" s="1281"/>
      <c r="G46" s="1281"/>
      <c r="H46" s="1281"/>
      <c r="I46" s="1281"/>
      <c r="J46" s="1282"/>
    </row>
    <row r="47" spans="1:14" s="713" customFormat="1" ht="17" hidden="1" customHeight="1">
      <c r="A47" s="1275"/>
      <c r="B47" s="714"/>
      <c r="C47" s="715"/>
      <c r="D47" s="715"/>
      <c r="E47" s="715"/>
      <c r="F47" s="715"/>
      <c r="G47" s="715"/>
      <c r="H47" s="715"/>
      <c r="I47" s="716"/>
      <c r="J47" s="717" t="s">
        <v>30</v>
      </c>
    </row>
    <row r="48" spans="1:14" s="713" customFormat="1" ht="17" hidden="1" customHeight="1">
      <c r="A48" s="1275"/>
      <c r="B48" s="1283" t="s">
        <v>56</v>
      </c>
      <c r="C48" s="1284"/>
      <c r="D48" s="1284"/>
      <c r="E48" s="1284"/>
      <c r="F48" s="1284"/>
      <c r="G48" s="1284"/>
      <c r="H48" s="1284"/>
      <c r="I48" s="1285"/>
      <c r="J48" s="718">
        <f>I15</f>
        <v>1679.8</v>
      </c>
    </row>
    <row r="49" spans="1:11" s="713" customFormat="1" ht="17" hidden="1" customHeight="1">
      <c r="A49" s="1275"/>
      <c r="B49" s="1286" t="s">
        <v>90</v>
      </c>
      <c r="C49" s="1287"/>
      <c r="D49" s="1287"/>
      <c r="E49" s="1287"/>
      <c r="F49" s="1287"/>
      <c r="G49" s="1287"/>
      <c r="H49" s="1287"/>
      <c r="I49" s="1288"/>
      <c r="J49" s="718">
        <f>August!AC41+September!AC39+Oktober!AC40+November!AC39+December!AC40+Januar!AC40+Februar!AC38+Marts!AC40+April!AC39+Maj!AC40+Juni!AC39+Juli!AC40</f>
        <v>0</v>
      </c>
    </row>
    <row r="50" spans="1:11" s="713" customFormat="1" ht="17" hidden="1" customHeight="1">
      <c r="A50" s="1275"/>
      <c r="B50" s="1286" t="s">
        <v>123</v>
      </c>
      <c r="C50" s="1287"/>
      <c r="D50" s="1287"/>
      <c r="E50" s="1287"/>
      <c r="F50" s="1287"/>
      <c r="G50" s="1287"/>
      <c r="H50" s="1287"/>
      <c r="I50" s="1288"/>
      <c r="J50" s="718">
        <f>August!AD41+August!AE41+September!AD39+September!AE39+Oktober!AD40+Oktober!AE40+November!AD39+November!AE39+December!AD40+December!AE40+Januar!AD40+Januar!AE40+Februar!AD38+Februar!AE38+Marts!AD40+Marts!AE40+April!AD39+April!AE39+Maj!AD40+Maj!AE40+Juni!AD39+Juni!AE39+Juli!AD40+Juli!AE40</f>
        <v>0</v>
      </c>
    </row>
    <row r="51" spans="1:11" s="713" customFormat="1" ht="17" hidden="1" customHeight="1">
      <c r="A51" s="1275"/>
      <c r="B51" s="1286" t="s">
        <v>169</v>
      </c>
      <c r="C51" s="1287"/>
      <c r="D51" s="1287"/>
      <c r="E51" s="1287"/>
      <c r="F51" s="1287"/>
      <c r="G51" s="1287"/>
      <c r="H51" s="1287"/>
      <c r="I51" s="1288"/>
      <c r="J51" s="718">
        <f>August!R41+September!R39+Oktober!R40+November!R39+December!R40+Januar!R40+Februar!R38+Marts!R40+April!R39+Maj!R40+Juni!R39+Juli!R40+August!V106+September!V105+Oktober!V106+November!V105+December!V106+Januar!V106+Februar!V104+Marts!V106+April!V105+Maj!V106+Juni!V105+Juli!V106</f>
        <v>0</v>
      </c>
    </row>
    <row r="52" spans="1:11" s="713" customFormat="1" ht="16" hidden="1" customHeight="1">
      <c r="A52" s="1275"/>
      <c r="B52" s="719" t="s">
        <v>416</v>
      </c>
      <c r="C52" s="720"/>
      <c r="D52" s="720"/>
      <c r="E52" s="720"/>
      <c r="F52" s="720"/>
      <c r="G52" s="720"/>
      <c r="H52" s="720"/>
      <c r="I52" s="721"/>
      <c r="J52" s="722">
        <f>August!AF41+September!AF39+Oktober!AF40+November!AF39+December!AF40+Januar!AF40+Februar!AF38+Marts!AF40+April!AF39+Maj!AF40+Juni!AF39+Juli!AF40</f>
        <v>0</v>
      </c>
    </row>
    <row r="53" spans="1:11" s="713" customFormat="1" ht="17" hidden="1" customHeight="1">
      <c r="A53" s="1275"/>
      <c r="B53" s="1286" t="s">
        <v>278</v>
      </c>
      <c r="C53" s="1287"/>
      <c r="D53" s="1287"/>
      <c r="E53" s="1287"/>
      <c r="F53" s="1287"/>
      <c r="G53" s="1287"/>
      <c r="H53" s="1287"/>
      <c r="I53" s="1288"/>
      <c r="J53" s="723">
        <f>Skemaoplysninger!I91</f>
        <v>0</v>
      </c>
    </row>
    <row r="54" spans="1:11" s="713" customFormat="1" ht="17" hidden="1" customHeight="1" thickBot="1">
      <c r="A54" s="1275"/>
      <c r="B54" s="1309" t="s">
        <v>452</v>
      </c>
      <c r="C54" s="1310"/>
      <c r="D54" s="1310"/>
      <c r="E54" s="1310"/>
      <c r="F54" s="1310"/>
      <c r="G54" s="1310"/>
      <c r="H54" s="1310"/>
      <c r="I54" s="1311"/>
      <c r="J54" s="724">
        <f>August!I49+September!I47+Oktober!I48+November!I47+December!I48+Januar!I48+Februar!I46+Marts!I48+April!I47+Maj!I48+Juni!I47+Juli!I48</f>
        <v>0</v>
      </c>
    </row>
    <row r="55" spans="1:11" s="713" customFormat="1" ht="17" hidden="1" customHeight="1">
      <c r="A55" s="1275"/>
      <c r="B55" s="1306" t="s">
        <v>336</v>
      </c>
      <c r="C55" s="1307"/>
      <c r="D55" s="1307"/>
      <c r="E55" s="1307"/>
      <c r="F55" s="1307"/>
      <c r="G55" s="1307"/>
      <c r="H55" s="1307"/>
      <c r="I55" s="1308"/>
      <c r="J55" s="725">
        <f>J48-J49-J50-J51-J52-J53-J54</f>
        <v>1679.8</v>
      </c>
    </row>
    <row r="56" spans="1:11" s="713" customFormat="1" ht="17" hidden="1" customHeight="1">
      <c r="A56" s="1275"/>
      <c r="B56" s="1286" t="s">
        <v>246</v>
      </c>
      <c r="C56" s="1287"/>
      <c r="D56" s="1287"/>
      <c r="E56" s="1287"/>
      <c r="F56" s="1287"/>
      <c r="G56" s="1287"/>
      <c r="H56" s="1287"/>
      <c r="I56" s="1288"/>
      <c r="J56" s="726">
        <f>Skemaoplysninger!BD37</f>
        <v>0</v>
      </c>
    </row>
    <row r="57" spans="1:11" s="713" customFormat="1" ht="17" hidden="1" customHeight="1">
      <c r="A57" s="1275"/>
      <c r="B57" s="1286" t="s">
        <v>337</v>
      </c>
      <c r="C57" s="1287"/>
      <c r="D57" s="1287"/>
      <c r="E57" s="1287"/>
      <c r="F57" s="1287"/>
      <c r="G57" s="1287"/>
      <c r="H57" s="1287"/>
      <c r="I57" s="1288"/>
      <c r="J57" s="723">
        <f>August!BE41+August!BF41+September!BE39+September!BF39+Oktober!BE40+Oktober!BF40+November!BE39+November!BF39+December!BE40+December!BF40+Januar!BE40+Januar!BF40+Februar!BE38+Februar!BF38+Marts!BE40+Marts!BF40+April!BE39+April!BF39+Maj!BE40+Maj!BF40+Juni!BE39+Juni!BF39+Juli!BE40+Juli!BF40</f>
        <v>0</v>
      </c>
    </row>
    <row r="58" spans="1:11" s="713" customFormat="1" ht="17" hidden="1" customHeight="1">
      <c r="A58" s="1275"/>
      <c r="B58" s="1286" t="s">
        <v>338</v>
      </c>
      <c r="C58" s="1287"/>
      <c r="D58" s="1287"/>
      <c r="E58" s="1287"/>
      <c r="F58" s="1287"/>
      <c r="G58" s="1287"/>
      <c r="H58" s="1287"/>
      <c r="I58" s="1288"/>
      <c r="J58" s="727">
        <f>IF(Stamoplysninger!H29="Ja",Stamoplysninger!H30/200*I66,Skemaoplysninger!BD40+Skemaoplysninger!BD41)</f>
        <v>0</v>
      </c>
    </row>
    <row r="59" spans="1:11" s="713" customFormat="1" ht="34" hidden="1" customHeight="1" thickBot="1">
      <c r="A59" s="1275"/>
      <c r="B59" s="1293" t="s">
        <v>453</v>
      </c>
      <c r="C59" s="1294"/>
      <c r="D59" s="1294"/>
      <c r="E59" s="1294"/>
      <c r="F59" s="1294"/>
      <c r="G59" s="1294"/>
      <c r="H59" s="1294"/>
      <c r="I59" s="1295"/>
      <c r="J59" s="728">
        <f>J55-J56-J57-J58</f>
        <v>1679.8</v>
      </c>
    </row>
    <row r="60" spans="1:11" s="713" customFormat="1" ht="34" hidden="1" customHeight="1" thickBot="1">
      <c r="A60" s="729"/>
      <c r="B60" s="730"/>
      <c r="C60" s="730"/>
      <c r="D60" s="730"/>
      <c r="E60" s="730"/>
      <c r="F60" s="730"/>
      <c r="G60" s="730"/>
      <c r="H60" s="730"/>
      <c r="I60" s="730"/>
      <c r="J60" s="731"/>
      <c r="K60" s="731"/>
    </row>
    <row r="61" spans="1:11" s="713" customFormat="1" ht="26" hidden="1" customHeight="1">
      <c r="A61" s="1271" t="s">
        <v>412</v>
      </c>
      <c r="B61" s="1301" t="s">
        <v>339</v>
      </c>
      <c r="C61" s="1302"/>
      <c r="D61" s="1302"/>
      <c r="E61" s="1302"/>
      <c r="F61" s="1302"/>
      <c r="G61" s="1302"/>
      <c r="H61" s="1302"/>
      <c r="I61" s="1302"/>
      <c r="J61" s="1303"/>
      <c r="K61" s="713" t="s">
        <v>693</v>
      </c>
    </row>
    <row r="62" spans="1:11" s="713" customFormat="1" ht="19" hidden="1" customHeight="1" thickBot="1">
      <c r="A62" s="1272"/>
      <c r="B62" s="1298" t="s">
        <v>343</v>
      </c>
      <c r="C62" s="1299"/>
      <c r="D62" s="1299"/>
      <c r="E62" s="1299"/>
      <c r="F62" s="1299"/>
      <c r="G62" s="1299"/>
      <c r="H62" s="1299"/>
      <c r="I62" s="1299"/>
      <c r="J62" s="1300"/>
    </row>
    <row r="63" spans="1:11" s="713" customFormat="1" ht="23" hidden="1" customHeight="1">
      <c r="A63" s="1272"/>
      <c r="B63" s="1304" t="s">
        <v>329</v>
      </c>
      <c r="C63" s="1305"/>
      <c r="D63" s="1305"/>
      <c r="E63" s="1305"/>
      <c r="F63" s="1305"/>
      <c r="G63" s="1305"/>
      <c r="H63" s="1305"/>
      <c r="I63" s="1276">
        <f>August!D69+September!D68+Oktober!D69+November!D68+December!D69+Januar!D69+Februar!D67+Marts!D69+April!D68+Maj!D69+Juni!D68+Juli!D69</f>
        <v>0</v>
      </c>
      <c r="J63" s="1277" t="e">
        <f>H63=August!C69+#REF!+#REF!+#REF!+#REF!+#REF!+#REF!+#REF!+#REF!+#REF!+#REF!+#REF!</f>
        <v>#REF!</v>
      </c>
    </row>
    <row r="64" spans="1:11" s="713" customFormat="1" ht="29" hidden="1" customHeight="1">
      <c r="A64" s="1272"/>
      <c r="B64" s="1296" t="s">
        <v>244</v>
      </c>
      <c r="C64" s="1297"/>
      <c r="D64" s="1297"/>
      <c r="E64" s="1297"/>
      <c r="F64" s="1297"/>
      <c r="G64" s="1297"/>
      <c r="H64" s="1297"/>
      <c r="I64" s="1278">
        <f>Skemaoplysninger!BD32</f>
        <v>200</v>
      </c>
      <c r="J64" s="1279"/>
    </row>
    <row r="65" spans="1:14" s="713" customFormat="1" ht="29" hidden="1" customHeight="1">
      <c r="A65" s="1272"/>
      <c r="B65" s="1296" t="s">
        <v>245</v>
      </c>
      <c r="C65" s="1297"/>
      <c r="D65" s="1297"/>
      <c r="E65" s="1297"/>
      <c r="F65" s="1297"/>
      <c r="G65" s="1297"/>
      <c r="H65" s="1297"/>
      <c r="I65" s="1278">
        <f>August!D68+September!D67+Oktober!D68+November!D67+December!D68+Januar!D68+Februar!D66+Marts!D68+April!D67+Maj!D68+Juni!D67+Juli!D68</f>
        <v>0</v>
      </c>
      <c r="J65" s="1279"/>
    </row>
    <row r="66" spans="1:14" s="713" customFormat="1" ht="21" hidden="1" customHeight="1">
      <c r="A66" s="1272"/>
      <c r="B66" s="1215" t="s">
        <v>73</v>
      </c>
      <c r="C66" s="1216"/>
      <c r="D66" s="1216"/>
      <c r="E66" s="1216"/>
      <c r="F66" s="1216"/>
      <c r="G66" s="1216"/>
      <c r="H66" s="1216"/>
      <c r="I66" s="1213">
        <f>I63+I64+I65</f>
        <v>200</v>
      </c>
      <c r="J66" s="1214"/>
      <c r="K66" s="1212" t="str">
        <f>IF(I66&lt;&gt;200,"OBS der er normalt 200 skoledage i et skoleår"," ")</f>
        <v xml:space="preserve"> </v>
      </c>
      <c r="L66" s="1212"/>
      <c r="M66" s="1212"/>
      <c r="N66" s="1212"/>
    </row>
    <row r="67" spans="1:14" s="713" customFormat="1" ht="21" hidden="1" customHeight="1">
      <c r="A67" s="1272"/>
      <c r="B67" s="1215" t="s">
        <v>316</v>
      </c>
      <c r="C67" s="1216"/>
      <c r="D67" s="1216"/>
      <c r="E67" s="1216"/>
      <c r="F67" s="1216"/>
      <c r="G67" s="1216"/>
      <c r="H67" s="1216"/>
      <c r="I67" s="1225">
        <f>August!AA41+August!AB41+September!AA39+September!AB39+Oktober!AA40+Oktober!AB40+November!AA39+November!AB39+December!AA40+December!AB40+Januar!AA40+Januar!AB40+Februar!AA38+Februar!AB38+Marts!AA40+Marts!AB40+April!AA39+April!AB39+Maj!AA40+Maj!AB40+Juni!AA39+Juni!AB39+Juli!AA40+Juli!AB40</f>
        <v>0</v>
      </c>
      <c r="J67" s="1226"/>
      <c r="K67" s="732"/>
      <c r="L67" s="732"/>
      <c r="M67" s="732"/>
      <c r="N67" s="732"/>
    </row>
    <row r="68" spans="1:14" s="713" customFormat="1" ht="33" hidden="1" customHeight="1">
      <c r="A68" s="1272"/>
      <c r="B68" s="1227" t="s">
        <v>253</v>
      </c>
      <c r="C68" s="1228"/>
      <c r="D68" s="1228"/>
      <c r="E68" s="1228"/>
      <c r="F68" s="1228"/>
      <c r="G68" s="1228"/>
      <c r="H68" s="1228"/>
      <c r="I68" s="1217">
        <f>(J55-I67)/I64</f>
        <v>8.3989999999999991</v>
      </c>
      <c r="J68" s="1218"/>
    </row>
    <row r="69" spans="1:14" s="713" customFormat="1" ht="33" hidden="1" customHeight="1" thickBot="1">
      <c r="A69" s="1272"/>
      <c r="B69" s="1227" t="s">
        <v>357</v>
      </c>
      <c r="C69" s="1228"/>
      <c r="D69" s="1228"/>
      <c r="E69" s="1228"/>
      <c r="F69" s="1228"/>
      <c r="G69" s="1228"/>
      <c r="H69" s="1228"/>
      <c r="I69" s="1223">
        <f>J59/I66</f>
        <v>8.3989999999999991</v>
      </c>
      <c r="J69" s="1224"/>
    </row>
    <row r="70" spans="1:14" ht="17" customHeight="1">
      <c r="A70" s="1272"/>
      <c r="B70" s="1229" t="s">
        <v>539</v>
      </c>
      <c r="C70" s="1230"/>
      <c r="D70" s="1219" t="s">
        <v>70</v>
      </c>
      <c r="E70" s="1220"/>
      <c r="F70" s="82" t="str">
        <f>IF(Skemaoplysninger!F7&gt;0,Skemaoplysninger!$F$7,"")</f>
        <v/>
      </c>
      <c r="G70" s="82" t="str">
        <f>IF(Skemaoplysninger!J7&gt;0,Skemaoplysninger!$J$7,"")</f>
        <v/>
      </c>
      <c r="H70" s="81"/>
      <c r="I70" s="1221" t="s">
        <v>72</v>
      </c>
      <c r="J70" s="1222"/>
    </row>
    <row r="71" spans="1:14" ht="94" customHeight="1">
      <c r="A71" s="1272"/>
      <c r="B71" s="336" t="s">
        <v>74</v>
      </c>
      <c r="C71" s="337"/>
      <c r="D71" s="41" t="s">
        <v>9</v>
      </c>
      <c r="E71" s="223" t="s">
        <v>152</v>
      </c>
      <c r="F71" s="223" t="s">
        <v>69</v>
      </c>
      <c r="G71" s="232" t="s">
        <v>455</v>
      </c>
      <c r="H71" s="224" t="s">
        <v>385</v>
      </c>
      <c r="I71" s="43" t="s">
        <v>471</v>
      </c>
      <c r="J71" s="59" t="s">
        <v>71</v>
      </c>
      <c r="K71" s="40"/>
      <c r="L71" s="40"/>
    </row>
    <row r="72" spans="1:14" ht="17" customHeight="1">
      <c r="A72" s="1272"/>
      <c r="B72" s="336" t="s">
        <v>58</v>
      </c>
      <c r="C72" s="337"/>
      <c r="D72" s="34">
        <f>Skemaoplysninger!E$32</f>
        <v>39</v>
      </c>
      <c r="E72" s="38"/>
      <c r="F72" s="35">
        <f>IF(Skemaoplysninger!$E$32&gt;0,Skemaoplysninger!$E$30*24,0)</f>
        <v>0</v>
      </c>
      <c r="G72" s="631">
        <f>IF(K72&gt;0,K72,L72)</f>
        <v>0</v>
      </c>
      <c r="H72" s="42">
        <f>E72-F72-G72</f>
        <v>0</v>
      </c>
      <c r="I72" s="349"/>
      <c r="J72" s="44">
        <f>I72+(E72/24)</f>
        <v>0</v>
      </c>
      <c r="K72" s="40">
        <f>IF(AND(Stamoplysninger!$H$29="Ja",Skemaoplysninger!$E$32&gt;0),Stamoplysninger!$H$30/200,0)</f>
        <v>0</v>
      </c>
      <c r="L72" s="40">
        <f>IF(AND(Stamoplysninger!$H$29="nej",Skemaoplysninger!$E$32&gt;0),Skemaoplysninger!$E$39,0)</f>
        <v>0</v>
      </c>
    </row>
    <row r="73" spans="1:14" ht="17" customHeight="1">
      <c r="A73" s="1272"/>
      <c r="B73" s="336" t="s">
        <v>59</v>
      </c>
      <c r="C73" s="337"/>
      <c r="D73" s="34">
        <f>Skemaoplysninger!G$32</f>
        <v>41</v>
      </c>
      <c r="E73" s="38"/>
      <c r="F73" s="35">
        <f>IF(Skemaoplysninger!$G$32&gt;0,Skemaoplysninger!$G$30*24,0)</f>
        <v>0</v>
      </c>
      <c r="G73" s="631">
        <f>IF(K73&gt;0,K73,L73)</f>
        <v>0</v>
      </c>
      <c r="H73" s="42">
        <f>E73-F73-G73</f>
        <v>0</v>
      </c>
      <c r="I73" s="349"/>
      <c r="J73" s="44">
        <f>I73+(E73/24)</f>
        <v>0</v>
      </c>
      <c r="K73" s="40">
        <f>IF(AND(Stamoplysninger!$H$29="Ja",Skemaoplysninger!$G$32&gt;0),Stamoplysninger!$H$30/200,0)</f>
        <v>0</v>
      </c>
      <c r="L73" s="40">
        <f>IF(AND(Stamoplysninger!$H$29="nej",Skemaoplysninger!$G$32&gt;0),Skemaoplysninger!$G$39,0)</f>
        <v>0</v>
      </c>
    </row>
    <row r="74" spans="1:14" ht="17" customHeight="1">
      <c r="A74" s="1272"/>
      <c r="B74" s="336" t="s">
        <v>60</v>
      </c>
      <c r="C74" s="337"/>
      <c r="D74" s="34">
        <f>Skemaoplysninger!I$32</f>
        <v>41</v>
      </c>
      <c r="E74" s="38"/>
      <c r="F74" s="35">
        <f>IF(Skemaoplysninger!$I$32&gt;0,Skemaoplysninger!$I$30*24,0)</f>
        <v>0</v>
      </c>
      <c r="G74" s="631">
        <f>IF(K74&gt;0,K74,L74)</f>
        <v>0</v>
      </c>
      <c r="H74" s="42">
        <f>E74-F74-G74</f>
        <v>0</v>
      </c>
      <c r="I74" s="349"/>
      <c r="J74" s="44">
        <f>I74+(E74/24)</f>
        <v>0</v>
      </c>
      <c r="K74" s="40">
        <f>IF(AND(Stamoplysninger!$H$29="Ja",Skemaoplysninger!$I$32&gt;0),Stamoplysninger!$H$30/200,0)</f>
        <v>0</v>
      </c>
      <c r="L74" s="40">
        <f>IF(AND(Stamoplysninger!$H$29="nej",Skemaoplysninger!$I$32&gt;0),Skemaoplysninger!$I$39,0)</f>
        <v>0</v>
      </c>
    </row>
    <row r="75" spans="1:14" ht="17" customHeight="1">
      <c r="A75" s="1272"/>
      <c r="B75" s="336" t="s">
        <v>61</v>
      </c>
      <c r="C75" s="337"/>
      <c r="D75" s="34">
        <f>Skemaoplysninger!K$32</f>
        <v>39</v>
      </c>
      <c r="E75" s="38"/>
      <c r="F75" s="35">
        <f>IF(Skemaoplysninger!$K$32&gt;0,Skemaoplysninger!$K$30*24,0)</f>
        <v>0</v>
      </c>
      <c r="G75" s="631">
        <f>IF(K75&gt;0,K75,L75)</f>
        <v>0</v>
      </c>
      <c r="H75" s="42">
        <f>E75-F75-G75</f>
        <v>0</v>
      </c>
      <c r="I75" s="349"/>
      <c r="J75" s="44">
        <f>I75+(E75/24)</f>
        <v>0</v>
      </c>
      <c r="K75" s="40">
        <f>IF(AND(Stamoplysninger!$H$29="Ja",Skemaoplysninger!$K$32&gt;0),Stamoplysninger!$H$30/200,0)</f>
        <v>0</v>
      </c>
      <c r="L75" s="40">
        <f>IF(AND(Stamoplysninger!$H$29="nej",Skemaoplysninger!$K$32&gt;0),Skemaoplysninger!$K$39,0)</f>
        <v>0</v>
      </c>
    </row>
    <row r="76" spans="1:14" ht="17" customHeight="1" thickBot="1">
      <c r="A76" s="1272"/>
      <c r="B76" s="344" t="s">
        <v>62</v>
      </c>
      <c r="C76" s="345"/>
      <c r="D76" s="34">
        <f>Skemaoplysninger!M$32</f>
        <v>40</v>
      </c>
      <c r="E76" s="38"/>
      <c r="F76" s="35">
        <f>IF(Skemaoplysninger!$M$32&gt;0,Skemaoplysninger!$M$30*24,0)</f>
        <v>0</v>
      </c>
      <c r="G76" s="632">
        <f>IF(K76&gt;0,K76,L76)</f>
        <v>0</v>
      </c>
      <c r="H76" s="42">
        <f>E76-F76-G76</f>
        <v>0</v>
      </c>
      <c r="I76" s="349"/>
      <c r="J76" s="350">
        <f>I76+(E76/24)</f>
        <v>0</v>
      </c>
      <c r="K76" s="40">
        <f>IF(AND(Stamoplysninger!$H$29="Ja",Skemaoplysninger!$M$32&gt;0),Stamoplysninger!$H$30/200,0)</f>
        <v>0</v>
      </c>
      <c r="L76" s="40">
        <f>IF(AND(Stamoplysninger!$H$29="nej",Skemaoplysninger!$M$32&gt;0),Skemaoplysninger!$M$39,0)</f>
        <v>0</v>
      </c>
    </row>
    <row r="77" spans="1:14" ht="17" customHeight="1" thickBot="1">
      <c r="A77" s="1272"/>
      <c r="B77" s="338" t="s">
        <v>106</v>
      </c>
      <c r="C77" s="339"/>
      <c r="D77" s="340"/>
      <c r="E77" s="84">
        <f>SUM(E72:E76)</f>
        <v>0</v>
      </c>
      <c r="F77" s="84">
        <f>SUM(F72:F76)</f>
        <v>0</v>
      </c>
      <c r="G77" s="234">
        <f>SUM(G72:G76)</f>
        <v>0</v>
      </c>
      <c r="H77" s="87">
        <f>SUM(H72:H76)</f>
        <v>0</v>
      </c>
      <c r="I77" s="86"/>
      <c r="J77" s="85"/>
      <c r="K77" s="40"/>
      <c r="L77" s="40"/>
    </row>
    <row r="78" spans="1:14" ht="17" customHeight="1" thickBot="1">
      <c r="A78" s="1272"/>
      <c r="B78" s="341"/>
      <c r="C78" s="346"/>
      <c r="D78" s="346"/>
      <c r="E78" s="346"/>
      <c r="F78" s="346"/>
      <c r="G78" s="346"/>
      <c r="H78" s="346"/>
      <c r="I78" s="346"/>
      <c r="J78" s="347"/>
      <c r="K78" s="40"/>
      <c r="L78" s="40"/>
    </row>
    <row r="79" spans="1:14" ht="17" customHeight="1">
      <c r="A79" s="1272"/>
      <c r="B79" s="1229" t="s">
        <v>540</v>
      </c>
      <c r="C79" s="1230"/>
      <c r="D79" s="1232" t="s">
        <v>70</v>
      </c>
      <c r="E79" s="1232"/>
      <c r="F79" s="82" t="str">
        <f>IF(Skemaoplysninger!$T$7&gt;0,Skemaoplysninger!$T$7,"")</f>
        <v/>
      </c>
      <c r="G79" s="82" t="str">
        <f>IF(Skemaoplysninger!$X$7&gt;0,Skemaoplysninger!$X$7,"")</f>
        <v/>
      </c>
      <c r="H79" s="83"/>
      <c r="I79" s="1221" t="s">
        <v>72</v>
      </c>
      <c r="J79" s="1222"/>
      <c r="K79" s="40"/>
      <c r="L79" s="40"/>
    </row>
    <row r="80" spans="1:14" ht="91" customHeight="1">
      <c r="A80" s="1272"/>
      <c r="B80" s="336" t="s">
        <v>74</v>
      </c>
      <c r="C80" s="337"/>
      <c r="D80" s="41" t="s">
        <v>9</v>
      </c>
      <c r="E80" s="223" t="s">
        <v>152</v>
      </c>
      <c r="F80" s="223" t="s">
        <v>69</v>
      </c>
      <c r="G80" s="232" t="s">
        <v>455</v>
      </c>
      <c r="H80" s="224" t="s">
        <v>385</v>
      </c>
      <c r="I80" s="43" t="str">
        <f>I71</f>
        <v>Angiv her mødetids-punkt                  (07:45 =  07:45)</v>
      </c>
      <c r="J80" s="59" t="s">
        <v>71</v>
      </c>
      <c r="K80" s="40"/>
      <c r="L80" s="40"/>
    </row>
    <row r="81" spans="1:12" ht="17" customHeight="1">
      <c r="A81" s="1272"/>
      <c r="B81" s="336" t="s">
        <v>58</v>
      </c>
      <c r="C81" s="337"/>
      <c r="D81" s="34">
        <f>Skemaoplysninger!S$32</f>
        <v>0</v>
      </c>
      <c r="E81" s="38"/>
      <c r="F81" s="35">
        <f>IF(Skemaoplysninger!$S$32&gt;0,Skemaoplysninger!S$30*24,0)</f>
        <v>0</v>
      </c>
      <c r="G81" s="233">
        <f>IF(K81&gt;0,K81,L81)</f>
        <v>0</v>
      </c>
      <c r="H81" s="42">
        <f>E81-F81-G81</f>
        <v>0</v>
      </c>
      <c r="I81" s="349"/>
      <c r="J81" s="44">
        <f>I81+(E81/24)</f>
        <v>0</v>
      </c>
      <c r="K81" s="40">
        <f>IF(AND(Stamoplysninger!$H$29="Ja",Skemaoplysninger!$S$32&gt;0),Stamoplysninger!$H$30/200,0)</f>
        <v>0</v>
      </c>
      <c r="L81" s="40">
        <f>IF(AND(Stamoplysninger!$H$29="nej",Skemaoplysninger!$S$32&gt;0),Skemaoplysninger!$S$39,0)</f>
        <v>0</v>
      </c>
    </row>
    <row r="82" spans="1:12" ht="17" customHeight="1">
      <c r="A82" s="1272"/>
      <c r="B82" s="336" t="s">
        <v>59</v>
      </c>
      <c r="C82" s="337"/>
      <c r="D82" s="34">
        <f>Skemaoplysninger!U$32</f>
        <v>0</v>
      </c>
      <c r="E82" s="38"/>
      <c r="F82" s="35">
        <f>IF(Skemaoplysninger!$U$32&gt;0,Skemaoplysninger!U$30*24,0)</f>
        <v>0</v>
      </c>
      <c r="G82" s="233">
        <f>IF(K82&gt;0,K82,L82)</f>
        <v>0</v>
      </c>
      <c r="H82" s="42">
        <f>E82-F82-G82</f>
        <v>0</v>
      </c>
      <c r="I82" s="349"/>
      <c r="J82" s="44">
        <f>I82+(E82/24)</f>
        <v>0</v>
      </c>
      <c r="K82" s="40">
        <f>IF(AND(Stamoplysninger!$H$29="Ja",Skemaoplysninger!$U$32&gt;0),Stamoplysninger!$H$30/200,0)</f>
        <v>0</v>
      </c>
      <c r="L82" s="40">
        <f>IF(AND(Stamoplysninger!$H$29="nej",Skemaoplysninger!$U$32&gt;0),Skemaoplysninger!$U$39,0)</f>
        <v>0</v>
      </c>
    </row>
    <row r="83" spans="1:12" ht="17" customHeight="1">
      <c r="A83" s="1272"/>
      <c r="B83" s="336" t="s">
        <v>60</v>
      </c>
      <c r="C83" s="337"/>
      <c r="D83" s="34">
        <f>Skemaoplysninger!W$32</f>
        <v>0</v>
      </c>
      <c r="E83" s="38"/>
      <c r="F83" s="35">
        <f>IF(Skemaoplysninger!$W$32&gt;0,Skemaoplysninger!W$30*24,0)</f>
        <v>0</v>
      </c>
      <c r="G83" s="233">
        <f>IF(K83&gt;0,K83,L83)</f>
        <v>0</v>
      </c>
      <c r="H83" s="42">
        <f>E83-F83-G83</f>
        <v>0</v>
      </c>
      <c r="I83" s="349"/>
      <c r="J83" s="44">
        <f>I83+(E83/24)</f>
        <v>0</v>
      </c>
      <c r="K83" s="40">
        <f>IF(AND(Stamoplysninger!$H$29="Ja",Skemaoplysninger!$W$32&gt;0),Stamoplysninger!$H$30/200,0)</f>
        <v>0</v>
      </c>
      <c r="L83" s="40">
        <f>IF(AND(Stamoplysninger!$H$29="nej",Skemaoplysninger!$W$32&gt;0),Skemaoplysninger!$W$39,0)</f>
        <v>0</v>
      </c>
    </row>
    <row r="84" spans="1:12" ht="17" customHeight="1">
      <c r="A84" s="1272"/>
      <c r="B84" s="336" t="s">
        <v>61</v>
      </c>
      <c r="C84" s="337"/>
      <c r="D84" s="34">
        <f>Skemaoplysninger!Y$32</f>
        <v>0</v>
      </c>
      <c r="E84" s="38"/>
      <c r="F84" s="35">
        <f>IF(Skemaoplysninger!$Y$32&gt;0,Skemaoplysninger!Y$30*24,0)</f>
        <v>0</v>
      </c>
      <c r="G84" s="233">
        <f>IF(K84&gt;0,K84,L84)</f>
        <v>0</v>
      </c>
      <c r="H84" s="42">
        <f>E84-F84-G84</f>
        <v>0</v>
      </c>
      <c r="I84" s="349"/>
      <c r="J84" s="44">
        <f>I84+(E84/24)</f>
        <v>0</v>
      </c>
      <c r="K84" s="40">
        <f>IF(AND(Stamoplysninger!$H$29="Ja",Skemaoplysninger!$Y$32&gt;0),Stamoplysninger!$H$30/200,0)</f>
        <v>0</v>
      </c>
      <c r="L84" s="40">
        <f>IF(AND(Stamoplysninger!$H$29="nej",Skemaoplysninger!$Y$32&gt;0),Skemaoplysninger!$Y$39,0)</f>
        <v>0</v>
      </c>
    </row>
    <row r="85" spans="1:12" ht="17" customHeight="1" thickBot="1">
      <c r="A85" s="1272"/>
      <c r="B85" s="336" t="s">
        <v>62</v>
      </c>
      <c r="C85" s="337"/>
      <c r="D85" s="34">
        <f>Skemaoplysninger!AA$32</f>
        <v>0</v>
      </c>
      <c r="E85" s="38"/>
      <c r="F85" s="35">
        <f>IF(Skemaoplysninger!$AA$32&gt;0,Skemaoplysninger!AA$30*24,0)</f>
        <v>0</v>
      </c>
      <c r="G85" s="233">
        <f>IF(K85&gt;0,K85,L85)</f>
        <v>0</v>
      </c>
      <c r="H85" s="42">
        <f>E85-F85-G85</f>
        <v>0</v>
      </c>
      <c r="I85" s="349"/>
      <c r="J85" s="45">
        <f>I85+(E85/24)</f>
        <v>0</v>
      </c>
      <c r="K85" s="40">
        <f>IF(AND(Stamoplysninger!$H$29="Ja",Skemaoplysninger!$AA$32&gt;0),Stamoplysninger!$H$30/200,0)</f>
        <v>0</v>
      </c>
      <c r="L85" s="40">
        <f>IF(AND(Stamoplysninger!$H$29="nej",Skemaoplysninger!$AA$32&gt;0),Skemaoplysninger!$AA$39,0)</f>
        <v>0</v>
      </c>
    </row>
    <row r="86" spans="1:12" ht="17" customHeight="1" thickBot="1">
      <c r="A86" s="1272"/>
      <c r="B86" s="338" t="s">
        <v>106</v>
      </c>
      <c r="C86" s="339"/>
      <c r="D86" s="340"/>
      <c r="E86" s="84">
        <f>SUM(E81:E85)</f>
        <v>0</v>
      </c>
      <c r="F86" s="84">
        <f>SUM(F81:F85)</f>
        <v>0</v>
      </c>
      <c r="G86" s="234">
        <f>SUM(G81:G85)</f>
        <v>0</v>
      </c>
      <c r="H86" s="87">
        <f>SUM(H81:H85)</f>
        <v>0</v>
      </c>
      <c r="I86" s="86"/>
      <c r="J86" s="85"/>
      <c r="K86" s="40"/>
      <c r="L86" s="40"/>
    </row>
    <row r="87" spans="1:12" ht="17" customHeight="1" thickBot="1">
      <c r="A87" s="1272"/>
      <c r="B87" s="341"/>
      <c r="C87" s="346"/>
      <c r="D87" s="346"/>
      <c r="E87" s="346"/>
      <c r="F87" s="346"/>
      <c r="G87" s="346"/>
      <c r="H87" s="346"/>
      <c r="I87" s="346"/>
      <c r="J87" s="347"/>
      <c r="K87" s="40"/>
      <c r="L87" s="40"/>
    </row>
    <row r="88" spans="1:12" ht="17" customHeight="1">
      <c r="A88" s="1272"/>
      <c r="B88" s="1229" t="s">
        <v>541</v>
      </c>
      <c r="C88" s="1230"/>
      <c r="D88" s="1232" t="s">
        <v>70</v>
      </c>
      <c r="E88" s="1232"/>
      <c r="F88" s="82" t="str">
        <f>IF(Skemaoplysninger!AH7&gt;0,Skemaoplysninger!$AH$7,"")</f>
        <v/>
      </c>
      <c r="G88" s="82" t="str">
        <f>IF(Skemaoplysninger!AL7&gt;0,Skemaoplysninger!$AL$7,"")</f>
        <v/>
      </c>
      <c r="H88" s="83"/>
      <c r="I88" s="1221" t="s">
        <v>72</v>
      </c>
      <c r="J88" s="1222"/>
      <c r="K88" s="40"/>
      <c r="L88" s="40"/>
    </row>
    <row r="89" spans="1:12" ht="91" customHeight="1">
      <c r="A89" s="1272"/>
      <c r="B89" s="336" t="s">
        <v>74</v>
      </c>
      <c r="C89" s="337"/>
      <c r="D89" s="41" t="s">
        <v>9</v>
      </c>
      <c r="E89" s="223" t="s">
        <v>152</v>
      </c>
      <c r="F89" s="223" t="s">
        <v>69</v>
      </c>
      <c r="G89" s="232" t="s">
        <v>455</v>
      </c>
      <c r="H89" s="224" t="s">
        <v>385</v>
      </c>
      <c r="I89" s="43" t="str">
        <f>I80</f>
        <v>Angiv her mødetids-punkt                  (07:45 =  07:45)</v>
      </c>
      <c r="J89" s="59" t="s">
        <v>71</v>
      </c>
      <c r="K89" s="40"/>
      <c r="L89" s="40"/>
    </row>
    <row r="90" spans="1:12" ht="17" customHeight="1">
      <c r="A90" s="1272"/>
      <c r="B90" s="336" t="s">
        <v>58</v>
      </c>
      <c r="C90" s="337"/>
      <c r="D90" s="34">
        <f>Skemaoplysninger!AG$32</f>
        <v>0</v>
      </c>
      <c r="E90" s="38"/>
      <c r="F90" s="35">
        <f>IF(Skemaoplysninger!$AG$32&gt;0,Skemaoplysninger!AG$30*24,0)</f>
        <v>0</v>
      </c>
      <c r="G90" s="233">
        <f>IF(K90&gt;0,K90,L90)</f>
        <v>0</v>
      </c>
      <c r="H90" s="42">
        <f>E90-F90-G90</f>
        <v>0</v>
      </c>
      <c r="I90" s="349"/>
      <c r="J90" s="44">
        <f>I90+(E90/24)</f>
        <v>0</v>
      </c>
      <c r="K90" s="40">
        <f>IF(AND(Stamoplysninger!$H$29="Ja",Skemaoplysninger!$AG$32&gt;0),Stamoplysninger!$H$30/200,0)</f>
        <v>0</v>
      </c>
      <c r="L90" s="40">
        <f>IF(AND(Stamoplysninger!$H$29="nej",Skemaoplysninger!$AG$32&gt;0),Skemaoplysninger!$AG$39,0)</f>
        <v>0</v>
      </c>
    </row>
    <row r="91" spans="1:12" ht="17" customHeight="1">
      <c r="A91" s="1272"/>
      <c r="B91" s="336" t="s">
        <v>59</v>
      </c>
      <c r="C91" s="337"/>
      <c r="D91" s="34">
        <f>Skemaoplysninger!AI$32</f>
        <v>0</v>
      </c>
      <c r="E91" s="38"/>
      <c r="F91" s="35">
        <f>IF(Skemaoplysninger!$AI$32&gt;0,Skemaoplysninger!AI$30*24,0)</f>
        <v>0</v>
      </c>
      <c r="G91" s="233">
        <f>IF(K91&gt;0,K91,L91)</f>
        <v>0</v>
      </c>
      <c r="H91" s="42">
        <f>E91-F91-G91</f>
        <v>0</v>
      </c>
      <c r="I91" s="349"/>
      <c r="J91" s="44">
        <f>I91+(E91/24)</f>
        <v>0</v>
      </c>
      <c r="K91" s="40">
        <f>IF(AND(Stamoplysninger!$H$29="Ja",Skemaoplysninger!$AI$32&gt;0),Stamoplysninger!$H$30/200,0)</f>
        <v>0</v>
      </c>
      <c r="L91" s="40">
        <f>IF(AND(Stamoplysninger!$H$29="nej",Skemaoplysninger!$AI$32&gt;0),Skemaoplysninger!$AI$39,0)</f>
        <v>0</v>
      </c>
    </row>
    <row r="92" spans="1:12" ht="17" customHeight="1">
      <c r="A92" s="1272"/>
      <c r="B92" s="336" t="s">
        <v>60</v>
      </c>
      <c r="C92" s="337"/>
      <c r="D92" s="34">
        <f>Skemaoplysninger!AK$32</f>
        <v>0</v>
      </c>
      <c r="E92" s="38"/>
      <c r="F92" s="35">
        <f>IF(Skemaoplysninger!$AK$32&gt;0,Skemaoplysninger!AK$30*24,0)</f>
        <v>0</v>
      </c>
      <c r="G92" s="233">
        <f>IF(K92&gt;0,K92,L92)</f>
        <v>0</v>
      </c>
      <c r="H92" s="42">
        <f>E92-F92-G92</f>
        <v>0</v>
      </c>
      <c r="I92" s="349"/>
      <c r="J92" s="44">
        <f>I92+(E92/24)</f>
        <v>0</v>
      </c>
      <c r="K92" s="40">
        <f>IF(AND(Stamoplysninger!$H$29="Ja",Skemaoplysninger!$AK$32&gt;0),Stamoplysninger!$H$30/200,0)</f>
        <v>0</v>
      </c>
      <c r="L92" s="40">
        <f>IF(AND(Stamoplysninger!$H$29="nej",Skemaoplysninger!$AK$32&gt;0),Skemaoplysninger!$AK$39,0)</f>
        <v>0</v>
      </c>
    </row>
    <row r="93" spans="1:12" ht="17" customHeight="1">
      <c r="A93" s="1272"/>
      <c r="B93" s="336" t="s">
        <v>61</v>
      </c>
      <c r="C93" s="337"/>
      <c r="D93" s="34">
        <f>Skemaoplysninger!AM$32</f>
        <v>0</v>
      </c>
      <c r="E93" s="38"/>
      <c r="F93" s="35">
        <f>IF(Skemaoplysninger!$AM$32&gt;0,Skemaoplysninger!AM$30*24,0)</f>
        <v>0</v>
      </c>
      <c r="G93" s="233">
        <f>IF(K93&gt;0,K93,L93)</f>
        <v>0</v>
      </c>
      <c r="H93" s="42">
        <f>E93-F93-G93</f>
        <v>0</v>
      </c>
      <c r="I93" s="349"/>
      <c r="J93" s="44">
        <f>I93+(E93/24)</f>
        <v>0</v>
      </c>
      <c r="K93" s="40">
        <f>IF(AND(Stamoplysninger!$H$29="Ja",Skemaoplysninger!$AM$32&gt;0),Stamoplysninger!$H$30/200,0)</f>
        <v>0</v>
      </c>
      <c r="L93" s="40">
        <f>IF(AND(Stamoplysninger!$H$29="nej",Skemaoplysninger!$AM$32&gt;0),Skemaoplysninger!$AM$39,0)</f>
        <v>0</v>
      </c>
    </row>
    <row r="94" spans="1:12" ht="17" customHeight="1" thickBot="1">
      <c r="A94" s="1272"/>
      <c r="B94" s="336" t="s">
        <v>62</v>
      </c>
      <c r="C94" s="337"/>
      <c r="D94" s="34">
        <f>Skemaoplysninger!AO$32</f>
        <v>0</v>
      </c>
      <c r="E94" s="38"/>
      <c r="F94" s="35">
        <f>IF(Skemaoplysninger!$AO$32&gt;0,Skemaoplysninger!AO$30*24,0)</f>
        <v>0</v>
      </c>
      <c r="G94" s="233">
        <f>IF(K94&gt;0,K94,L94)</f>
        <v>0</v>
      </c>
      <c r="H94" s="42">
        <f>E94-F94-G94</f>
        <v>0</v>
      </c>
      <c r="I94" s="349"/>
      <c r="J94" s="45">
        <f>I94+(E94/24)</f>
        <v>0</v>
      </c>
      <c r="K94" s="40">
        <f>IF(AND(Stamoplysninger!$H$29="Ja",Skemaoplysninger!$AO$32&gt;0),Stamoplysninger!$H$30/200,0)</f>
        <v>0</v>
      </c>
      <c r="L94" s="40">
        <f>IF(AND(Stamoplysninger!$H$29="nej",Skemaoplysninger!$AO$32&gt;0),Skemaoplysninger!$AO$39,0)</f>
        <v>0</v>
      </c>
    </row>
    <row r="95" spans="1:12" ht="17" customHeight="1" thickBot="1">
      <c r="A95" s="1272"/>
      <c r="B95" s="338" t="s">
        <v>106</v>
      </c>
      <c r="C95" s="339"/>
      <c r="D95" s="340"/>
      <c r="E95" s="84">
        <f>SUM(E90:E94)</f>
        <v>0</v>
      </c>
      <c r="F95" s="84">
        <f>SUM(F90:F94)</f>
        <v>0</v>
      </c>
      <c r="G95" s="234">
        <f>SUM(G90:G94)</f>
        <v>0</v>
      </c>
      <c r="H95" s="87">
        <f>SUM(H90:H94)</f>
        <v>0</v>
      </c>
      <c r="I95" s="86"/>
      <c r="J95" s="85"/>
      <c r="K95" s="40"/>
      <c r="L95" s="40"/>
    </row>
    <row r="96" spans="1:12" ht="17" customHeight="1" thickBot="1">
      <c r="A96" s="1272"/>
      <c r="B96" s="341"/>
      <c r="C96" s="346"/>
      <c r="D96" s="346"/>
      <c r="E96" s="346"/>
      <c r="F96" s="346"/>
      <c r="G96" s="346"/>
      <c r="H96" s="346"/>
      <c r="I96" s="346"/>
      <c r="J96" s="347"/>
      <c r="K96" s="40"/>
      <c r="L96" s="40"/>
    </row>
    <row r="97" spans="1:12" ht="17" customHeight="1">
      <c r="A97" s="1272"/>
      <c r="B97" s="1229" t="s">
        <v>542</v>
      </c>
      <c r="C97" s="1230"/>
      <c r="D97" s="1232" t="s">
        <v>70</v>
      </c>
      <c r="E97" s="1232"/>
      <c r="F97" s="82" t="str">
        <f>IF(Skemaoplysninger!AV7&gt;0,Skemaoplysninger!$AV$7,"")</f>
        <v/>
      </c>
      <c r="G97" s="82" t="str">
        <f>IF(Skemaoplysninger!AZ7&gt;0,Skemaoplysninger!$AZ$7,"")</f>
        <v/>
      </c>
      <c r="H97" s="83"/>
      <c r="I97" s="1221" t="s">
        <v>72</v>
      </c>
      <c r="J97" s="1222"/>
      <c r="K97" s="40"/>
      <c r="L97" s="40"/>
    </row>
    <row r="98" spans="1:12" ht="91" customHeight="1">
      <c r="A98" s="1272"/>
      <c r="B98" s="336" t="s">
        <v>74</v>
      </c>
      <c r="C98" s="337"/>
      <c r="D98" s="41" t="s">
        <v>9</v>
      </c>
      <c r="E98" s="223" t="s">
        <v>152</v>
      </c>
      <c r="F98" s="223" t="s">
        <v>69</v>
      </c>
      <c r="G98" s="232" t="s">
        <v>455</v>
      </c>
      <c r="H98" s="224" t="s">
        <v>385</v>
      </c>
      <c r="I98" s="43" t="str">
        <f>I89</f>
        <v>Angiv her mødetids-punkt                  (07:45 =  07:45)</v>
      </c>
      <c r="J98" s="59" t="s">
        <v>71</v>
      </c>
      <c r="K98" s="40"/>
      <c r="L98" s="40"/>
    </row>
    <row r="99" spans="1:12" ht="17" customHeight="1">
      <c r="A99" s="1272"/>
      <c r="B99" s="336" t="s">
        <v>58</v>
      </c>
      <c r="C99" s="337"/>
      <c r="D99" s="34">
        <f>Skemaoplysninger!AU$32</f>
        <v>0</v>
      </c>
      <c r="E99" s="38"/>
      <c r="F99" s="35">
        <f>IF(Skemaoplysninger!$AU$32&gt;0,Skemaoplysninger!AU$30*24,0)</f>
        <v>0</v>
      </c>
      <c r="G99" s="233">
        <f>IF(K99&gt;0,K99,L99)</f>
        <v>0</v>
      </c>
      <c r="H99" s="42">
        <f>E99-F99-G99</f>
        <v>0</v>
      </c>
      <c r="I99" s="349"/>
      <c r="J99" s="44">
        <f>I99+(E99/24)</f>
        <v>0</v>
      </c>
      <c r="K99" s="40">
        <f>IF(AND(Stamoplysninger!$H$29="Ja",Skemaoplysninger!AU32&gt;0),Stamoplysninger!$H$30/200,0)</f>
        <v>0</v>
      </c>
      <c r="L99" s="40">
        <f>IF(AND(Stamoplysninger!$H$29="nej",Skemaoplysninger!$AU$32&gt;0),Skemaoplysninger!$AU$39,0)</f>
        <v>0</v>
      </c>
    </row>
    <row r="100" spans="1:12" ht="17" customHeight="1">
      <c r="A100" s="1272"/>
      <c r="B100" s="336" t="s">
        <v>59</v>
      </c>
      <c r="C100" s="337"/>
      <c r="D100" s="34">
        <f>Skemaoplysninger!AW$32</f>
        <v>0</v>
      </c>
      <c r="E100" s="38"/>
      <c r="F100" s="35">
        <f>IF(Skemaoplysninger!$AW$32&gt;0,Skemaoplysninger!AW$30*24,0)</f>
        <v>0</v>
      </c>
      <c r="G100" s="233">
        <f>IF(K100&gt;0,K100,L100)</f>
        <v>0</v>
      </c>
      <c r="H100" s="42">
        <f>E100-F100-G100</f>
        <v>0</v>
      </c>
      <c r="I100" s="349"/>
      <c r="J100" s="44">
        <f>I100+(E100/24)</f>
        <v>0</v>
      </c>
      <c r="K100" s="40">
        <f>IF(AND(Stamoplysninger!$H$29="Ja",Skemaoplysninger!AW32&gt;0),Stamoplysninger!$H$30/200,0)</f>
        <v>0</v>
      </c>
      <c r="L100" s="40">
        <f>IF(AND(Stamoplysninger!$H$29="nej",Skemaoplysninger!$AW$32&gt;0),Skemaoplysninger!$AW$39,0)</f>
        <v>0</v>
      </c>
    </row>
    <row r="101" spans="1:12" ht="17" customHeight="1">
      <c r="A101" s="1272"/>
      <c r="B101" s="336" t="s">
        <v>60</v>
      </c>
      <c r="C101" s="337"/>
      <c r="D101" s="34">
        <f>Skemaoplysninger!AY$32</f>
        <v>0</v>
      </c>
      <c r="E101" s="38"/>
      <c r="F101" s="35">
        <f>IF(Skemaoplysninger!$AY$32&gt;0,Skemaoplysninger!AY$30*24,0)</f>
        <v>0</v>
      </c>
      <c r="G101" s="233">
        <f>IF(K101&gt;0,K101,L101)</f>
        <v>0</v>
      </c>
      <c r="H101" s="42">
        <f>E101-F101-G101</f>
        <v>0</v>
      </c>
      <c r="I101" s="349"/>
      <c r="J101" s="44">
        <f>I101+(E101/24)</f>
        <v>0</v>
      </c>
      <c r="K101" s="40">
        <f>IF(AND(Stamoplysninger!$H$29="Ja",Skemaoplysninger!AY32&gt;0),Stamoplysninger!$H$30/200,0)</f>
        <v>0</v>
      </c>
      <c r="L101" s="40">
        <f>IF(AND(Stamoplysninger!$H$29="nej",Skemaoplysninger!$AY$32&gt;0),Skemaoplysninger!$AY$39,0)</f>
        <v>0</v>
      </c>
    </row>
    <row r="102" spans="1:12" ht="17" customHeight="1">
      <c r="A102" s="1272"/>
      <c r="B102" s="336" t="s">
        <v>61</v>
      </c>
      <c r="C102" s="337"/>
      <c r="D102" s="34">
        <f>Skemaoplysninger!BA$32</f>
        <v>0</v>
      </c>
      <c r="E102" s="38"/>
      <c r="F102" s="35">
        <f>IF(Skemaoplysninger!$BA$32&gt;0,Skemaoplysninger!BA$30*24,0)</f>
        <v>0</v>
      </c>
      <c r="G102" s="233">
        <f>IF(K102&gt;0,K102,L102)</f>
        <v>0</v>
      </c>
      <c r="H102" s="42">
        <f>E102-F102-G102</f>
        <v>0</v>
      </c>
      <c r="I102" s="349"/>
      <c r="J102" s="44">
        <f>I102+(E102/24)</f>
        <v>0</v>
      </c>
      <c r="K102" s="40">
        <f>IF(AND(Stamoplysninger!$H$29="Ja",Skemaoplysninger!BA32&gt;0),Stamoplysninger!$H$30/200,0)</f>
        <v>0</v>
      </c>
      <c r="L102" s="40">
        <f>IF(AND(Stamoplysninger!$H$29="nej",Skemaoplysninger!$BA$32&gt;0),Skemaoplysninger!$BA$39,0)</f>
        <v>0</v>
      </c>
    </row>
    <row r="103" spans="1:12" ht="17" customHeight="1" thickBot="1">
      <c r="A103" s="1272"/>
      <c r="B103" s="336" t="s">
        <v>62</v>
      </c>
      <c r="C103" s="337"/>
      <c r="D103" s="34">
        <f>Skemaoplysninger!BC$32</f>
        <v>0</v>
      </c>
      <c r="E103" s="38"/>
      <c r="F103" s="35">
        <f>IF(Skemaoplysninger!$BC$32&gt;0,Skemaoplysninger!BC$30*24,0)</f>
        <v>0</v>
      </c>
      <c r="G103" s="233">
        <f>IF(K103&gt;0,K103,L103)</f>
        <v>0</v>
      </c>
      <c r="H103" s="42">
        <f>E103-F103-G103</f>
        <v>0</v>
      </c>
      <c r="I103" s="349"/>
      <c r="J103" s="45">
        <f>I103+(E103/24)</f>
        <v>0</v>
      </c>
      <c r="K103" s="40">
        <f>IF(AND(Stamoplysninger!$H$29="Ja",Skemaoplysninger!BC32&gt;0),Stamoplysninger!$H$30/200,0)</f>
        <v>0</v>
      </c>
      <c r="L103" s="40">
        <f>IF(AND(Stamoplysninger!$H$29="nej",Skemaoplysninger!$BC$32&gt;0),Skemaoplysninger!$BC$39,0)</f>
        <v>0</v>
      </c>
    </row>
    <row r="104" spans="1:12" ht="17" customHeight="1" thickBot="1">
      <c r="A104" s="1272"/>
      <c r="B104" s="338" t="s">
        <v>106</v>
      </c>
      <c r="C104" s="339"/>
      <c r="D104" s="340"/>
      <c r="E104" s="84">
        <f>SUM(E99:E103)</f>
        <v>0</v>
      </c>
      <c r="F104" s="84">
        <f>SUM(F99:F103)</f>
        <v>0</v>
      </c>
      <c r="G104" s="234">
        <f>SUM(G99:G103)</f>
        <v>0</v>
      </c>
      <c r="H104" s="87">
        <f>SUM(H99:H103)</f>
        <v>0</v>
      </c>
      <c r="I104" s="86"/>
      <c r="J104" s="85"/>
      <c r="K104" s="40"/>
      <c r="L104" s="40"/>
    </row>
    <row r="105" spans="1:12" ht="17" customHeight="1">
      <c r="A105" s="1272"/>
      <c r="B105" s="342"/>
      <c r="C105" s="343"/>
      <c r="D105" s="343"/>
      <c r="E105" s="343"/>
      <c r="F105" s="343"/>
      <c r="G105" s="343"/>
      <c r="H105" s="343"/>
      <c r="I105" s="343"/>
      <c r="J105" s="348"/>
      <c r="K105" s="40"/>
      <c r="L105" s="40"/>
    </row>
    <row r="106" spans="1:12" ht="32" customHeight="1">
      <c r="A106" s="1272"/>
      <c r="B106" s="1184" t="s">
        <v>340</v>
      </c>
      <c r="C106" s="1270"/>
      <c r="D106" s="1262">
        <f>(D72*E72)+(D73*E73)+(D74*E74)+(D75*E75)+(D76*E76)+(D81*E81)+(D82*E82)+(D83*E83)+(D84*E84)+(D85*E85)+(D90*E90)+(D91*E91)+(D92*E92)+(D93*E93)+(D94*E94)+(D99*E99)+(D100*E100)+(D101*E101)+(D102*E102)+(D103*E103)</f>
        <v>0</v>
      </c>
      <c r="E106" s="1263"/>
      <c r="F106" s="1263"/>
      <c r="G106" s="1263"/>
      <c r="H106" s="1263"/>
      <c r="I106" s="1263"/>
      <c r="J106" s="1187"/>
      <c r="K106" s="40"/>
      <c r="L106" s="40"/>
    </row>
    <row r="107" spans="1:12" ht="17" customHeight="1">
      <c r="A107" s="1272"/>
      <c r="B107" s="1184" t="s">
        <v>63</v>
      </c>
      <c r="C107" s="1270"/>
      <c r="D107" s="1262">
        <f>D106+I67-J55</f>
        <v>-1679.8</v>
      </c>
      <c r="E107" s="1263"/>
      <c r="F107" s="1263"/>
      <c r="G107" s="1263"/>
      <c r="H107" s="1263"/>
      <c r="I107" s="1263"/>
      <c r="J107" s="1187"/>
      <c r="K107" s="40"/>
      <c r="L107" s="40"/>
    </row>
    <row r="108" spans="1:12" ht="31" customHeight="1">
      <c r="A108" s="1272"/>
      <c r="B108" s="1264" t="s">
        <v>443</v>
      </c>
      <c r="C108" s="1265"/>
      <c r="D108" s="1265"/>
      <c r="E108" s="1265"/>
      <c r="F108" s="1265"/>
      <c r="G108" s="1265"/>
      <c r="H108" s="1265"/>
      <c r="I108" s="1265"/>
      <c r="J108" s="1266"/>
      <c r="K108" s="40"/>
      <c r="L108" s="40"/>
    </row>
    <row r="109" spans="1:12" ht="37" customHeight="1" thickBot="1">
      <c r="A109" s="1273"/>
      <c r="B109" s="1267"/>
      <c r="C109" s="1268"/>
      <c r="D109" s="1268"/>
      <c r="E109" s="1268"/>
      <c r="F109" s="1268"/>
      <c r="G109" s="1268"/>
      <c r="H109" s="1268"/>
      <c r="I109" s="1268"/>
      <c r="J109" s="1269"/>
      <c r="K109" s="40"/>
      <c r="L109" s="40"/>
    </row>
    <row r="110" spans="1:12" ht="44" customHeight="1">
      <c r="A110" s="1254"/>
      <c r="B110" s="1254"/>
      <c r="C110" s="1292" t="s">
        <v>358</v>
      </c>
      <c r="D110" s="1292"/>
      <c r="E110" s="1292"/>
      <c r="F110" s="1292"/>
      <c r="G110" s="1292"/>
      <c r="H110" s="1292"/>
      <c r="I110" s="1292"/>
      <c r="J110" s="1292"/>
      <c r="K110" s="704"/>
      <c r="L110" s="40"/>
    </row>
    <row r="111" spans="1:12" ht="63" customHeight="1">
      <c r="A111" s="745"/>
      <c r="B111" s="745"/>
      <c r="C111" s="814" t="s">
        <v>461</v>
      </c>
      <c r="D111" s="814"/>
      <c r="E111" s="814"/>
      <c r="F111" s="814"/>
      <c r="G111" s="814"/>
      <c r="H111" s="814"/>
      <c r="I111" s="814"/>
      <c r="J111" s="814"/>
      <c r="K111" s="704"/>
      <c r="L111" s="40"/>
    </row>
    <row r="112" spans="1:12" ht="10" customHeight="1">
      <c r="K112" s="40"/>
      <c r="L112" s="40"/>
    </row>
  </sheetData>
  <sheetProtection sheet="1" formatCells="0" formatColumns="0" formatRows="0"/>
  <dataConsolidate/>
  <mergeCells count="119">
    <mergeCell ref="B10:J10"/>
    <mergeCell ref="C110:J110"/>
    <mergeCell ref="B107:C107"/>
    <mergeCell ref="B79:C79"/>
    <mergeCell ref="B59:I59"/>
    <mergeCell ref="B64:H64"/>
    <mergeCell ref="B65:H65"/>
    <mergeCell ref="D79:E79"/>
    <mergeCell ref="D88:E88"/>
    <mergeCell ref="B62:J62"/>
    <mergeCell ref="B61:J61"/>
    <mergeCell ref="B63:H63"/>
    <mergeCell ref="I65:J65"/>
    <mergeCell ref="B51:I51"/>
    <mergeCell ref="B53:I53"/>
    <mergeCell ref="B55:I55"/>
    <mergeCell ref="B56:I56"/>
    <mergeCell ref="B54:I54"/>
    <mergeCell ref="B37:J37"/>
    <mergeCell ref="B38:J38"/>
    <mergeCell ref="B39:H39"/>
    <mergeCell ref="I39:J39"/>
    <mergeCell ref="B40:H40"/>
    <mergeCell ref="I40:J40"/>
    <mergeCell ref="C111:J111"/>
    <mergeCell ref="A110:B111"/>
    <mergeCell ref="B12:F12"/>
    <mergeCell ref="B13:F13"/>
    <mergeCell ref="B14:F14"/>
    <mergeCell ref="B15:F15"/>
    <mergeCell ref="B45:J45"/>
    <mergeCell ref="D107:J107"/>
    <mergeCell ref="D106:J106"/>
    <mergeCell ref="G12:H12"/>
    <mergeCell ref="B108:J109"/>
    <mergeCell ref="B106:C106"/>
    <mergeCell ref="B97:C97"/>
    <mergeCell ref="A61:A109"/>
    <mergeCell ref="A45:A59"/>
    <mergeCell ref="I63:J63"/>
    <mergeCell ref="I64:J64"/>
    <mergeCell ref="B88:C88"/>
    <mergeCell ref="B46:J46"/>
    <mergeCell ref="B48:I48"/>
    <mergeCell ref="B49:I49"/>
    <mergeCell ref="B57:I57"/>
    <mergeCell ref="B58:I58"/>
    <mergeCell ref="B50:I50"/>
    <mergeCell ref="C1:J1"/>
    <mergeCell ref="C2:J2"/>
    <mergeCell ref="C3:J3"/>
    <mergeCell ref="I88:J88"/>
    <mergeCell ref="D97:E97"/>
    <mergeCell ref="I97:J97"/>
    <mergeCell ref="G14:H14"/>
    <mergeCell ref="G15:H15"/>
    <mergeCell ref="I11:J11"/>
    <mergeCell ref="I14:J14"/>
    <mergeCell ref="I15:J15"/>
    <mergeCell ref="I12:J12"/>
    <mergeCell ref="I13:J13"/>
    <mergeCell ref="G13:H13"/>
    <mergeCell ref="B11:F11"/>
    <mergeCell ref="I79:J79"/>
    <mergeCell ref="C4:J4"/>
    <mergeCell ref="C5:J5"/>
    <mergeCell ref="C6:J6"/>
    <mergeCell ref="C7:J7"/>
    <mergeCell ref="A7:B7"/>
    <mergeCell ref="G11:H11"/>
    <mergeCell ref="B8:J8"/>
    <mergeCell ref="B9:J9"/>
    <mergeCell ref="K66:N66"/>
    <mergeCell ref="I66:J66"/>
    <mergeCell ref="B66:H66"/>
    <mergeCell ref="I68:J68"/>
    <mergeCell ref="D70:E70"/>
    <mergeCell ref="I70:J70"/>
    <mergeCell ref="I69:J69"/>
    <mergeCell ref="I67:J67"/>
    <mergeCell ref="B68:H68"/>
    <mergeCell ref="B69:H69"/>
    <mergeCell ref="B67:H67"/>
    <mergeCell ref="B70:C70"/>
    <mergeCell ref="A25:A36"/>
    <mergeCell ref="B25:J25"/>
    <mergeCell ref="B26:J26"/>
    <mergeCell ref="B28:I28"/>
    <mergeCell ref="B30:I30"/>
    <mergeCell ref="B31:I31"/>
    <mergeCell ref="B32:I32"/>
    <mergeCell ref="B34:I34"/>
    <mergeCell ref="B35:I35"/>
    <mergeCell ref="B36:I36"/>
    <mergeCell ref="B29:I29"/>
    <mergeCell ref="A8:A23"/>
    <mergeCell ref="B17:H17"/>
    <mergeCell ref="I17:J17"/>
    <mergeCell ref="B18:H18"/>
    <mergeCell ref="I18:J18"/>
    <mergeCell ref="B19:H19"/>
    <mergeCell ref="I19:J19"/>
    <mergeCell ref="K23:N23"/>
    <mergeCell ref="B43:H43"/>
    <mergeCell ref="I43:J43"/>
    <mergeCell ref="B16:J16"/>
    <mergeCell ref="B20:H20"/>
    <mergeCell ref="I20:J20"/>
    <mergeCell ref="B21:H21"/>
    <mergeCell ref="I21:J21"/>
    <mergeCell ref="B22:H22"/>
    <mergeCell ref="I22:J22"/>
    <mergeCell ref="B23:H23"/>
    <mergeCell ref="I23:J23"/>
    <mergeCell ref="B41:H41"/>
    <mergeCell ref="I41:J41"/>
    <mergeCell ref="B42:H42"/>
    <mergeCell ref="I42:J42"/>
    <mergeCell ref="K42:N42"/>
  </mergeCells>
  <phoneticPr fontId="5" type="noConversion"/>
  <printOptions horizontalCentered="1"/>
  <pageMargins left="0.25" right="0.25" top="0.75" bottom="0.75" header="0.3" footer="0.3"/>
  <pageSetup paperSize="9" scale="45" orientation="portrait" horizontalDpi="4294967292" verticalDpi="4294967292" r:id="rId1"/>
  <rowBreaks count="3" manualBreakCount="3">
    <brk id="23" max="16383" man="1"/>
    <brk id="59" max="16383" man="1"/>
    <brk id="64" max="9" man="1"/>
  </rowBreaks>
  <colBreaks count="2" manualBreakCount="2">
    <brk id="1" min="7" max="30" man="1"/>
    <brk id="19"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pageSetUpPr fitToPage="1"/>
  </sheetPr>
  <dimension ref="A1:I24"/>
  <sheetViews>
    <sheetView zoomScaleNormal="100" workbookViewId="0">
      <selection activeCell="A3" sqref="A3:I3"/>
    </sheetView>
  </sheetViews>
  <sheetFormatPr baseColWidth="10" defaultRowHeight="16"/>
  <sheetData>
    <row r="1" spans="1:9" ht="51" customHeight="1">
      <c r="A1" s="746" t="str">
        <f>"Ændringer i planlægningsværktøjet "&amp;Vejledning!B2&amp;" i forhold til sidste skoleår"</f>
        <v>Ændringer i planlægningsværktøjet 2024-2025 i forhold til sidste skoleår</v>
      </c>
      <c r="B1" s="746"/>
      <c r="C1" s="746"/>
      <c r="D1" s="746"/>
      <c r="E1" s="746"/>
      <c r="F1" s="746"/>
      <c r="G1" s="746"/>
      <c r="H1" s="746"/>
      <c r="I1" s="746"/>
    </row>
    <row r="2" spans="1:9">
      <c r="A2" s="745"/>
      <c r="B2" s="745"/>
      <c r="C2" s="745"/>
      <c r="D2" s="745"/>
      <c r="E2" s="745"/>
      <c r="F2" s="745"/>
      <c r="G2" s="745"/>
      <c r="H2" s="745"/>
      <c r="I2" s="745"/>
    </row>
    <row r="3" spans="1:9" ht="21">
      <c r="A3" s="742" t="s">
        <v>512</v>
      </c>
      <c r="B3" s="742"/>
      <c r="C3" s="742"/>
      <c r="D3" s="742"/>
      <c r="E3" s="742"/>
      <c r="F3" s="742"/>
      <c r="G3" s="742"/>
      <c r="H3" s="742"/>
      <c r="I3" s="742"/>
    </row>
    <row r="4" spans="1:9" ht="114" customHeight="1">
      <c r="A4" s="743" t="s">
        <v>649</v>
      </c>
      <c r="B4" s="743"/>
      <c r="C4" s="743"/>
      <c r="D4" s="743"/>
      <c r="E4" s="743"/>
      <c r="F4" s="743"/>
      <c r="G4" s="743"/>
      <c r="H4" s="743"/>
      <c r="I4" s="743"/>
    </row>
    <row r="5" spans="1:9" ht="20" customHeight="1">
      <c r="A5" s="741"/>
      <c r="B5" s="741"/>
      <c r="C5" s="741"/>
      <c r="D5" s="741"/>
      <c r="E5" s="741"/>
      <c r="F5" s="741"/>
      <c r="G5" s="741"/>
      <c r="H5" s="741"/>
      <c r="I5" s="741"/>
    </row>
    <row r="6" spans="1:9" ht="21">
      <c r="A6" s="742" t="s">
        <v>125</v>
      </c>
      <c r="B6" s="742"/>
      <c r="C6" s="742"/>
      <c r="D6" s="742"/>
      <c r="E6" s="742"/>
      <c r="F6" s="742"/>
      <c r="G6" s="742"/>
      <c r="H6" s="742"/>
      <c r="I6" s="742"/>
    </row>
    <row r="7" spans="1:9" ht="69" customHeight="1">
      <c r="A7" s="743" t="s">
        <v>561</v>
      </c>
      <c r="B7" s="743"/>
      <c r="C7" s="743"/>
      <c r="D7" s="743"/>
      <c r="E7" s="743"/>
      <c r="F7" s="743"/>
      <c r="G7" s="743"/>
      <c r="H7" s="743"/>
      <c r="I7" s="743"/>
    </row>
    <row r="8" spans="1:9" ht="20" customHeight="1">
      <c r="A8" s="745"/>
      <c r="B8" s="745"/>
      <c r="C8" s="745"/>
      <c r="D8" s="745"/>
      <c r="E8" s="745"/>
      <c r="F8" s="745"/>
      <c r="G8" s="745"/>
      <c r="H8" s="745"/>
      <c r="I8" s="745"/>
    </row>
    <row r="9" spans="1:9" ht="21">
      <c r="A9" s="742" t="s">
        <v>162</v>
      </c>
      <c r="B9" s="742"/>
      <c r="C9" s="742"/>
      <c r="D9" s="742"/>
      <c r="E9" s="742"/>
      <c r="F9" s="742"/>
      <c r="G9" s="742"/>
      <c r="H9" s="742"/>
      <c r="I9" s="742"/>
    </row>
    <row r="10" spans="1:9" ht="37" customHeight="1">
      <c r="A10" s="743" t="s">
        <v>634</v>
      </c>
      <c r="B10" s="743"/>
      <c r="C10" s="743"/>
      <c r="D10" s="743"/>
      <c r="E10" s="743"/>
      <c r="F10" s="743"/>
      <c r="G10" s="743"/>
      <c r="H10" s="743"/>
      <c r="I10" s="743"/>
    </row>
    <row r="11" spans="1:9" ht="23" customHeight="1">
      <c r="A11" s="741"/>
      <c r="B11" s="741"/>
      <c r="C11" s="741"/>
      <c r="D11" s="741"/>
      <c r="E11" s="741"/>
      <c r="F11" s="741"/>
      <c r="G11" s="741"/>
      <c r="H11" s="741"/>
      <c r="I11" s="741"/>
    </row>
    <row r="12" spans="1:9" ht="21">
      <c r="A12" s="742" t="s">
        <v>673</v>
      </c>
      <c r="B12" s="742"/>
      <c r="C12" s="742"/>
      <c r="D12" s="742"/>
      <c r="E12" s="742"/>
      <c r="F12" s="742"/>
      <c r="G12" s="742"/>
      <c r="H12" s="742"/>
      <c r="I12" s="742"/>
    </row>
    <row r="13" spans="1:9" ht="37" customHeight="1">
      <c r="A13" s="743" t="s">
        <v>674</v>
      </c>
      <c r="B13" s="743"/>
      <c r="C13" s="743"/>
      <c r="D13" s="743"/>
      <c r="E13" s="743"/>
      <c r="F13" s="743"/>
      <c r="G13" s="743"/>
      <c r="H13" s="743"/>
      <c r="I13" s="743"/>
    </row>
    <row r="14" spans="1:9" ht="20" customHeight="1">
      <c r="A14" s="745"/>
      <c r="B14" s="745"/>
      <c r="C14" s="745"/>
      <c r="D14" s="745"/>
      <c r="E14" s="745"/>
      <c r="F14" s="745"/>
      <c r="G14" s="745"/>
      <c r="H14" s="745"/>
      <c r="I14" s="745"/>
    </row>
    <row r="15" spans="1:9" ht="21">
      <c r="A15" s="742" t="s">
        <v>635</v>
      </c>
      <c r="B15" s="742"/>
      <c r="C15" s="742"/>
      <c r="D15" s="742"/>
      <c r="E15" s="742"/>
      <c r="F15" s="742"/>
      <c r="G15" s="742"/>
      <c r="H15" s="742"/>
      <c r="I15" s="742"/>
    </row>
    <row r="16" spans="1:9" ht="19" customHeight="1">
      <c r="A16" s="743" t="s">
        <v>636</v>
      </c>
      <c r="B16" s="743"/>
      <c r="C16" s="743"/>
      <c r="D16" s="743"/>
      <c r="E16" s="743"/>
      <c r="F16" s="743"/>
      <c r="G16" s="743"/>
      <c r="H16" s="743"/>
      <c r="I16" s="743"/>
    </row>
    <row r="17" spans="1:9" ht="20" customHeight="1">
      <c r="A17" s="745"/>
      <c r="B17" s="745"/>
      <c r="C17" s="745"/>
      <c r="D17" s="745"/>
      <c r="E17" s="745"/>
      <c r="F17" s="745"/>
      <c r="G17" s="745"/>
      <c r="H17" s="745"/>
      <c r="I17" s="745"/>
    </row>
    <row r="18" spans="1:9" ht="21">
      <c r="A18" s="742" t="s">
        <v>637</v>
      </c>
      <c r="B18" s="742"/>
      <c r="C18" s="742"/>
      <c r="D18" s="742"/>
      <c r="E18" s="742"/>
      <c r="F18" s="742"/>
      <c r="G18" s="742"/>
      <c r="H18" s="742"/>
      <c r="I18" s="742"/>
    </row>
    <row r="19" spans="1:9" ht="32" customHeight="1">
      <c r="A19" s="743" t="s">
        <v>638</v>
      </c>
      <c r="B19" s="743"/>
      <c r="C19" s="743"/>
      <c r="D19" s="743"/>
      <c r="E19" s="743"/>
      <c r="F19" s="743"/>
      <c r="G19" s="743"/>
      <c r="H19" s="743"/>
      <c r="I19" s="743"/>
    </row>
    <row r="20" spans="1:9" ht="20" customHeight="1">
      <c r="A20" s="741"/>
      <c r="B20" s="741"/>
      <c r="C20" s="741"/>
      <c r="D20" s="741"/>
      <c r="E20" s="741"/>
      <c r="F20" s="741"/>
      <c r="G20" s="741"/>
      <c r="H20" s="741"/>
      <c r="I20" s="741"/>
    </row>
    <row r="21" spans="1:9" ht="21">
      <c r="A21" s="742" t="s">
        <v>524</v>
      </c>
      <c r="B21" s="742"/>
      <c r="C21" s="742"/>
      <c r="D21" s="742"/>
      <c r="E21" s="742"/>
      <c r="F21" s="742"/>
      <c r="G21" s="742"/>
      <c r="H21" s="742"/>
      <c r="I21" s="742"/>
    </row>
    <row r="22" spans="1:9" ht="32" customHeight="1">
      <c r="A22" s="743" t="s">
        <v>525</v>
      </c>
      <c r="B22" s="743"/>
      <c r="C22" s="743"/>
      <c r="D22" s="743"/>
      <c r="E22" s="743"/>
      <c r="F22" s="743"/>
      <c r="G22" s="743"/>
      <c r="H22" s="743"/>
      <c r="I22" s="743"/>
    </row>
    <row r="24" spans="1:9" ht="21">
      <c r="A24" s="744" t="s">
        <v>526</v>
      </c>
      <c r="B24" s="744"/>
      <c r="C24" s="744"/>
      <c r="D24" s="744"/>
      <c r="E24" s="744"/>
      <c r="F24" s="744"/>
      <c r="G24" s="744"/>
      <c r="H24" s="744"/>
      <c r="I24" s="744"/>
    </row>
  </sheetData>
  <sheetProtection sheet="1" objects="1" scenarios="1"/>
  <mergeCells count="23">
    <mergeCell ref="A24:I24"/>
    <mergeCell ref="A17:I17"/>
    <mergeCell ref="A1:I1"/>
    <mergeCell ref="A6:I6"/>
    <mergeCell ref="A7:I7"/>
    <mergeCell ref="A10:I10"/>
    <mergeCell ref="A16:I16"/>
    <mergeCell ref="A15:I15"/>
    <mergeCell ref="A9:I9"/>
    <mergeCell ref="A2:I2"/>
    <mergeCell ref="A8:I8"/>
    <mergeCell ref="A14:I14"/>
    <mergeCell ref="A3:I3"/>
    <mergeCell ref="A4:I4"/>
    <mergeCell ref="A22:I22"/>
    <mergeCell ref="A21:I21"/>
    <mergeCell ref="A5:I5"/>
    <mergeCell ref="A12:I12"/>
    <mergeCell ref="A18:I18"/>
    <mergeCell ref="A19:I19"/>
    <mergeCell ref="A20:I20"/>
    <mergeCell ref="A13:I13"/>
    <mergeCell ref="A11:I11"/>
  </mergeCells>
  <pageMargins left="0.7" right="0.7" top="0.75" bottom="0.75" header="0.3" footer="0.3"/>
  <pageSetup paperSize="9" scale="84"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27"/>
  <sheetViews>
    <sheetView showZeros="0" zoomScale="94" zoomScaleNormal="100" workbookViewId="0">
      <selection activeCell="B42" sqref="B42:I42"/>
    </sheetView>
  </sheetViews>
  <sheetFormatPr baseColWidth="10" defaultRowHeight="16"/>
  <cols>
    <col min="9" max="9" width="10.83203125" customWidth="1"/>
    <col min="11" max="11" width="14.1640625" bestFit="1" customWidth="1"/>
  </cols>
  <sheetData>
    <row r="1" spans="1:12" ht="42" customHeight="1">
      <c r="C1" s="814" t="s">
        <v>697</v>
      </c>
      <c r="D1" s="814"/>
      <c r="E1" s="814"/>
      <c r="F1" s="814"/>
      <c r="G1" s="814"/>
      <c r="H1" s="814"/>
      <c r="I1" s="814"/>
      <c r="J1" s="814"/>
      <c r="K1" s="814"/>
    </row>
    <row r="2" spans="1:12" ht="47" customHeight="1">
      <c r="A2" s="745"/>
      <c r="B2" s="745"/>
      <c r="C2" s="814" t="s">
        <v>698</v>
      </c>
      <c r="D2" s="814"/>
      <c r="E2" s="814"/>
      <c r="F2" s="814"/>
      <c r="G2" s="814"/>
      <c r="H2" s="814"/>
      <c r="I2" s="814"/>
      <c r="J2" s="814"/>
      <c r="K2" s="814"/>
    </row>
    <row r="3" spans="1:12" ht="49" customHeight="1" thickBot="1">
      <c r="A3" s="745"/>
      <c r="B3" s="745"/>
      <c r="C3" s="815" t="s">
        <v>459</v>
      </c>
      <c r="D3" s="815"/>
      <c r="E3" s="815"/>
      <c r="F3" s="815"/>
      <c r="G3" s="815"/>
      <c r="H3" s="815"/>
      <c r="I3" s="815"/>
      <c r="J3" s="815"/>
      <c r="K3" s="814"/>
    </row>
    <row r="4" spans="1:12" ht="26" customHeight="1">
      <c r="A4" s="1320">
        <v>1</v>
      </c>
      <c r="B4" s="1321" t="s">
        <v>334</v>
      </c>
      <c r="C4" s="1322"/>
      <c r="D4" s="1322"/>
      <c r="E4" s="1322"/>
      <c r="F4" s="1322"/>
      <c r="G4" s="1322"/>
      <c r="H4" s="1322"/>
      <c r="I4" s="1322"/>
      <c r="J4" s="1323"/>
      <c r="K4" s="643"/>
    </row>
    <row r="5" spans="1:12" ht="19" customHeight="1">
      <c r="A5" s="1157"/>
      <c r="B5" s="1197" t="s">
        <v>335</v>
      </c>
      <c r="C5" s="1198"/>
      <c r="D5" s="1198"/>
      <c r="E5" s="1198"/>
      <c r="F5" s="1198"/>
      <c r="G5" s="1198"/>
      <c r="H5" s="1198"/>
      <c r="I5" s="1198"/>
      <c r="J5" s="1199"/>
    </row>
    <row r="6" spans="1:12" ht="16" customHeight="1">
      <c r="A6" s="1157"/>
      <c r="B6" s="475"/>
      <c r="C6" s="355"/>
      <c r="D6" s="355"/>
      <c r="E6" s="355"/>
      <c r="F6" s="355"/>
      <c r="G6" s="355"/>
      <c r="H6" s="355"/>
      <c r="I6" s="356"/>
      <c r="J6" s="357" t="s">
        <v>30</v>
      </c>
    </row>
    <row r="7" spans="1:12" ht="16" customHeight="1">
      <c r="A7" s="1157"/>
      <c r="B7" s="1200" t="s">
        <v>56</v>
      </c>
      <c r="C7" s="1201"/>
      <c r="D7" s="1201"/>
      <c r="E7" s="1201"/>
      <c r="F7" s="1201"/>
      <c r="G7" s="1201"/>
      <c r="H7" s="1201"/>
      <c r="I7" s="1202"/>
      <c r="J7" s="358">
        <f>Arbejdstidsoversigt!I15</f>
        <v>1679.8</v>
      </c>
    </row>
    <row r="8" spans="1:12" ht="16" customHeight="1">
      <c r="A8" s="1157"/>
      <c r="B8" s="1203" t="s">
        <v>90</v>
      </c>
      <c r="C8" s="1204"/>
      <c r="D8" s="1204"/>
      <c r="E8" s="1204"/>
      <c r="F8" s="1204"/>
      <c r="G8" s="1204"/>
      <c r="H8" s="1204"/>
      <c r="I8" s="1205"/>
      <c r="J8" s="358">
        <f>Arbejdstidsoversigt!J49</f>
        <v>0</v>
      </c>
    </row>
    <row r="9" spans="1:12" ht="16" customHeight="1">
      <c r="A9" s="1157"/>
      <c r="B9" s="1203" t="s">
        <v>123</v>
      </c>
      <c r="C9" s="1204"/>
      <c r="D9" s="1204"/>
      <c r="E9" s="1204"/>
      <c r="F9" s="1204"/>
      <c r="G9" s="1204"/>
      <c r="H9" s="1204"/>
      <c r="I9" s="1205"/>
      <c r="J9" s="358">
        <f>Arbejdstidsoversigt!J50</f>
        <v>0</v>
      </c>
    </row>
    <row r="10" spans="1:12" ht="16" customHeight="1">
      <c r="A10" s="1157"/>
      <c r="B10" s="1203" t="s">
        <v>169</v>
      </c>
      <c r="C10" s="1204"/>
      <c r="D10" s="1204"/>
      <c r="E10" s="1204"/>
      <c r="F10" s="1204"/>
      <c r="G10" s="1204"/>
      <c r="H10" s="1204"/>
      <c r="I10" s="1205"/>
      <c r="J10" s="358">
        <f>Arbejdstidsoversigt!J51</f>
        <v>0</v>
      </c>
    </row>
    <row r="11" spans="1:12" ht="16" customHeight="1">
      <c r="A11" s="1157"/>
      <c r="B11" s="476" t="s">
        <v>416</v>
      </c>
      <c r="C11" s="445"/>
      <c r="D11" s="445"/>
      <c r="E11" s="445"/>
      <c r="F11" s="445"/>
      <c r="G11" s="445"/>
      <c r="H11" s="445"/>
      <c r="I11" s="446"/>
      <c r="J11" s="358">
        <f>Arbejdstidsoversigt!J52</f>
        <v>0</v>
      </c>
    </row>
    <row r="12" spans="1:12" ht="16" customHeight="1">
      <c r="A12" s="1157"/>
      <c r="B12" s="1203" t="s">
        <v>278</v>
      </c>
      <c r="C12" s="1204"/>
      <c r="D12" s="1204"/>
      <c r="E12" s="1204"/>
      <c r="F12" s="1204"/>
      <c r="G12" s="1204"/>
      <c r="H12" s="1204"/>
      <c r="I12" s="1205"/>
      <c r="J12" s="358">
        <f>Arbejdstidsoversigt!J53</f>
        <v>0</v>
      </c>
    </row>
    <row r="13" spans="1:12" ht="17" customHeight="1" thickBot="1">
      <c r="A13" s="1157"/>
      <c r="B13" s="1206" t="s">
        <v>452</v>
      </c>
      <c r="C13" s="1207"/>
      <c r="D13" s="1207"/>
      <c r="E13" s="1207"/>
      <c r="F13" s="1207"/>
      <c r="G13" s="1207"/>
      <c r="H13" s="1207"/>
      <c r="I13" s="1208"/>
      <c r="J13" s="358">
        <f>Arbejdstidsoversigt!J54</f>
        <v>0</v>
      </c>
    </row>
    <row r="14" spans="1:12" ht="16" hidden="1" customHeight="1">
      <c r="A14" s="1157"/>
      <c r="B14" s="1324" t="s">
        <v>687</v>
      </c>
      <c r="C14" s="1325"/>
      <c r="D14" s="1325"/>
      <c r="E14" s="1325"/>
      <c r="F14" s="1325"/>
      <c r="G14" s="1325"/>
      <c r="H14" s="1325"/>
      <c r="I14" s="1326"/>
      <c r="J14" s="222">
        <f>J7-J8-J9-J10-J11-J12-J13</f>
        <v>1679.8</v>
      </c>
    </row>
    <row r="15" spans="1:12" ht="32" hidden="1" customHeight="1">
      <c r="A15" s="1157"/>
      <c r="B15" s="1184" t="s">
        <v>688</v>
      </c>
      <c r="C15" s="1185"/>
      <c r="D15" s="1185"/>
      <c r="E15" s="1185"/>
      <c r="F15" s="1185"/>
      <c r="G15" s="1185"/>
      <c r="H15" s="1185"/>
      <c r="I15" s="1185"/>
      <c r="J15" s="708">
        <f>Arbejdstidsoversigt!D100</f>
        <v>0</v>
      </c>
      <c r="K15" s="40"/>
      <c r="L15" s="40"/>
    </row>
    <row r="16" spans="1:12" ht="17" hidden="1" customHeight="1">
      <c r="A16" s="1157"/>
      <c r="B16" s="1327" t="s">
        <v>63</v>
      </c>
      <c r="C16" s="1328"/>
      <c r="D16" s="1328"/>
      <c r="E16" s="1328"/>
      <c r="F16" s="1328"/>
      <c r="G16" s="1328"/>
      <c r="H16" s="1328"/>
      <c r="I16" s="1328"/>
      <c r="J16" s="709">
        <f>Arbejdstidsoversigt!D101</f>
        <v>0</v>
      </c>
      <c r="K16" s="40"/>
      <c r="L16" s="40"/>
    </row>
    <row r="17" spans="1:41" ht="17" customHeight="1">
      <c r="A17" s="1157"/>
      <c r="B17" s="1324" t="s">
        <v>336</v>
      </c>
      <c r="C17" s="1325"/>
      <c r="D17" s="1325"/>
      <c r="E17" s="1325"/>
      <c r="F17" s="1325"/>
      <c r="G17" s="1325"/>
      <c r="H17" s="1325"/>
      <c r="I17" s="1326"/>
      <c r="J17" s="222">
        <f>J7-J8-J9-J10-J11-J12-J13</f>
        <v>1679.8</v>
      </c>
    </row>
    <row r="18" spans="1:41" ht="17" customHeight="1">
      <c r="A18" s="1157"/>
      <c r="B18" s="1203" t="s">
        <v>246</v>
      </c>
      <c r="C18" s="1204"/>
      <c r="D18" s="1204"/>
      <c r="E18" s="1204"/>
      <c r="F18" s="1204"/>
      <c r="G18" s="1204"/>
      <c r="H18" s="1204"/>
      <c r="I18" s="1205"/>
      <c r="J18" s="335">
        <f>Arbejdstidsoversigt!J56</f>
        <v>0</v>
      </c>
    </row>
    <row r="19" spans="1:41" ht="17" customHeight="1">
      <c r="A19" s="1157"/>
      <c r="B19" s="1203" t="s">
        <v>337</v>
      </c>
      <c r="C19" s="1204"/>
      <c r="D19" s="1204"/>
      <c r="E19" s="1204"/>
      <c r="F19" s="1204"/>
      <c r="G19" s="1204"/>
      <c r="H19" s="1204"/>
      <c r="I19" s="1205"/>
      <c r="J19" s="335">
        <f>Arbejdstidsoversigt!J57</f>
        <v>0</v>
      </c>
      <c r="K19" s="111"/>
    </row>
    <row r="20" spans="1:41" ht="17" customHeight="1">
      <c r="A20" s="1157"/>
      <c r="B20" s="1203" t="s">
        <v>338</v>
      </c>
      <c r="C20" s="1204"/>
      <c r="D20" s="1204"/>
      <c r="E20" s="1204"/>
      <c r="F20" s="1204"/>
      <c r="G20" s="1204"/>
      <c r="H20" s="1204"/>
      <c r="I20" s="1205"/>
      <c r="J20" s="335">
        <f>August!P41+September!P39+Oktober!P40+November!P39+December!P40+Januar!P40+Februar!P38+Marts!P40+April!P39+Maj!P40+Juni!P39+Juli!P40</f>
        <v>0</v>
      </c>
    </row>
    <row r="21" spans="1:41" ht="34" customHeight="1" thickBot="1">
      <c r="A21" s="1157"/>
      <c r="B21" s="1332" t="s">
        <v>690</v>
      </c>
      <c r="C21" s="1333"/>
      <c r="D21" s="1333"/>
      <c r="E21" s="1333"/>
      <c r="F21" s="1333"/>
      <c r="G21" s="1333"/>
      <c r="H21" s="1333"/>
      <c r="I21" s="1334"/>
      <c r="J21" s="477">
        <f>J17-J18-J19-J20</f>
        <v>1679.8</v>
      </c>
    </row>
    <row r="22" spans="1:41" ht="49" customHeight="1" thickBot="1">
      <c r="A22" s="295"/>
      <c r="B22" s="295"/>
      <c r="C22" s="706"/>
      <c r="D22" s="706"/>
      <c r="E22" s="706"/>
      <c r="F22" s="706"/>
      <c r="G22" s="706"/>
      <c r="H22" s="706"/>
      <c r="I22" s="706"/>
      <c r="J22" s="706"/>
      <c r="K22" s="706"/>
    </row>
    <row r="23" spans="1:41" ht="58" customHeight="1">
      <c r="A23" s="1384" t="s">
        <v>691</v>
      </c>
      <c r="B23" s="1339" t="str">
        <f>"Liste over øvrige opgaver til "&amp;Stamoplysninger!E8&amp;""</f>
        <v xml:space="preserve">Liste over øvrige opgaver til </v>
      </c>
      <c r="C23" s="1340"/>
      <c r="D23" s="1340"/>
      <c r="E23" s="1340"/>
      <c r="F23" s="1340"/>
      <c r="G23" s="1340"/>
      <c r="H23" s="1340"/>
      <c r="I23" s="1341"/>
      <c r="J23" s="1355" t="s">
        <v>476</v>
      </c>
      <c r="K23" s="1376" t="s">
        <v>68</v>
      </c>
      <c r="L23" s="1338"/>
      <c r="M23" s="40" t="s">
        <v>474</v>
      </c>
    </row>
    <row r="24" spans="1:41" ht="45" customHeight="1" thickBot="1">
      <c r="A24" s="1385"/>
      <c r="B24" s="1342" t="s">
        <v>489</v>
      </c>
      <c r="C24" s="1343"/>
      <c r="D24" s="1343"/>
      <c r="E24" s="1343"/>
      <c r="F24" s="1343"/>
      <c r="G24" s="1343"/>
      <c r="H24" s="1343"/>
      <c r="I24" s="1344"/>
      <c r="J24" s="1356"/>
      <c r="K24" s="1377"/>
      <c r="L24" s="1338"/>
      <c r="M24" s="40" t="s">
        <v>475</v>
      </c>
    </row>
    <row r="25" spans="1:41" s="4" customFormat="1" ht="40" customHeight="1">
      <c r="A25" s="1385"/>
      <c r="B25" s="1345" t="s">
        <v>488</v>
      </c>
      <c r="C25" s="1346"/>
      <c r="D25" s="1346"/>
      <c r="E25" s="1346"/>
      <c r="F25" s="1346"/>
      <c r="G25" s="1346"/>
      <c r="H25" s="1346"/>
      <c r="I25" s="1347"/>
      <c r="J25" s="1356"/>
      <c r="K25" s="1353">
        <f>J21</f>
        <v>1679.8</v>
      </c>
      <c r="L25" s="1338"/>
      <c r="M25" s="215"/>
      <c r="N25" s="216"/>
      <c r="O25" s="217"/>
      <c r="P25" s="217"/>
      <c r="Q25" s="214"/>
      <c r="R25" s="214"/>
      <c r="S25" s="214"/>
      <c r="T25" s="214"/>
      <c r="U25" s="214"/>
      <c r="W25" s="215"/>
      <c r="X25" s="216"/>
      <c r="Y25" s="217"/>
      <c r="Z25" s="217"/>
      <c r="AA25" s="214"/>
      <c r="AB25" s="214"/>
      <c r="AC25" s="214"/>
      <c r="AD25" s="214"/>
      <c r="AE25" s="214"/>
      <c r="AG25" s="215"/>
      <c r="AH25" s="216"/>
      <c r="AI25" s="217"/>
      <c r="AJ25" s="217"/>
      <c r="AK25" s="214"/>
      <c r="AL25" s="214"/>
      <c r="AM25" s="214"/>
      <c r="AN25" s="214"/>
      <c r="AO25" s="214"/>
    </row>
    <row r="26" spans="1:41" s="4" customFormat="1" ht="12" customHeight="1">
      <c r="A26" s="1385"/>
      <c r="B26" s="1358" t="s">
        <v>487</v>
      </c>
      <c r="C26" s="1359"/>
      <c r="D26" s="1359"/>
      <c r="E26" s="1359"/>
      <c r="F26" s="1359"/>
      <c r="G26" s="1359"/>
      <c r="H26" s="1359"/>
      <c r="I26" s="1360"/>
      <c r="J26" s="1356"/>
      <c r="K26" s="1353"/>
      <c r="L26" s="1338"/>
      <c r="M26" s="215"/>
      <c r="N26" s="216"/>
      <c r="O26" s="217"/>
      <c r="P26" s="217"/>
      <c r="Q26" s="214"/>
      <c r="R26" s="214"/>
      <c r="S26" s="214"/>
      <c r="T26" s="214"/>
      <c r="U26" s="214"/>
      <c r="W26" s="215"/>
      <c r="X26" s="216"/>
      <c r="Y26" s="217"/>
      <c r="Z26" s="217"/>
      <c r="AA26" s="214"/>
      <c r="AB26" s="214"/>
      <c r="AC26" s="214"/>
      <c r="AD26" s="214"/>
      <c r="AE26" s="214"/>
      <c r="AG26" s="215"/>
      <c r="AH26" s="216"/>
      <c r="AI26" s="217"/>
      <c r="AJ26" s="217"/>
      <c r="AK26" s="214"/>
      <c r="AL26" s="214"/>
      <c r="AM26" s="214"/>
      <c r="AN26" s="214"/>
      <c r="AO26" s="214"/>
    </row>
    <row r="27" spans="1:41" s="4" customFormat="1" ht="49" customHeight="1" thickBot="1">
      <c r="A27" s="1385"/>
      <c r="B27" s="1348" t="s">
        <v>490</v>
      </c>
      <c r="C27" s="1349"/>
      <c r="D27" s="1349"/>
      <c r="E27" s="1349"/>
      <c r="F27" s="1349"/>
      <c r="G27" s="1349"/>
      <c r="H27" s="1349"/>
      <c r="I27" s="1350"/>
      <c r="J27" s="1357"/>
      <c r="K27" s="1354"/>
      <c r="L27" s="1338"/>
    </row>
    <row r="28" spans="1:41" s="4" customFormat="1" ht="20" customHeight="1">
      <c r="A28" s="1385"/>
      <c r="B28" s="1329"/>
      <c r="C28" s="1351"/>
      <c r="D28" s="1351"/>
      <c r="E28" s="1351"/>
      <c r="F28" s="1351"/>
      <c r="G28" s="1351"/>
      <c r="H28" s="1351"/>
      <c r="I28" s="1352"/>
      <c r="J28" s="512"/>
      <c r="K28" s="513"/>
      <c r="L28" s="228"/>
      <c r="M28" s="215"/>
      <c r="N28" s="216"/>
      <c r="O28" s="217"/>
      <c r="P28" s="217"/>
      <c r="Q28" s="214"/>
      <c r="R28" s="214"/>
      <c r="S28" s="214"/>
      <c r="T28" s="214"/>
      <c r="U28" s="214"/>
      <c r="W28" s="215"/>
      <c r="X28" s="216"/>
      <c r="Y28" s="217"/>
      <c r="Z28" s="217"/>
      <c r="AA28" s="214"/>
      <c r="AB28" s="214"/>
      <c r="AC28" s="214"/>
      <c r="AD28" s="214"/>
      <c r="AE28" s="214"/>
      <c r="AG28" s="215"/>
      <c r="AH28" s="216"/>
      <c r="AI28" s="217"/>
      <c r="AJ28" s="217"/>
      <c r="AK28" s="214"/>
      <c r="AL28" s="214"/>
      <c r="AM28" s="214"/>
      <c r="AN28" s="214"/>
      <c r="AO28" s="214"/>
    </row>
    <row r="29" spans="1:41" s="4" customFormat="1" ht="20" customHeight="1">
      <c r="A29" s="1385"/>
      <c r="B29" s="1329"/>
      <c r="C29" s="1330"/>
      <c r="D29" s="1330"/>
      <c r="E29" s="1330"/>
      <c r="F29" s="1330"/>
      <c r="G29" s="1330"/>
      <c r="H29" s="1330"/>
      <c r="I29" s="1331"/>
      <c r="J29" s="512"/>
      <c r="K29" s="366"/>
      <c r="L29" s="228"/>
      <c r="M29" s="215"/>
      <c r="N29" s="216"/>
      <c r="O29" s="217"/>
      <c r="P29" s="217"/>
      <c r="Q29" s="214"/>
      <c r="R29" s="214"/>
      <c r="S29" s="214"/>
      <c r="T29" s="214"/>
      <c r="U29" s="214"/>
      <c r="W29" s="215"/>
      <c r="X29" s="216"/>
      <c r="Y29" s="217"/>
      <c r="Z29" s="217"/>
      <c r="AA29" s="214"/>
      <c r="AB29" s="214"/>
      <c r="AC29" s="214"/>
      <c r="AD29" s="214"/>
      <c r="AE29" s="214"/>
      <c r="AG29" s="215"/>
      <c r="AH29" s="216"/>
      <c r="AI29" s="217"/>
      <c r="AJ29" s="217"/>
      <c r="AK29" s="214"/>
      <c r="AL29" s="214"/>
      <c r="AM29" s="214"/>
      <c r="AN29" s="214"/>
      <c r="AO29" s="214"/>
    </row>
    <row r="30" spans="1:41" s="4" customFormat="1" ht="20" customHeight="1">
      <c r="A30" s="1385"/>
      <c r="B30" s="1329"/>
      <c r="C30" s="1330"/>
      <c r="D30" s="1330"/>
      <c r="E30" s="1330"/>
      <c r="F30" s="1330"/>
      <c r="G30" s="1330"/>
      <c r="H30" s="1330"/>
      <c r="I30" s="1331"/>
      <c r="J30" s="512"/>
      <c r="K30" s="366"/>
      <c r="L30" s="228"/>
      <c r="M30" s="215"/>
      <c r="N30" s="216"/>
      <c r="O30" s="217"/>
      <c r="P30" s="217"/>
      <c r="Q30" s="214"/>
      <c r="R30" s="214"/>
      <c r="S30" s="214"/>
      <c r="T30" s="214"/>
      <c r="U30" s="214"/>
      <c r="W30" s="215"/>
      <c r="X30" s="216"/>
      <c r="Y30" s="217"/>
      <c r="Z30" s="217"/>
      <c r="AA30" s="214"/>
      <c r="AB30" s="214"/>
      <c r="AC30" s="214"/>
      <c r="AD30" s="214"/>
      <c r="AE30" s="214"/>
      <c r="AG30" s="215"/>
      <c r="AH30" s="216"/>
      <c r="AI30" s="217"/>
      <c r="AJ30" s="217"/>
      <c r="AK30" s="214"/>
      <c r="AL30" s="214"/>
      <c r="AM30" s="214"/>
      <c r="AN30" s="214"/>
      <c r="AO30" s="214"/>
    </row>
    <row r="31" spans="1:41" s="4" customFormat="1" ht="20" customHeight="1">
      <c r="A31" s="1385"/>
      <c r="B31" s="1329"/>
      <c r="C31" s="1330"/>
      <c r="D31" s="1330"/>
      <c r="E31" s="1330"/>
      <c r="F31" s="1330"/>
      <c r="G31" s="1330"/>
      <c r="H31" s="1330"/>
      <c r="I31" s="1331"/>
      <c r="J31" s="512"/>
      <c r="K31" s="366"/>
      <c r="L31" s="228"/>
      <c r="M31" s="215"/>
      <c r="N31" s="216"/>
      <c r="O31" s="217"/>
      <c r="P31" s="217"/>
      <c r="Q31" s="214"/>
      <c r="R31" s="214"/>
      <c r="S31" s="214"/>
      <c r="T31" s="214"/>
      <c r="U31" s="214"/>
      <c r="W31" s="215"/>
      <c r="X31" s="216"/>
      <c r="Y31" s="217"/>
      <c r="Z31" s="217"/>
      <c r="AA31" s="214"/>
      <c r="AB31" s="214"/>
      <c r="AC31" s="214"/>
      <c r="AD31" s="214"/>
      <c r="AE31" s="214"/>
      <c r="AG31" s="215"/>
      <c r="AH31" s="216"/>
      <c r="AI31" s="217"/>
      <c r="AJ31" s="217"/>
      <c r="AK31" s="214"/>
      <c r="AL31" s="214"/>
      <c r="AM31" s="214"/>
      <c r="AN31" s="214"/>
      <c r="AO31" s="214"/>
    </row>
    <row r="32" spans="1:41" s="4" customFormat="1" ht="20" customHeight="1">
      <c r="A32" s="1385"/>
      <c r="B32" s="1329"/>
      <c r="C32" s="1330"/>
      <c r="D32" s="1330"/>
      <c r="E32" s="1330"/>
      <c r="F32" s="1330"/>
      <c r="G32" s="1330"/>
      <c r="H32" s="1330"/>
      <c r="I32" s="1331"/>
      <c r="J32" s="512"/>
      <c r="K32" s="366"/>
      <c r="L32" s="228"/>
      <c r="M32" s="215"/>
      <c r="N32" s="216"/>
      <c r="O32" s="217"/>
      <c r="P32" s="217"/>
      <c r="Q32" s="214"/>
      <c r="R32" s="214"/>
      <c r="S32" s="214"/>
      <c r="T32" s="214"/>
      <c r="U32" s="214"/>
      <c r="W32" s="215"/>
      <c r="X32" s="216"/>
      <c r="Y32" s="217"/>
      <c r="Z32" s="217"/>
      <c r="AA32" s="214"/>
      <c r="AB32" s="214"/>
      <c r="AC32" s="214"/>
      <c r="AD32" s="214"/>
      <c r="AE32" s="214"/>
      <c r="AG32" s="215"/>
      <c r="AH32" s="216"/>
      <c r="AI32" s="217"/>
      <c r="AJ32" s="217"/>
      <c r="AK32" s="214"/>
      <c r="AL32" s="214"/>
      <c r="AM32" s="214"/>
      <c r="AN32" s="214"/>
      <c r="AO32" s="214"/>
    </row>
    <row r="33" spans="1:41" s="4" customFormat="1" ht="20" customHeight="1">
      <c r="A33" s="1385"/>
      <c r="B33" s="1329"/>
      <c r="C33" s="1330"/>
      <c r="D33" s="1330"/>
      <c r="E33" s="1330"/>
      <c r="F33" s="1330"/>
      <c r="G33" s="1330"/>
      <c r="H33" s="1330"/>
      <c r="I33" s="1331"/>
      <c r="J33" s="512"/>
      <c r="K33" s="366"/>
      <c r="L33" s="228"/>
      <c r="M33" s="215"/>
      <c r="N33" s="216"/>
      <c r="O33" s="217"/>
      <c r="P33" s="217"/>
      <c r="Q33" s="214"/>
      <c r="R33" s="214"/>
      <c r="S33" s="214"/>
      <c r="T33" s="214"/>
      <c r="U33" s="214"/>
      <c r="W33" s="215"/>
      <c r="X33" s="216"/>
      <c r="Y33" s="217"/>
      <c r="Z33" s="217"/>
      <c r="AA33" s="214"/>
      <c r="AB33" s="214"/>
      <c r="AC33" s="214"/>
      <c r="AD33" s="214"/>
      <c r="AE33" s="214"/>
      <c r="AG33" s="215"/>
      <c r="AH33" s="216"/>
      <c r="AI33" s="217"/>
      <c r="AJ33" s="217"/>
      <c r="AK33" s="214"/>
      <c r="AL33" s="214"/>
      <c r="AM33" s="214"/>
      <c r="AN33" s="214"/>
      <c r="AO33" s="214"/>
    </row>
    <row r="34" spans="1:41" s="4" customFormat="1" ht="20" customHeight="1">
      <c r="A34" s="1385"/>
      <c r="B34" s="1329"/>
      <c r="C34" s="1330"/>
      <c r="D34" s="1330"/>
      <c r="E34" s="1330"/>
      <c r="F34" s="1330"/>
      <c r="G34" s="1330"/>
      <c r="H34" s="1330"/>
      <c r="I34" s="1331"/>
      <c r="J34" s="512"/>
      <c r="K34" s="366"/>
      <c r="L34" s="228"/>
      <c r="M34" s="215"/>
      <c r="N34" s="216"/>
      <c r="O34" s="217"/>
      <c r="P34" s="217"/>
      <c r="Q34" s="214"/>
      <c r="R34" s="214"/>
      <c r="S34" s="214"/>
      <c r="T34" s="214"/>
      <c r="U34" s="214"/>
      <c r="W34" s="215"/>
      <c r="X34" s="216"/>
      <c r="Y34" s="217"/>
      <c r="Z34" s="217"/>
      <c r="AA34" s="214"/>
      <c r="AB34" s="214"/>
      <c r="AC34" s="214"/>
      <c r="AD34" s="214"/>
      <c r="AE34" s="214"/>
      <c r="AG34" s="215"/>
      <c r="AH34" s="216"/>
      <c r="AI34" s="217"/>
      <c r="AJ34" s="217"/>
      <c r="AK34" s="214"/>
      <c r="AL34" s="214"/>
      <c r="AM34" s="214"/>
      <c r="AN34" s="214"/>
      <c r="AO34" s="214"/>
    </row>
    <row r="35" spans="1:41" s="4" customFormat="1" ht="20" customHeight="1">
      <c r="A35" s="1385"/>
      <c r="B35" s="1329"/>
      <c r="C35" s="1330"/>
      <c r="D35" s="1330"/>
      <c r="E35" s="1330"/>
      <c r="F35" s="1330"/>
      <c r="G35" s="1330"/>
      <c r="H35" s="1330"/>
      <c r="I35" s="1331"/>
      <c r="J35" s="512"/>
      <c r="K35" s="366"/>
      <c r="L35" s="228"/>
      <c r="M35" s="215"/>
      <c r="N35" s="216"/>
      <c r="O35" s="217"/>
      <c r="P35" s="217"/>
      <c r="Q35" s="214"/>
      <c r="R35" s="214"/>
      <c r="S35" s="214"/>
      <c r="T35" s="214"/>
      <c r="U35" s="214"/>
      <c r="W35" s="215"/>
      <c r="X35" s="216"/>
      <c r="Y35" s="217"/>
      <c r="Z35" s="217"/>
      <c r="AA35" s="214"/>
      <c r="AB35" s="214"/>
      <c r="AC35" s="214"/>
      <c r="AD35" s="214"/>
      <c r="AE35" s="214"/>
      <c r="AG35" s="215"/>
      <c r="AH35" s="216"/>
      <c r="AI35" s="217"/>
      <c r="AJ35" s="217"/>
      <c r="AK35" s="214"/>
      <c r="AL35" s="214"/>
      <c r="AM35" s="214"/>
      <c r="AN35" s="214"/>
      <c r="AO35" s="214"/>
    </row>
    <row r="36" spans="1:41" s="4" customFormat="1" ht="20" customHeight="1">
      <c r="A36" s="1385"/>
      <c r="B36" s="1329"/>
      <c r="C36" s="1330"/>
      <c r="D36" s="1330"/>
      <c r="E36" s="1330"/>
      <c r="F36" s="1330"/>
      <c r="G36" s="1330"/>
      <c r="H36" s="1330"/>
      <c r="I36" s="1331"/>
      <c r="J36" s="512"/>
      <c r="K36" s="366"/>
      <c r="L36" s="228"/>
      <c r="M36" s="215"/>
      <c r="N36" s="216"/>
      <c r="O36" s="217"/>
      <c r="P36" s="217"/>
      <c r="Q36" s="214"/>
      <c r="R36" s="214"/>
      <c r="S36" s="214"/>
      <c r="T36" s="214"/>
      <c r="U36" s="214"/>
      <c r="W36" s="215"/>
      <c r="X36" s="216"/>
      <c r="Y36" s="217"/>
      <c r="Z36" s="217"/>
      <c r="AA36" s="214"/>
      <c r="AB36" s="214"/>
      <c r="AC36" s="214"/>
      <c r="AD36" s="214"/>
      <c r="AE36" s="214"/>
      <c r="AG36" s="215"/>
      <c r="AH36" s="216"/>
      <c r="AI36" s="217"/>
      <c r="AJ36" s="217"/>
      <c r="AK36" s="214"/>
      <c r="AL36" s="214"/>
      <c r="AM36" s="214"/>
      <c r="AN36" s="214"/>
      <c r="AO36" s="214"/>
    </row>
    <row r="37" spans="1:41" s="4" customFormat="1" ht="20" customHeight="1">
      <c r="A37" s="1385"/>
      <c r="B37" s="1329"/>
      <c r="C37" s="1330"/>
      <c r="D37" s="1330"/>
      <c r="E37" s="1330"/>
      <c r="F37" s="1330"/>
      <c r="G37" s="1330"/>
      <c r="H37" s="1330"/>
      <c r="I37" s="1331"/>
      <c r="J37" s="512"/>
      <c r="K37" s="366"/>
      <c r="L37" s="228"/>
      <c r="M37" s="215"/>
      <c r="N37" s="216"/>
      <c r="O37" s="217"/>
      <c r="P37" s="217"/>
      <c r="Q37" s="214"/>
      <c r="R37" s="214"/>
      <c r="S37" s="214"/>
      <c r="T37" s="214"/>
      <c r="U37" s="214"/>
      <c r="W37" s="215"/>
      <c r="X37" s="216"/>
      <c r="Y37" s="217"/>
      <c r="Z37" s="217"/>
      <c r="AA37" s="214"/>
      <c r="AB37" s="214"/>
      <c r="AC37" s="214"/>
      <c r="AD37" s="214"/>
      <c r="AE37" s="214"/>
      <c r="AG37" s="215"/>
      <c r="AH37" s="216"/>
      <c r="AI37" s="217"/>
      <c r="AJ37" s="217"/>
      <c r="AK37" s="214"/>
      <c r="AL37" s="214"/>
      <c r="AM37" s="214"/>
      <c r="AN37" s="214"/>
      <c r="AO37" s="214"/>
    </row>
    <row r="38" spans="1:41" s="4" customFormat="1" ht="20" customHeight="1">
      <c r="A38" s="1385"/>
      <c r="B38" s="1329"/>
      <c r="C38" s="1330"/>
      <c r="D38" s="1330"/>
      <c r="E38" s="1330"/>
      <c r="F38" s="1330"/>
      <c r="G38" s="1330"/>
      <c r="H38" s="1330"/>
      <c r="I38" s="1331"/>
      <c r="J38" s="512"/>
      <c r="K38" s="366"/>
      <c r="L38" s="228"/>
      <c r="M38" s="215"/>
      <c r="N38" s="216"/>
      <c r="O38" s="217"/>
      <c r="P38" s="217"/>
      <c r="Q38" s="214"/>
      <c r="R38" s="214"/>
      <c r="S38" s="214"/>
      <c r="T38" s="214"/>
      <c r="U38" s="214"/>
      <c r="W38" s="215"/>
      <c r="X38" s="216"/>
      <c r="Y38" s="217"/>
      <c r="Z38" s="217"/>
      <c r="AA38" s="214"/>
      <c r="AB38" s="214"/>
      <c r="AC38" s="214"/>
      <c r="AD38" s="214"/>
      <c r="AE38" s="214"/>
      <c r="AG38" s="215"/>
      <c r="AH38" s="216"/>
      <c r="AI38" s="217"/>
      <c r="AJ38" s="217"/>
      <c r="AK38" s="214"/>
      <c r="AL38" s="214"/>
      <c r="AM38" s="214"/>
      <c r="AN38" s="214"/>
      <c r="AO38" s="214"/>
    </row>
    <row r="39" spans="1:41" s="4" customFormat="1" ht="20" customHeight="1">
      <c r="A39" s="1385"/>
      <c r="B39" s="1329"/>
      <c r="C39" s="1330"/>
      <c r="D39" s="1330"/>
      <c r="E39" s="1330"/>
      <c r="F39" s="1330"/>
      <c r="G39" s="1330"/>
      <c r="H39" s="1330"/>
      <c r="I39" s="1331"/>
      <c r="J39" s="512"/>
      <c r="K39" s="366"/>
      <c r="L39" s="228"/>
      <c r="M39" s="215"/>
      <c r="N39" s="216"/>
      <c r="O39" s="217"/>
      <c r="P39" s="217"/>
      <c r="Q39" s="214"/>
      <c r="R39" s="214"/>
      <c r="S39" s="214"/>
      <c r="T39" s="214"/>
      <c r="U39" s="214"/>
      <c r="W39" s="215"/>
      <c r="X39" s="216"/>
      <c r="Y39" s="217"/>
      <c r="Z39" s="217"/>
      <c r="AA39" s="214"/>
      <c r="AB39" s="214"/>
      <c r="AC39" s="214"/>
      <c r="AD39" s="214"/>
      <c r="AE39" s="214"/>
      <c r="AG39" s="215"/>
      <c r="AH39" s="216"/>
      <c r="AI39" s="217"/>
      <c r="AJ39" s="217"/>
      <c r="AK39" s="214"/>
      <c r="AL39" s="214"/>
      <c r="AM39" s="214"/>
      <c r="AN39" s="214"/>
      <c r="AO39" s="214"/>
    </row>
    <row r="40" spans="1:41" s="4" customFormat="1" ht="20" customHeight="1">
      <c r="A40" s="1385"/>
      <c r="B40" s="1329"/>
      <c r="C40" s="1330"/>
      <c r="D40" s="1330"/>
      <c r="E40" s="1330"/>
      <c r="F40" s="1330"/>
      <c r="G40" s="1330"/>
      <c r="H40" s="1330"/>
      <c r="I40" s="1331"/>
      <c r="J40" s="512"/>
      <c r="K40" s="366"/>
      <c r="L40" s="228"/>
      <c r="M40" s="215"/>
      <c r="N40" s="216"/>
      <c r="O40" s="217"/>
      <c r="P40" s="217"/>
      <c r="Q40" s="214"/>
      <c r="R40" s="214"/>
      <c r="S40" s="214"/>
      <c r="T40" s="214"/>
      <c r="U40" s="214"/>
      <c r="W40" s="215"/>
      <c r="X40" s="216"/>
      <c r="Y40" s="217"/>
      <c r="Z40" s="217"/>
      <c r="AA40" s="214"/>
      <c r="AB40" s="214"/>
      <c r="AC40" s="214"/>
      <c r="AD40" s="214"/>
      <c r="AE40" s="214"/>
      <c r="AG40" s="215"/>
      <c r="AH40" s="216"/>
      <c r="AI40" s="217"/>
      <c r="AJ40" s="217"/>
      <c r="AK40" s="214"/>
      <c r="AL40" s="214"/>
      <c r="AM40" s="214"/>
      <c r="AN40" s="214"/>
      <c r="AO40" s="214"/>
    </row>
    <row r="41" spans="1:41" s="4" customFormat="1" ht="20" customHeight="1">
      <c r="A41" s="1385"/>
      <c r="B41" s="1329"/>
      <c r="C41" s="1330"/>
      <c r="D41" s="1330"/>
      <c r="E41" s="1330"/>
      <c r="F41" s="1330"/>
      <c r="G41" s="1330"/>
      <c r="H41" s="1330"/>
      <c r="I41" s="1331"/>
      <c r="J41" s="512"/>
      <c r="K41" s="366"/>
      <c r="L41" s="228"/>
      <c r="M41" s="215"/>
      <c r="N41" s="216"/>
      <c r="O41" s="217"/>
      <c r="P41" s="217"/>
      <c r="Q41" s="214"/>
      <c r="R41" s="214"/>
      <c r="S41" s="214"/>
      <c r="T41" s="214"/>
      <c r="U41" s="214"/>
      <c r="W41" s="215"/>
      <c r="X41" s="216"/>
      <c r="Y41" s="217"/>
      <c r="Z41" s="217"/>
      <c r="AA41" s="214"/>
      <c r="AB41" s="214"/>
      <c r="AC41" s="214"/>
      <c r="AD41" s="214"/>
      <c r="AE41" s="214"/>
      <c r="AG41" s="215"/>
      <c r="AH41" s="216"/>
      <c r="AI41" s="217"/>
      <c r="AJ41" s="217"/>
      <c r="AK41" s="214"/>
      <c r="AL41" s="214"/>
      <c r="AM41" s="214"/>
      <c r="AN41" s="214"/>
      <c r="AO41" s="214"/>
    </row>
    <row r="42" spans="1:41" s="4" customFormat="1" ht="20" customHeight="1">
      <c r="A42" s="1385"/>
      <c r="B42" s="1329"/>
      <c r="C42" s="1330"/>
      <c r="D42" s="1330"/>
      <c r="E42" s="1330"/>
      <c r="F42" s="1330"/>
      <c r="G42" s="1330"/>
      <c r="H42" s="1330"/>
      <c r="I42" s="1331"/>
      <c r="J42" s="512"/>
      <c r="K42" s="366"/>
      <c r="L42" s="228"/>
      <c r="M42" s="215"/>
      <c r="N42" s="216"/>
      <c r="O42" s="217"/>
      <c r="P42" s="217"/>
      <c r="Q42" s="214"/>
      <c r="R42" s="214"/>
      <c r="S42" s="214"/>
      <c r="T42" s="214"/>
      <c r="U42" s="214"/>
      <c r="W42" s="215"/>
      <c r="X42" s="216"/>
      <c r="Y42" s="217"/>
      <c r="Z42" s="217"/>
      <c r="AA42" s="214"/>
      <c r="AB42" s="214"/>
      <c r="AC42" s="214"/>
      <c r="AD42" s="214"/>
      <c r="AE42" s="214"/>
      <c r="AG42" s="215"/>
      <c r="AH42" s="216"/>
      <c r="AI42" s="217"/>
      <c r="AJ42" s="217"/>
      <c r="AK42" s="214"/>
      <c r="AL42" s="214"/>
      <c r="AM42" s="214"/>
      <c r="AN42" s="214"/>
      <c r="AO42" s="214"/>
    </row>
    <row r="43" spans="1:41" s="4" customFormat="1" ht="20" customHeight="1">
      <c r="A43" s="1385"/>
      <c r="B43" s="1329"/>
      <c r="C43" s="1330"/>
      <c r="D43" s="1330"/>
      <c r="E43" s="1330"/>
      <c r="F43" s="1330"/>
      <c r="G43" s="1330"/>
      <c r="H43" s="1330"/>
      <c r="I43" s="1331"/>
      <c r="J43" s="512"/>
      <c r="K43" s="366"/>
      <c r="L43" s="228"/>
      <c r="M43" s="215"/>
      <c r="N43" s="216"/>
      <c r="O43" s="217"/>
      <c r="P43" s="217"/>
      <c r="Q43" s="214"/>
      <c r="R43" s="214"/>
      <c r="S43" s="214"/>
      <c r="T43" s="214"/>
      <c r="U43" s="214"/>
      <c r="W43" s="215"/>
      <c r="X43" s="216"/>
      <c r="Y43" s="217"/>
      <c r="Z43" s="217"/>
      <c r="AA43" s="214"/>
      <c r="AB43" s="214"/>
      <c r="AC43" s="214"/>
      <c r="AD43" s="214"/>
      <c r="AE43" s="214"/>
      <c r="AG43" s="215"/>
      <c r="AH43" s="216"/>
      <c r="AI43" s="217"/>
      <c r="AJ43" s="217"/>
      <c r="AK43" s="214"/>
      <c r="AL43" s="214"/>
      <c r="AM43" s="214"/>
      <c r="AN43" s="214"/>
      <c r="AO43" s="214"/>
    </row>
    <row r="44" spans="1:41" s="4" customFormat="1" ht="20" customHeight="1">
      <c r="A44" s="1385"/>
      <c r="B44" s="1329"/>
      <c r="C44" s="1330"/>
      <c r="D44" s="1330"/>
      <c r="E44" s="1330"/>
      <c r="F44" s="1330"/>
      <c r="G44" s="1330"/>
      <c r="H44" s="1330"/>
      <c r="I44" s="1331"/>
      <c r="J44" s="512"/>
      <c r="K44" s="366"/>
      <c r="L44" s="228"/>
      <c r="M44" s="215"/>
      <c r="N44" s="216"/>
      <c r="O44" s="217"/>
      <c r="P44" s="217"/>
      <c r="Q44" s="214"/>
      <c r="R44" s="214"/>
      <c r="S44" s="214"/>
      <c r="T44" s="214"/>
      <c r="U44" s="214"/>
      <c r="W44" s="215"/>
      <c r="X44" s="216"/>
      <c r="Y44" s="217"/>
      <c r="Z44" s="217"/>
      <c r="AA44" s="214"/>
      <c r="AB44" s="214"/>
      <c r="AC44" s="214"/>
      <c r="AD44" s="214"/>
      <c r="AE44" s="214"/>
      <c r="AG44" s="215"/>
      <c r="AH44" s="216"/>
      <c r="AI44" s="217"/>
      <c r="AJ44" s="217"/>
      <c r="AK44" s="214"/>
      <c r="AL44" s="214"/>
      <c r="AM44" s="214"/>
      <c r="AN44" s="214"/>
      <c r="AO44" s="214"/>
    </row>
    <row r="45" spans="1:41" s="4" customFormat="1" ht="20" customHeight="1">
      <c r="A45" s="1385"/>
      <c r="B45" s="1329"/>
      <c r="C45" s="1330"/>
      <c r="D45" s="1330"/>
      <c r="E45" s="1330"/>
      <c r="F45" s="1330"/>
      <c r="G45" s="1330"/>
      <c r="H45" s="1330"/>
      <c r="I45" s="1331"/>
      <c r="J45" s="512"/>
      <c r="K45" s="366"/>
      <c r="L45" s="228"/>
      <c r="M45" s="215"/>
      <c r="N45" s="216"/>
      <c r="O45" s="217"/>
      <c r="P45" s="217"/>
      <c r="Q45" s="214"/>
      <c r="R45" s="214"/>
      <c r="S45" s="214"/>
      <c r="T45" s="214"/>
      <c r="U45" s="214"/>
      <c r="W45" s="215"/>
      <c r="X45" s="216"/>
      <c r="Y45" s="217"/>
      <c r="Z45" s="217"/>
      <c r="AA45" s="214"/>
      <c r="AB45" s="214"/>
      <c r="AC45" s="214"/>
      <c r="AD45" s="214"/>
      <c r="AE45" s="214"/>
      <c r="AG45" s="215"/>
      <c r="AH45" s="216"/>
      <c r="AI45" s="217"/>
      <c r="AJ45" s="217"/>
      <c r="AK45" s="214"/>
      <c r="AL45" s="214"/>
      <c r="AM45" s="214"/>
      <c r="AN45" s="214"/>
      <c r="AO45" s="214"/>
    </row>
    <row r="46" spans="1:41" s="4" customFormat="1" ht="20" customHeight="1">
      <c r="A46" s="1385"/>
      <c r="B46" s="1329"/>
      <c r="C46" s="1330"/>
      <c r="D46" s="1330"/>
      <c r="E46" s="1330"/>
      <c r="F46" s="1330"/>
      <c r="G46" s="1330"/>
      <c r="H46" s="1330"/>
      <c r="I46" s="1331"/>
      <c r="J46" s="512"/>
      <c r="K46" s="366"/>
      <c r="L46" s="228"/>
      <c r="M46" s="215"/>
      <c r="N46" s="216"/>
      <c r="O46" s="217"/>
      <c r="P46" s="217"/>
      <c r="Q46" s="214"/>
      <c r="R46" s="214"/>
      <c r="S46" s="214"/>
      <c r="T46" s="214"/>
      <c r="U46" s="214"/>
      <c r="W46" s="215"/>
      <c r="X46" s="216"/>
      <c r="Y46" s="217"/>
      <c r="Z46" s="217"/>
      <c r="AA46" s="214"/>
      <c r="AB46" s="214"/>
      <c r="AC46" s="214"/>
      <c r="AD46" s="214"/>
      <c r="AE46" s="214"/>
      <c r="AG46" s="215"/>
      <c r="AH46" s="216"/>
      <c r="AI46" s="217"/>
      <c r="AJ46" s="217"/>
      <c r="AK46" s="214"/>
      <c r="AL46" s="214"/>
      <c r="AM46" s="214"/>
      <c r="AN46" s="214"/>
      <c r="AO46" s="214"/>
    </row>
    <row r="47" spans="1:41" s="4" customFormat="1" ht="20" customHeight="1">
      <c r="A47" s="1385"/>
      <c r="B47" s="1329"/>
      <c r="C47" s="1330"/>
      <c r="D47" s="1330"/>
      <c r="E47" s="1330"/>
      <c r="F47" s="1330"/>
      <c r="G47" s="1330"/>
      <c r="H47" s="1330"/>
      <c r="I47" s="1331"/>
      <c r="J47" s="512"/>
      <c r="K47" s="366"/>
      <c r="L47" s="228"/>
      <c r="M47" s="215"/>
      <c r="N47" s="216"/>
      <c r="O47" s="217"/>
      <c r="P47" s="217"/>
      <c r="Q47" s="214"/>
      <c r="R47" s="214"/>
      <c r="S47" s="214"/>
      <c r="T47" s="214"/>
      <c r="U47" s="214"/>
      <c r="W47" s="215"/>
      <c r="X47" s="216"/>
      <c r="Y47" s="217"/>
      <c r="Z47" s="217"/>
      <c r="AA47" s="214"/>
      <c r="AB47" s="214"/>
      <c r="AC47" s="214"/>
      <c r="AD47" s="214"/>
      <c r="AE47" s="214"/>
      <c r="AG47" s="215"/>
      <c r="AH47" s="216"/>
      <c r="AI47" s="217"/>
      <c r="AJ47" s="217"/>
      <c r="AK47" s="214"/>
      <c r="AL47" s="214"/>
      <c r="AM47" s="214"/>
      <c r="AN47" s="214"/>
      <c r="AO47" s="214"/>
    </row>
    <row r="48" spans="1:41" s="4" customFormat="1" ht="20" customHeight="1">
      <c r="A48" s="1385"/>
      <c r="B48" s="1329"/>
      <c r="C48" s="1330"/>
      <c r="D48" s="1330"/>
      <c r="E48" s="1330"/>
      <c r="F48" s="1330"/>
      <c r="G48" s="1330"/>
      <c r="H48" s="1330"/>
      <c r="I48" s="1331"/>
      <c r="J48" s="512"/>
      <c r="K48" s="366"/>
      <c r="L48" s="228"/>
      <c r="M48" s="215"/>
      <c r="N48" s="216"/>
      <c r="O48" s="217"/>
      <c r="P48" s="217"/>
      <c r="Q48" s="214"/>
      <c r="R48" s="214"/>
      <c r="S48" s="214"/>
      <c r="T48" s="214"/>
      <c r="U48" s="214"/>
      <c r="W48" s="215"/>
      <c r="X48" s="216"/>
      <c r="Y48" s="217"/>
      <c r="Z48" s="217"/>
      <c r="AA48" s="214"/>
      <c r="AB48" s="214"/>
      <c r="AC48" s="214"/>
      <c r="AD48" s="214"/>
      <c r="AE48" s="214"/>
      <c r="AG48" s="215"/>
      <c r="AH48" s="216"/>
      <c r="AI48" s="217"/>
      <c r="AJ48" s="217"/>
      <c r="AK48" s="214"/>
      <c r="AL48" s="214"/>
      <c r="AM48" s="214"/>
      <c r="AN48" s="214"/>
      <c r="AO48" s="214"/>
    </row>
    <row r="49" spans="1:41" s="4" customFormat="1" ht="20" customHeight="1">
      <c r="A49" s="1385"/>
      <c r="B49" s="1329"/>
      <c r="C49" s="1330"/>
      <c r="D49" s="1330"/>
      <c r="E49" s="1330"/>
      <c r="F49" s="1330"/>
      <c r="G49" s="1330"/>
      <c r="H49" s="1330"/>
      <c r="I49" s="1331"/>
      <c r="J49" s="512"/>
      <c r="K49" s="366"/>
      <c r="L49" s="228"/>
      <c r="M49" s="215"/>
      <c r="N49" s="216"/>
      <c r="O49" s="217"/>
      <c r="P49" s="217"/>
      <c r="Q49" s="214"/>
      <c r="R49" s="214"/>
      <c r="S49" s="214"/>
      <c r="T49" s="214"/>
      <c r="U49" s="214"/>
      <c r="W49" s="215"/>
      <c r="X49" s="216"/>
      <c r="Y49" s="217"/>
      <c r="Z49" s="217"/>
      <c r="AA49" s="214"/>
      <c r="AB49" s="214"/>
      <c r="AC49" s="214"/>
      <c r="AD49" s="214"/>
      <c r="AE49" s="214"/>
      <c r="AG49" s="215"/>
      <c r="AH49" s="216"/>
      <c r="AI49" s="217"/>
      <c r="AJ49" s="217"/>
      <c r="AK49" s="214"/>
      <c r="AL49" s="214"/>
      <c r="AM49" s="214"/>
      <c r="AN49" s="214"/>
      <c r="AO49" s="214"/>
    </row>
    <row r="50" spans="1:41" s="4" customFormat="1" ht="20" customHeight="1" thickBot="1">
      <c r="A50" s="1385"/>
      <c r="B50" s="1329"/>
      <c r="C50" s="1330"/>
      <c r="D50" s="1330"/>
      <c r="E50" s="1330"/>
      <c r="F50" s="1330"/>
      <c r="G50" s="1330"/>
      <c r="H50" s="1330"/>
      <c r="I50" s="1331"/>
      <c r="J50" s="512"/>
      <c r="K50" s="367"/>
      <c r="L50" s="228"/>
      <c r="M50" s="215"/>
      <c r="N50" s="216"/>
      <c r="O50" s="217"/>
      <c r="P50" s="217"/>
      <c r="Q50" s="214"/>
      <c r="R50" s="214"/>
      <c r="S50" s="214"/>
      <c r="T50" s="214"/>
      <c r="U50" s="214"/>
      <c r="W50" s="215"/>
      <c r="X50" s="216"/>
      <c r="Y50" s="217"/>
      <c r="Z50" s="217"/>
      <c r="AA50" s="214"/>
      <c r="AB50" s="214"/>
      <c r="AC50" s="214"/>
      <c r="AD50" s="214"/>
      <c r="AE50" s="214"/>
      <c r="AG50" s="215"/>
      <c r="AH50" s="216"/>
      <c r="AI50" s="217"/>
      <c r="AJ50" s="217"/>
      <c r="AK50" s="214"/>
      <c r="AL50" s="214"/>
      <c r="AM50" s="214"/>
      <c r="AN50" s="214"/>
      <c r="AO50" s="214"/>
    </row>
    <row r="51" spans="1:41" s="264" customFormat="1" ht="30" customHeight="1" thickBot="1">
      <c r="A51" s="1385"/>
      <c r="B51" s="1378" t="s">
        <v>241</v>
      </c>
      <c r="C51" s="1379"/>
      <c r="D51" s="1379"/>
      <c r="E51" s="1379"/>
      <c r="F51" s="1379"/>
      <c r="G51" s="1379"/>
      <c r="H51" s="1379"/>
      <c r="I51" s="1379"/>
      <c r="J51" s="1380"/>
      <c r="K51" s="411">
        <f>SUM(K28:K50)</f>
        <v>0</v>
      </c>
      <c r="L51" s="259"/>
      <c r="M51" s="260"/>
      <c r="N51" s="261"/>
      <c r="O51" s="262"/>
      <c r="P51" s="262"/>
      <c r="Q51" s="263"/>
      <c r="R51" s="263"/>
      <c r="S51" s="263"/>
      <c r="T51" s="263"/>
      <c r="U51" s="263"/>
      <c r="W51" s="260"/>
      <c r="X51" s="261"/>
      <c r="Y51" s="262"/>
      <c r="Z51" s="262"/>
      <c r="AA51" s="263"/>
      <c r="AB51" s="263"/>
      <c r="AC51" s="263"/>
      <c r="AD51" s="263"/>
      <c r="AE51" s="263"/>
      <c r="AG51" s="260"/>
      <c r="AH51" s="261"/>
      <c r="AI51" s="262"/>
      <c r="AJ51" s="262"/>
      <c r="AK51" s="263"/>
      <c r="AL51" s="263"/>
      <c r="AM51" s="263"/>
      <c r="AN51" s="263"/>
      <c r="AO51" s="263"/>
    </row>
    <row r="52" spans="1:41" s="4" customFormat="1" ht="47" customHeight="1" thickBot="1">
      <c r="A52" s="1385"/>
      <c r="B52" s="1372" t="s">
        <v>537</v>
      </c>
      <c r="C52" s="1373"/>
      <c r="D52" s="1373"/>
      <c r="E52" s="1373"/>
      <c r="F52" s="1373"/>
      <c r="G52" s="1373"/>
      <c r="H52" s="1373"/>
      <c r="I52" s="1374" t="s">
        <v>491</v>
      </c>
      <c r="J52" s="1375"/>
      <c r="K52" s="363">
        <f>K25-K51</f>
        <v>1679.8</v>
      </c>
      <c r="L52" s="228"/>
      <c r="M52" s="215"/>
      <c r="N52" s="216"/>
      <c r="O52" s="217"/>
      <c r="P52" s="217"/>
      <c r="Q52" s="214"/>
      <c r="R52" s="214"/>
      <c r="S52" s="214"/>
      <c r="T52" s="214"/>
      <c r="U52" s="214"/>
      <c r="W52" s="215"/>
      <c r="X52" s="216"/>
      <c r="Y52" s="217"/>
      <c r="Z52" s="217"/>
      <c r="AA52" s="214"/>
      <c r="AB52" s="214"/>
      <c r="AC52" s="214"/>
      <c r="AD52" s="214"/>
      <c r="AE52" s="214"/>
      <c r="AG52" s="215"/>
      <c r="AH52" s="216"/>
      <c r="AI52" s="217"/>
      <c r="AJ52" s="217"/>
      <c r="AK52" s="214"/>
      <c r="AL52" s="214"/>
      <c r="AM52" s="214"/>
      <c r="AN52" s="214"/>
      <c r="AO52" s="214"/>
    </row>
    <row r="53" spans="1:41" s="4" customFormat="1" ht="137" customHeight="1" thickBot="1">
      <c r="A53" s="1385"/>
      <c r="B53" s="1387" t="s">
        <v>706</v>
      </c>
      <c r="C53" s="1388"/>
      <c r="D53" s="1388"/>
      <c r="E53" s="1388"/>
      <c r="F53" s="1388"/>
      <c r="G53" s="1388"/>
      <c r="H53" s="1388"/>
      <c r="I53" s="1388"/>
      <c r="J53" s="1388"/>
      <c r="K53" s="1389"/>
      <c r="L53" s="228"/>
      <c r="M53" s="215"/>
      <c r="N53" s="216"/>
      <c r="O53" s="217"/>
      <c r="P53" s="217"/>
      <c r="Q53" s="214"/>
      <c r="R53" s="214"/>
      <c r="S53" s="214"/>
      <c r="T53" s="214"/>
      <c r="U53" s="214"/>
      <c r="W53" s="215"/>
      <c r="X53" s="216"/>
      <c r="Y53" s="217"/>
      <c r="Z53" s="217"/>
      <c r="AA53" s="214"/>
      <c r="AB53" s="214"/>
      <c r="AC53" s="214"/>
      <c r="AD53" s="214"/>
      <c r="AE53" s="214"/>
      <c r="AG53" s="215"/>
      <c r="AH53" s="216"/>
      <c r="AI53" s="217"/>
      <c r="AJ53" s="217"/>
      <c r="AK53" s="214"/>
      <c r="AL53" s="214"/>
      <c r="AM53" s="214"/>
      <c r="AN53" s="214"/>
      <c r="AO53" s="214"/>
    </row>
    <row r="54" spans="1:41" s="4" customFormat="1" ht="20" customHeight="1">
      <c r="A54" s="1385"/>
      <c r="B54" s="1369"/>
      <c r="C54" s="1370"/>
      <c r="D54" s="1370"/>
      <c r="E54" s="1370"/>
      <c r="F54" s="1370"/>
      <c r="G54" s="1370"/>
      <c r="H54" s="1370"/>
      <c r="I54" s="1370"/>
      <c r="J54" s="1370"/>
      <c r="K54" s="1371"/>
      <c r="L54" s="228"/>
      <c r="M54" s="215"/>
      <c r="N54" s="216"/>
      <c r="O54" s="217"/>
      <c r="P54" s="217"/>
      <c r="Q54" s="214"/>
      <c r="R54" s="214"/>
      <c r="S54" s="214"/>
      <c r="T54" s="214"/>
      <c r="U54" s="214"/>
      <c r="W54" s="215"/>
      <c r="X54" s="216"/>
      <c r="Y54" s="217"/>
      <c r="Z54" s="217"/>
      <c r="AA54" s="214"/>
      <c r="AB54" s="214"/>
      <c r="AC54" s="214"/>
      <c r="AD54" s="214"/>
      <c r="AE54" s="214"/>
      <c r="AG54" s="215"/>
      <c r="AH54" s="216"/>
      <c r="AI54" s="217"/>
      <c r="AJ54" s="217"/>
      <c r="AK54" s="214"/>
      <c r="AL54" s="214"/>
      <c r="AM54" s="214"/>
      <c r="AN54" s="214"/>
      <c r="AO54" s="214"/>
    </row>
    <row r="55" spans="1:41" s="4" customFormat="1" ht="20" customHeight="1">
      <c r="A55" s="1385"/>
      <c r="B55" s="1335"/>
      <c r="C55" s="1336"/>
      <c r="D55" s="1336"/>
      <c r="E55" s="1336"/>
      <c r="F55" s="1336"/>
      <c r="G55" s="1336"/>
      <c r="H55" s="1336"/>
      <c r="I55" s="1336"/>
      <c r="J55" s="1336"/>
      <c r="K55" s="1337"/>
      <c r="L55" s="228"/>
      <c r="M55" s="215"/>
      <c r="N55" s="216"/>
      <c r="O55" s="217"/>
      <c r="P55" s="217"/>
      <c r="Q55" s="214"/>
      <c r="R55" s="214"/>
      <c r="S55" s="214"/>
      <c r="T55" s="214"/>
      <c r="U55" s="214"/>
      <c r="W55" s="215"/>
      <c r="X55" s="216"/>
      <c r="Y55" s="217"/>
      <c r="Z55" s="217"/>
      <c r="AA55" s="214"/>
      <c r="AB55" s="214"/>
      <c r="AC55" s="214"/>
      <c r="AD55" s="214"/>
      <c r="AE55" s="214"/>
      <c r="AG55" s="215"/>
      <c r="AH55" s="216"/>
      <c r="AI55" s="217"/>
      <c r="AJ55" s="217"/>
      <c r="AK55" s="214"/>
      <c r="AL55" s="214"/>
      <c r="AM55" s="214"/>
      <c r="AN55" s="214"/>
      <c r="AO55" s="214"/>
    </row>
    <row r="56" spans="1:41" s="4" customFormat="1" ht="20" customHeight="1">
      <c r="A56" s="1385"/>
      <c r="B56" s="1335"/>
      <c r="C56" s="1336"/>
      <c r="D56" s="1336"/>
      <c r="E56" s="1336"/>
      <c r="F56" s="1336"/>
      <c r="G56" s="1336"/>
      <c r="H56" s="1336"/>
      <c r="I56" s="1336"/>
      <c r="J56" s="1336"/>
      <c r="K56" s="1337"/>
      <c r="L56" s="228"/>
      <c r="M56" s="215"/>
      <c r="N56" s="216"/>
      <c r="O56" s="217"/>
      <c r="P56" s="217"/>
      <c r="Q56" s="214"/>
      <c r="R56" s="214"/>
      <c r="S56" s="214"/>
      <c r="T56" s="214"/>
      <c r="U56" s="214"/>
      <c r="W56" s="215"/>
      <c r="X56" s="216"/>
      <c r="Y56" s="217"/>
      <c r="Z56" s="217"/>
      <c r="AA56" s="214"/>
      <c r="AB56" s="214"/>
      <c r="AC56" s="214"/>
      <c r="AD56" s="214"/>
      <c r="AE56" s="214"/>
      <c r="AG56" s="215"/>
      <c r="AH56" s="216"/>
      <c r="AI56" s="217"/>
      <c r="AJ56" s="217"/>
      <c r="AK56" s="214"/>
      <c r="AL56" s="214"/>
      <c r="AM56" s="214"/>
      <c r="AN56" s="214"/>
      <c r="AO56" s="214"/>
    </row>
    <row r="57" spans="1:41" s="4" customFormat="1" ht="20" customHeight="1">
      <c r="A57" s="1385"/>
      <c r="B57" s="1335"/>
      <c r="C57" s="1336"/>
      <c r="D57" s="1336"/>
      <c r="E57" s="1336"/>
      <c r="F57" s="1336"/>
      <c r="G57" s="1336"/>
      <c r="H57" s="1336"/>
      <c r="I57" s="1336"/>
      <c r="J57" s="1336"/>
      <c r="K57" s="1337"/>
      <c r="L57" s="228"/>
      <c r="M57" s="215"/>
      <c r="N57" s="216"/>
      <c r="O57" s="217"/>
      <c r="P57" s="217"/>
      <c r="Q57" s="214"/>
      <c r="R57" s="214"/>
      <c r="S57" s="214"/>
      <c r="T57" s="214"/>
      <c r="U57" s="214"/>
      <c r="W57" s="215"/>
      <c r="X57" s="216"/>
      <c r="Y57" s="217"/>
      <c r="Z57" s="217"/>
      <c r="AA57" s="214"/>
      <c r="AB57" s="214"/>
      <c r="AC57" s="214"/>
      <c r="AD57" s="214"/>
      <c r="AE57" s="214"/>
      <c r="AG57" s="215"/>
      <c r="AH57" s="216"/>
      <c r="AI57" s="217"/>
      <c r="AJ57" s="217"/>
      <c r="AK57" s="214"/>
      <c r="AL57" s="214"/>
      <c r="AM57" s="214"/>
      <c r="AN57" s="214"/>
      <c r="AO57" s="214"/>
    </row>
    <row r="58" spans="1:41" s="4" customFormat="1" ht="20" customHeight="1">
      <c r="A58" s="1385"/>
      <c r="B58" s="1335"/>
      <c r="C58" s="1336"/>
      <c r="D58" s="1336"/>
      <c r="E58" s="1336"/>
      <c r="F58" s="1336"/>
      <c r="G58" s="1336"/>
      <c r="H58" s="1336"/>
      <c r="I58" s="1336"/>
      <c r="J58" s="1336"/>
      <c r="K58" s="1337"/>
      <c r="L58" s="228"/>
      <c r="M58" s="215"/>
      <c r="N58" s="216"/>
      <c r="O58" s="217"/>
      <c r="P58" s="217"/>
      <c r="Q58" s="214"/>
      <c r="R58" s="214"/>
      <c r="S58" s="214"/>
      <c r="T58" s="214"/>
      <c r="U58" s="214"/>
      <c r="W58" s="215"/>
      <c r="X58" s="216"/>
      <c r="Y58" s="217"/>
      <c r="Z58" s="217"/>
      <c r="AA58" s="214"/>
      <c r="AB58" s="214"/>
      <c r="AC58" s="214"/>
      <c r="AD58" s="214"/>
      <c r="AE58" s="214"/>
      <c r="AG58" s="215"/>
      <c r="AH58" s="216"/>
      <c r="AI58" s="217"/>
      <c r="AJ58" s="217"/>
      <c r="AK58" s="214"/>
      <c r="AL58" s="214"/>
      <c r="AM58" s="214"/>
      <c r="AN58" s="214"/>
      <c r="AO58" s="214"/>
    </row>
    <row r="59" spans="1:41" s="4" customFormat="1" ht="20" customHeight="1">
      <c r="A59" s="1385"/>
      <c r="B59" s="1335"/>
      <c r="C59" s="1336"/>
      <c r="D59" s="1336"/>
      <c r="E59" s="1336"/>
      <c r="F59" s="1336"/>
      <c r="G59" s="1336"/>
      <c r="H59" s="1336"/>
      <c r="I59" s="1336"/>
      <c r="J59" s="1336"/>
      <c r="K59" s="1337"/>
      <c r="L59" s="228"/>
      <c r="M59" s="215"/>
      <c r="N59" s="216"/>
      <c r="O59" s="217"/>
      <c r="P59" s="217"/>
      <c r="Q59" s="214"/>
      <c r="R59" s="214"/>
      <c r="S59" s="214"/>
      <c r="T59" s="214"/>
      <c r="U59" s="214"/>
      <c r="W59" s="215"/>
      <c r="X59" s="216"/>
      <c r="Y59" s="217"/>
      <c r="Z59" s="217"/>
      <c r="AA59" s="214"/>
      <c r="AB59" s="214"/>
      <c r="AC59" s="214"/>
      <c r="AD59" s="214"/>
      <c r="AE59" s="214"/>
      <c r="AG59" s="215"/>
      <c r="AH59" s="216"/>
      <c r="AI59" s="217"/>
      <c r="AJ59" s="217"/>
      <c r="AK59" s="214"/>
      <c r="AL59" s="214"/>
      <c r="AM59" s="214"/>
      <c r="AN59" s="214"/>
      <c r="AO59" s="214"/>
    </row>
    <row r="60" spans="1:41" s="4" customFormat="1" ht="20" customHeight="1">
      <c r="A60" s="1385"/>
      <c r="B60" s="1335"/>
      <c r="C60" s="1336"/>
      <c r="D60" s="1336"/>
      <c r="E60" s="1336"/>
      <c r="F60" s="1336"/>
      <c r="G60" s="1336"/>
      <c r="H60" s="1336"/>
      <c r="I60" s="1336"/>
      <c r="J60" s="1336"/>
      <c r="K60" s="1337"/>
      <c r="L60" s="228"/>
      <c r="M60" s="215"/>
      <c r="N60" s="216"/>
      <c r="O60" s="217"/>
      <c r="P60" s="217"/>
      <c r="Q60" s="214"/>
      <c r="R60" s="214"/>
      <c r="S60" s="214"/>
      <c r="T60" s="214"/>
      <c r="U60" s="214"/>
      <c r="W60" s="215"/>
      <c r="X60" s="216"/>
      <c r="Y60" s="217"/>
      <c r="Z60" s="217"/>
      <c r="AA60" s="214"/>
      <c r="AB60" s="214"/>
      <c r="AC60" s="214"/>
      <c r="AD60" s="214"/>
      <c r="AE60" s="214"/>
      <c r="AG60" s="215"/>
      <c r="AH60" s="216"/>
      <c r="AI60" s="217"/>
      <c r="AJ60" s="217"/>
      <c r="AK60" s="214"/>
      <c r="AL60" s="214"/>
      <c r="AM60" s="214"/>
      <c r="AN60" s="214"/>
      <c r="AO60" s="214"/>
    </row>
    <row r="61" spans="1:41" s="4" customFormat="1" ht="20" customHeight="1">
      <c r="A61" s="1385"/>
      <c r="B61" s="1335"/>
      <c r="C61" s="1336"/>
      <c r="D61" s="1336"/>
      <c r="E61" s="1336"/>
      <c r="F61" s="1336"/>
      <c r="G61" s="1336"/>
      <c r="H61" s="1336"/>
      <c r="I61" s="1336"/>
      <c r="J61" s="1336"/>
      <c r="K61" s="1337"/>
      <c r="L61" s="228"/>
      <c r="M61" s="215"/>
      <c r="N61" s="216"/>
      <c r="O61" s="217"/>
      <c r="P61" s="217"/>
      <c r="Q61" s="214"/>
      <c r="R61" s="214"/>
      <c r="S61" s="214"/>
      <c r="T61" s="214"/>
      <c r="U61" s="214"/>
      <c r="W61" s="215"/>
      <c r="X61" s="216"/>
      <c r="Y61" s="217"/>
      <c r="Z61" s="217"/>
      <c r="AA61" s="214"/>
      <c r="AB61" s="214"/>
      <c r="AC61" s="214"/>
      <c r="AD61" s="214"/>
      <c r="AE61" s="214"/>
      <c r="AG61" s="215"/>
      <c r="AH61" s="216"/>
      <c r="AI61" s="217"/>
      <c r="AJ61" s="217"/>
      <c r="AK61" s="214"/>
      <c r="AL61" s="214"/>
      <c r="AM61" s="214"/>
      <c r="AN61" s="214"/>
      <c r="AO61" s="214"/>
    </row>
    <row r="62" spans="1:41" s="4" customFormat="1" ht="20" customHeight="1">
      <c r="A62" s="1385"/>
      <c r="B62" s="1335"/>
      <c r="C62" s="1336"/>
      <c r="D62" s="1336"/>
      <c r="E62" s="1336"/>
      <c r="F62" s="1336"/>
      <c r="G62" s="1336"/>
      <c r="H62" s="1336"/>
      <c r="I62" s="1336"/>
      <c r="J62" s="1336"/>
      <c r="K62" s="1337"/>
      <c r="L62" s="228"/>
      <c r="M62" s="215"/>
      <c r="N62" s="216"/>
      <c r="O62" s="217"/>
      <c r="P62" s="217"/>
      <c r="Q62" s="214"/>
      <c r="R62" s="214"/>
      <c r="S62" s="214"/>
      <c r="T62" s="214"/>
      <c r="U62" s="214"/>
      <c r="W62" s="215"/>
      <c r="X62" s="216"/>
      <c r="Y62" s="217"/>
      <c r="Z62" s="217"/>
      <c r="AA62" s="214"/>
      <c r="AB62" s="214"/>
      <c r="AC62" s="214"/>
      <c r="AD62" s="214"/>
      <c r="AE62" s="214"/>
      <c r="AG62" s="215"/>
      <c r="AH62" s="216"/>
      <c r="AI62" s="217"/>
      <c r="AJ62" s="217"/>
      <c r="AK62" s="214"/>
      <c r="AL62" s="214"/>
      <c r="AM62" s="214"/>
      <c r="AN62" s="214"/>
      <c r="AO62" s="214"/>
    </row>
    <row r="63" spans="1:41" s="4" customFormat="1" ht="20" customHeight="1">
      <c r="A63" s="1385"/>
      <c r="B63" s="1335"/>
      <c r="C63" s="1336"/>
      <c r="D63" s="1336"/>
      <c r="E63" s="1336"/>
      <c r="F63" s="1336"/>
      <c r="G63" s="1336"/>
      <c r="H63" s="1336"/>
      <c r="I63" s="1336"/>
      <c r="J63" s="1336"/>
      <c r="K63" s="1337"/>
      <c r="L63" s="228"/>
      <c r="M63" s="215"/>
      <c r="N63" s="216"/>
      <c r="O63" s="217"/>
      <c r="P63" s="217"/>
      <c r="Q63" s="214"/>
      <c r="R63" s="214"/>
      <c r="S63" s="214"/>
      <c r="T63" s="214"/>
      <c r="U63" s="214"/>
      <c r="W63" s="215"/>
      <c r="X63" s="216"/>
      <c r="Y63" s="217"/>
      <c r="Z63" s="217"/>
      <c r="AA63" s="214"/>
      <c r="AB63" s="214"/>
      <c r="AC63" s="214"/>
      <c r="AD63" s="214"/>
      <c r="AE63" s="214"/>
      <c r="AG63" s="215"/>
      <c r="AH63" s="216"/>
      <c r="AI63" s="217"/>
      <c r="AJ63" s="217"/>
      <c r="AK63" s="214"/>
      <c r="AL63" s="214"/>
      <c r="AM63" s="214"/>
      <c r="AN63" s="214"/>
      <c r="AO63" s="214"/>
    </row>
    <row r="64" spans="1:41" s="4" customFormat="1" ht="20" customHeight="1">
      <c r="A64" s="1385"/>
      <c r="B64" s="1335"/>
      <c r="C64" s="1336"/>
      <c r="D64" s="1336"/>
      <c r="E64" s="1336"/>
      <c r="F64" s="1336"/>
      <c r="G64" s="1336"/>
      <c r="H64" s="1336"/>
      <c r="I64" s="1336"/>
      <c r="J64" s="1336"/>
      <c r="K64" s="1337"/>
      <c r="L64" s="228"/>
      <c r="M64" s="215"/>
      <c r="N64" s="216"/>
      <c r="O64" s="217"/>
      <c r="P64" s="217"/>
      <c r="Q64" s="214"/>
      <c r="R64" s="214"/>
      <c r="S64" s="214"/>
      <c r="T64" s="214"/>
      <c r="U64" s="214"/>
      <c r="W64" s="215"/>
      <c r="X64" s="216"/>
      <c r="Y64" s="217"/>
      <c r="Z64" s="217"/>
      <c r="AA64" s="214"/>
      <c r="AB64" s="214"/>
      <c r="AC64" s="214"/>
      <c r="AD64" s="214"/>
      <c r="AE64" s="214"/>
      <c r="AG64" s="215"/>
      <c r="AH64" s="216"/>
      <c r="AI64" s="217"/>
      <c r="AJ64" s="217"/>
      <c r="AK64" s="214"/>
      <c r="AL64" s="214"/>
      <c r="AM64" s="214"/>
      <c r="AN64" s="214"/>
      <c r="AO64" s="214"/>
    </row>
    <row r="65" spans="1:41" s="4" customFormat="1" ht="20" customHeight="1">
      <c r="A65" s="1385"/>
      <c r="B65" s="1335"/>
      <c r="C65" s="1336"/>
      <c r="D65" s="1336"/>
      <c r="E65" s="1336"/>
      <c r="F65" s="1336"/>
      <c r="G65" s="1336"/>
      <c r="H65" s="1336"/>
      <c r="I65" s="1336"/>
      <c r="J65" s="1336"/>
      <c r="K65" s="1337"/>
      <c r="L65" s="228"/>
      <c r="M65" s="215"/>
      <c r="N65" s="216"/>
      <c r="O65" s="217"/>
      <c r="P65" s="217"/>
      <c r="Q65" s="214"/>
      <c r="R65" s="214"/>
      <c r="S65" s="214"/>
      <c r="T65" s="214"/>
      <c r="U65" s="214"/>
      <c r="W65" s="215"/>
      <c r="X65" s="216"/>
      <c r="Y65" s="217"/>
      <c r="Z65" s="217"/>
      <c r="AA65" s="214"/>
      <c r="AB65" s="214"/>
      <c r="AC65" s="214"/>
      <c r="AD65" s="214"/>
      <c r="AE65" s="214"/>
      <c r="AG65" s="215"/>
      <c r="AH65" s="216"/>
      <c r="AI65" s="217"/>
      <c r="AJ65" s="217"/>
      <c r="AK65" s="214"/>
      <c r="AL65" s="214"/>
      <c r="AM65" s="214"/>
      <c r="AN65" s="214"/>
      <c r="AO65" s="214"/>
    </row>
    <row r="66" spans="1:41" s="4" customFormat="1" ht="20" customHeight="1">
      <c r="A66" s="1385"/>
      <c r="B66" s="1335"/>
      <c r="C66" s="1336"/>
      <c r="D66" s="1336"/>
      <c r="E66" s="1336"/>
      <c r="F66" s="1336"/>
      <c r="G66" s="1336"/>
      <c r="H66" s="1336"/>
      <c r="I66" s="1336"/>
      <c r="J66" s="1336"/>
      <c r="K66" s="1337"/>
      <c r="L66" s="228"/>
      <c r="M66" s="215"/>
      <c r="N66" s="216"/>
      <c r="O66" s="217"/>
      <c r="P66" s="217"/>
      <c r="Q66" s="214"/>
      <c r="R66" s="214"/>
      <c r="S66" s="214"/>
      <c r="T66" s="214"/>
      <c r="U66" s="214"/>
      <c r="W66" s="215"/>
      <c r="X66" s="216"/>
      <c r="Y66" s="217"/>
      <c r="Z66" s="217"/>
      <c r="AA66" s="214"/>
      <c r="AB66" s="214"/>
      <c r="AC66" s="214"/>
      <c r="AD66" s="214"/>
      <c r="AE66" s="214"/>
      <c r="AG66" s="215"/>
      <c r="AH66" s="216"/>
      <c r="AI66" s="217"/>
      <c r="AJ66" s="217"/>
      <c r="AK66" s="214"/>
      <c r="AL66" s="214"/>
      <c r="AM66" s="214"/>
      <c r="AN66" s="214"/>
      <c r="AO66" s="214"/>
    </row>
    <row r="67" spans="1:41" s="4" customFormat="1" ht="20" customHeight="1">
      <c r="A67" s="1385"/>
      <c r="B67" s="1335"/>
      <c r="C67" s="1336"/>
      <c r="D67" s="1336"/>
      <c r="E67" s="1336"/>
      <c r="F67" s="1336"/>
      <c r="G67" s="1336"/>
      <c r="H67" s="1336"/>
      <c r="I67" s="1336"/>
      <c r="J67" s="1336"/>
      <c r="K67" s="1337"/>
      <c r="L67" s="228"/>
      <c r="M67" s="215"/>
      <c r="N67" s="216"/>
      <c r="O67" s="217"/>
      <c r="P67" s="217"/>
      <c r="Q67" s="214"/>
      <c r="R67" s="214"/>
      <c r="S67" s="214"/>
      <c r="T67" s="214"/>
      <c r="U67" s="214"/>
      <c r="W67" s="215"/>
      <c r="X67" s="216"/>
      <c r="Y67" s="217"/>
      <c r="Z67" s="217"/>
      <c r="AA67" s="214"/>
      <c r="AB67" s="214"/>
      <c r="AC67" s="214"/>
      <c r="AD67" s="214"/>
      <c r="AE67" s="214"/>
      <c r="AG67" s="215"/>
      <c r="AH67" s="216"/>
      <c r="AI67" s="217"/>
      <c r="AJ67" s="217"/>
      <c r="AK67" s="214"/>
      <c r="AL67" s="214"/>
      <c r="AM67" s="214"/>
      <c r="AN67" s="214"/>
      <c r="AO67" s="214"/>
    </row>
    <row r="68" spans="1:41" s="4" customFormat="1" ht="20" customHeight="1">
      <c r="A68" s="1385"/>
      <c r="B68" s="1335"/>
      <c r="C68" s="1336"/>
      <c r="D68" s="1336"/>
      <c r="E68" s="1336"/>
      <c r="F68" s="1336"/>
      <c r="G68" s="1336"/>
      <c r="H68" s="1336"/>
      <c r="I68" s="1336"/>
      <c r="J68" s="1336"/>
      <c r="K68" s="1337"/>
      <c r="L68" s="228"/>
      <c r="M68" s="215"/>
      <c r="N68" s="216"/>
      <c r="O68" s="217"/>
      <c r="P68" s="217"/>
      <c r="Q68" s="214"/>
      <c r="R68" s="214"/>
      <c r="S68" s="214"/>
      <c r="T68" s="214"/>
      <c r="U68" s="214"/>
      <c r="W68" s="215"/>
      <c r="X68" s="216"/>
      <c r="Y68" s="217"/>
      <c r="Z68" s="217"/>
      <c r="AA68" s="214"/>
      <c r="AB68" s="214"/>
      <c r="AC68" s="214"/>
      <c r="AD68" s="214"/>
      <c r="AE68" s="214"/>
      <c r="AG68" s="215"/>
      <c r="AH68" s="216"/>
      <c r="AI68" s="217"/>
      <c r="AJ68" s="217"/>
      <c r="AK68" s="214"/>
      <c r="AL68" s="214"/>
      <c r="AM68" s="214"/>
      <c r="AN68" s="214"/>
      <c r="AO68" s="214"/>
    </row>
    <row r="69" spans="1:41" s="4" customFormat="1" ht="20" customHeight="1" thickBot="1">
      <c r="A69" s="1385"/>
      <c r="B69" s="1335"/>
      <c r="C69" s="1336"/>
      <c r="D69" s="1336"/>
      <c r="E69" s="1336"/>
      <c r="F69" s="1336"/>
      <c r="G69" s="1336"/>
      <c r="H69" s="1336"/>
      <c r="I69" s="1336"/>
      <c r="J69" s="1336"/>
      <c r="K69" s="1337"/>
      <c r="L69" s="228"/>
      <c r="M69" s="215"/>
      <c r="N69" s="216"/>
      <c r="O69" s="217"/>
      <c r="P69" s="217"/>
      <c r="Q69" s="214"/>
      <c r="R69" s="214"/>
      <c r="S69" s="214"/>
      <c r="T69" s="214"/>
      <c r="U69" s="214"/>
      <c r="W69" s="215"/>
      <c r="X69" s="216"/>
      <c r="Y69" s="217"/>
      <c r="Z69" s="217"/>
      <c r="AA69" s="214"/>
      <c r="AB69" s="214"/>
      <c r="AC69" s="214"/>
      <c r="AD69" s="214"/>
      <c r="AE69" s="214"/>
      <c r="AG69" s="215"/>
      <c r="AH69" s="216"/>
      <c r="AI69" s="217"/>
      <c r="AJ69" s="217"/>
      <c r="AK69" s="214"/>
      <c r="AL69" s="214"/>
      <c r="AM69" s="214"/>
      <c r="AN69" s="214"/>
      <c r="AO69" s="214"/>
    </row>
    <row r="70" spans="1:41" s="4" customFormat="1" ht="31" customHeight="1" thickBot="1">
      <c r="A70" s="1385"/>
      <c r="B70" s="1367" t="s">
        <v>460</v>
      </c>
      <c r="C70" s="1368"/>
      <c r="D70" s="1368"/>
      <c r="E70" s="1368"/>
      <c r="F70" s="1368"/>
      <c r="G70" s="1368"/>
      <c r="H70" s="1368"/>
      <c r="I70" s="1368"/>
      <c r="J70" s="1368"/>
      <c r="K70" s="410">
        <f>J20</f>
        <v>0</v>
      </c>
      <c r="L70" s="228"/>
      <c r="M70" s="215"/>
      <c r="N70" s="216"/>
      <c r="O70" s="217"/>
      <c r="P70" s="217"/>
      <c r="Q70" s="214"/>
      <c r="R70" s="214"/>
      <c r="S70" s="214"/>
      <c r="T70" s="214"/>
      <c r="U70" s="214"/>
      <c r="W70" s="215"/>
      <c r="X70" s="216"/>
      <c r="Y70" s="217"/>
      <c r="Z70" s="217"/>
      <c r="AA70" s="214"/>
      <c r="AB70" s="214"/>
      <c r="AC70" s="214"/>
      <c r="AD70" s="214"/>
      <c r="AE70" s="214"/>
      <c r="AG70" s="215"/>
      <c r="AH70" s="216"/>
      <c r="AI70" s="217"/>
      <c r="AJ70" s="217"/>
      <c r="AK70" s="214"/>
      <c r="AL70" s="214"/>
      <c r="AM70" s="214"/>
      <c r="AN70" s="214"/>
      <c r="AO70" s="214"/>
    </row>
    <row r="71" spans="1:41" s="4" customFormat="1" ht="40" customHeight="1">
      <c r="A71" s="1385"/>
      <c r="B71" s="1365" t="s">
        <v>296</v>
      </c>
      <c r="C71" s="1366"/>
      <c r="D71" s="1366"/>
      <c r="E71" s="1366"/>
      <c r="F71" s="1366"/>
      <c r="G71" s="1366"/>
      <c r="H71" s="1366"/>
      <c r="I71" s="1366" t="s">
        <v>344</v>
      </c>
      <c r="J71" s="1366"/>
      <c r="K71" s="364" t="s">
        <v>235</v>
      </c>
      <c r="L71" s="228"/>
      <c r="M71" s="215"/>
      <c r="N71" s="216"/>
      <c r="O71" s="215"/>
      <c r="P71" s="216"/>
      <c r="Q71" s="215"/>
      <c r="R71" s="216"/>
      <c r="S71" s="215"/>
      <c r="T71" s="216"/>
      <c r="U71" s="215"/>
      <c r="V71" s="216"/>
      <c r="W71" s="215"/>
      <c r="X71" s="216"/>
      <c r="Y71" s="215"/>
      <c r="Z71" s="216"/>
      <c r="AA71" s="215"/>
      <c r="AB71" s="214"/>
      <c r="AC71" s="214"/>
      <c r="AD71" s="214"/>
      <c r="AE71" s="214"/>
      <c r="AG71" s="215"/>
      <c r="AH71" s="216"/>
      <c r="AI71" s="217"/>
      <c r="AJ71" s="217"/>
      <c r="AK71" s="214"/>
      <c r="AL71" s="214"/>
      <c r="AM71" s="214"/>
      <c r="AN71" s="214"/>
      <c r="AO71" s="214"/>
    </row>
    <row r="72" spans="1:41" s="4" customFormat="1" ht="20" customHeight="1">
      <c r="A72" s="1385"/>
      <c r="B72" s="1361">
        <f>Skemaoplysninger!A46</f>
        <v>0</v>
      </c>
      <c r="C72" s="1362"/>
      <c r="D72" s="1362"/>
      <c r="E72" s="1362"/>
      <c r="F72" s="1362"/>
      <c r="G72" s="1362"/>
      <c r="H72" s="1363"/>
      <c r="I72" s="1364">
        <f>Skemaoplysninger!G46</f>
        <v>0</v>
      </c>
      <c r="J72" s="1363"/>
      <c r="K72" s="408">
        <f>Skemaoplysninger!I46</f>
        <v>0</v>
      </c>
      <c r="L72" s="228"/>
      <c r="M72" s="215"/>
      <c r="N72" s="215"/>
      <c r="O72" s="215"/>
      <c r="P72" s="215"/>
      <c r="Q72" s="215"/>
      <c r="R72" s="215"/>
      <c r="S72" s="215"/>
      <c r="T72" s="215"/>
      <c r="U72" s="215"/>
      <c r="V72" s="215"/>
      <c r="W72" s="215"/>
      <c r="X72" s="215"/>
      <c r="Y72" s="215"/>
      <c r="Z72" s="215"/>
      <c r="AA72" s="215"/>
      <c r="AB72" s="214"/>
      <c r="AC72" s="214"/>
      <c r="AD72" s="214"/>
      <c r="AE72" s="214"/>
      <c r="AG72" s="215"/>
      <c r="AH72" s="216"/>
      <c r="AI72" s="217"/>
      <c r="AJ72" s="217"/>
      <c r="AK72" s="214"/>
      <c r="AL72" s="214"/>
      <c r="AM72" s="214"/>
      <c r="AN72" s="214"/>
      <c r="AO72" s="214"/>
    </row>
    <row r="73" spans="1:41" s="4" customFormat="1" ht="20" customHeight="1">
      <c r="A73" s="1385"/>
      <c r="B73" s="1361">
        <f>Skemaoplysninger!A47</f>
        <v>0</v>
      </c>
      <c r="C73" s="1362"/>
      <c r="D73" s="1362"/>
      <c r="E73" s="1362"/>
      <c r="F73" s="1362"/>
      <c r="G73" s="1362"/>
      <c r="H73" s="1363"/>
      <c r="I73" s="1364">
        <f>Skemaoplysninger!G47</f>
        <v>0</v>
      </c>
      <c r="J73" s="1363"/>
      <c r="K73" s="408">
        <f>Skemaoplysninger!I47</f>
        <v>0</v>
      </c>
      <c r="L73" s="228"/>
      <c r="M73" s="215"/>
      <c r="N73" s="215"/>
      <c r="O73" s="215"/>
      <c r="P73" s="215"/>
      <c r="Q73" s="215"/>
      <c r="R73" s="215"/>
      <c r="S73" s="215"/>
      <c r="T73" s="215"/>
      <c r="U73" s="215"/>
      <c r="V73" s="215"/>
      <c r="W73" s="215"/>
      <c r="X73" s="215"/>
      <c r="Y73" s="215"/>
      <c r="Z73" s="215"/>
      <c r="AA73" s="215"/>
      <c r="AB73" s="214"/>
      <c r="AC73" s="214"/>
      <c r="AD73" s="214"/>
      <c r="AE73" s="214"/>
      <c r="AG73" s="215"/>
      <c r="AH73" s="216"/>
      <c r="AI73" s="217"/>
      <c r="AJ73" s="217"/>
      <c r="AK73" s="214"/>
      <c r="AL73" s="214"/>
      <c r="AM73" s="214"/>
      <c r="AN73" s="214"/>
      <c r="AO73" s="214"/>
    </row>
    <row r="74" spans="1:41" s="4" customFormat="1" ht="20" customHeight="1">
      <c r="A74" s="1385"/>
      <c r="B74" s="1361">
        <f>Skemaoplysninger!A48</f>
        <v>0</v>
      </c>
      <c r="C74" s="1362"/>
      <c r="D74" s="1362"/>
      <c r="E74" s="1362"/>
      <c r="F74" s="1362"/>
      <c r="G74" s="1362"/>
      <c r="H74" s="1363"/>
      <c r="I74" s="1364">
        <f>Skemaoplysninger!G48</f>
        <v>0</v>
      </c>
      <c r="J74" s="1363"/>
      <c r="K74" s="408">
        <f>Skemaoplysninger!I48</f>
        <v>0</v>
      </c>
      <c r="L74" s="228"/>
      <c r="M74" s="215"/>
      <c r="N74" s="215"/>
      <c r="O74" s="215"/>
      <c r="P74" s="215"/>
      <c r="Q74" s="215"/>
      <c r="R74" s="215"/>
      <c r="S74" s="215"/>
      <c r="T74" s="215"/>
      <c r="U74" s="215"/>
      <c r="V74" s="215"/>
      <c r="W74" s="215"/>
      <c r="X74" s="215"/>
      <c r="Y74" s="215"/>
      <c r="Z74" s="215"/>
      <c r="AA74" s="215"/>
      <c r="AB74" s="214"/>
      <c r="AC74" s="214"/>
      <c r="AD74" s="214"/>
      <c r="AE74" s="214"/>
      <c r="AG74" s="215"/>
      <c r="AH74" s="216"/>
      <c r="AI74" s="217"/>
      <c r="AJ74" s="217"/>
      <c r="AK74" s="214"/>
      <c r="AL74" s="214"/>
      <c r="AM74" s="214"/>
      <c r="AN74" s="214"/>
      <c r="AO74" s="214"/>
    </row>
    <row r="75" spans="1:41" s="4" customFormat="1" ht="20" customHeight="1">
      <c r="A75" s="1385"/>
      <c r="B75" s="1361">
        <f>Skemaoplysninger!A49</f>
        <v>0</v>
      </c>
      <c r="C75" s="1362"/>
      <c r="D75" s="1362"/>
      <c r="E75" s="1362"/>
      <c r="F75" s="1362"/>
      <c r="G75" s="1362"/>
      <c r="H75" s="1363"/>
      <c r="I75" s="1364">
        <f>Skemaoplysninger!G49</f>
        <v>0</v>
      </c>
      <c r="J75" s="1363"/>
      <c r="K75" s="408">
        <f>Skemaoplysninger!I49</f>
        <v>0</v>
      </c>
      <c r="L75" s="228"/>
      <c r="M75" s="215"/>
      <c r="N75" s="215"/>
      <c r="O75" s="215"/>
      <c r="P75" s="215"/>
      <c r="Q75" s="215"/>
      <c r="R75" s="215"/>
      <c r="S75" s="215"/>
      <c r="T75" s="215"/>
      <c r="U75" s="215"/>
      <c r="V75" s="215"/>
      <c r="W75" s="215"/>
      <c r="X75" s="215"/>
      <c r="Y75" s="215"/>
      <c r="Z75" s="215"/>
      <c r="AA75" s="215"/>
      <c r="AB75" s="214"/>
      <c r="AC75" s="214"/>
      <c r="AD75" s="214"/>
      <c r="AE75" s="214"/>
      <c r="AG75" s="215"/>
      <c r="AH75" s="216"/>
      <c r="AI75" s="217"/>
      <c r="AJ75" s="217"/>
      <c r="AK75" s="214"/>
      <c r="AL75" s="214"/>
      <c r="AM75" s="214"/>
      <c r="AN75" s="214"/>
      <c r="AO75" s="214"/>
    </row>
    <row r="76" spans="1:41" s="4" customFormat="1" ht="20" customHeight="1">
      <c r="A76" s="1385"/>
      <c r="B76" s="1361">
        <f>Skemaoplysninger!A50</f>
        <v>0</v>
      </c>
      <c r="C76" s="1362"/>
      <c r="D76" s="1362"/>
      <c r="E76" s="1362"/>
      <c r="F76" s="1362"/>
      <c r="G76" s="1362"/>
      <c r="H76" s="1363"/>
      <c r="I76" s="1364">
        <f>Skemaoplysninger!G50</f>
        <v>0</v>
      </c>
      <c r="J76" s="1363"/>
      <c r="K76" s="408">
        <f>Skemaoplysninger!I50</f>
        <v>0</v>
      </c>
      <c r="L76" s="228"/>
      <c r="M76" s="215"/>
      <c r="N76" s="215"/>
      <c r="O76" s="215"/>
      <c r="P76" s="215"/>
      <c r="Q76" s="215"/>
      <c r="R76" s="215"/>
      <c r="S76" s="215"/>
      <c r="T76" s="215"/>
      <c r="U76" s="215"/>
      <c r="V76" s="215"/>
      <c r="W76" s="215"/>
      <c r="X76" s="215"/>
      <c r="Y76" s="215"/>
      <c r="Z76" s="215"/>
      <c r="AA76" s="215"/>
      <c r="AB76" s="214"/>
      <c r="AC76" s="214"/>
      <c r="AD76" s="214"/>
      <c r="AE76" s="214"/>
      <c r="AG76" s="215"/>
      <c r="AH76" s="216"/>
      <c r="AI76" s="217"/>
      <c r="AJ76" s="217"/>
      <c r="AK76" s="214"/>
      <c r="AL76" s="214"/>
      <c r="AM76" s="214"/>
      <c r="AN76" s="214"/>
      <c r="AO76" s="214"/>
    </row>
    <row r="77" spans="1:41" s="4" customFormat="1" ht="20" customHeight="1">
      <c r="A77" s="1385"/>
      <c r="B77" s="1361">
        <f>Skemaoplysninger!A51</f>
        <v>0</v>
      </c>
      <c r="C77" s="1362"/>
      <c r="D77" s="1362"/>
      <c r="E77" s="1362"/>
      <c r="F77" s="1362"/>
      <c r="G77" s="1362"/>
      <c r="H77" s="1363"/>
      <c r="I77" s="1364">
        <f>Skemaoplysninger!G51</f>
        <v>0</v>
      </c>
      <c r="J77" s="1363"/>
      <c r="K77" s="408">
        <f>Skemaoplysninger!I51</f>
        <v>0</v>
      </c>
      <c r="L77" s="228"/>
      <c r="M77" s="215"/>
      <c r="N77" s="215"/>
      <c r="O77" s="215"/>
      <c r="P77" s="215"/>
      <c r="Q77" s="215"/>
      <c r="R77" s="215"/>
      <c r="S77" s="215"/>
      <c r="T77" s="215"/>
      <c r="U77" s="215"/>
      <c r="V77" s="215"/>
      <c r="W77" s="215"/>
      <c r="X77" s="215"/>
      <c r="Y77" s="215"/>
      <c r="Z77" s="215"/>
      <c r="AA77" s="215"/>
      <c r="AB77" s="214"/>
      <c r="AC77" s="214"/>
      <c r="AD77" s="214"/>
      <c r="AE77" s="214"/>
      <c r="AG77" s="215"/>
      <c r="AH77" s="216"/>
      <c r="AI77" s="217"/>
      <c r="AJ77" s="217"/>
      <c r="AK77" s="214"/>
      <c r="AL77" s="214"/>
      <c r="AM77" s="214"/>
      <c r="AN77" s="214"/>
      <c r="AO77" s="214"/>
    </row>
    <row r="78" spans="1:41" s="4" customFormat="1" ht="20" customHeight="1">
      <c r="A78" s="1385"/>
      <c r="B78" s="1361">
        <f>Skemaoplysninger!A52</f>
        <v>0</v>
      </c>
      <c r="C78" s="1362"/>
      <c r="D78" s="1362"/>
      <c r="E78" s="1362"/>
      <c r="F78" s="1362"/>
      <c r="G78" s="1362"/>
      <c r="H78" s="1363"/>
      <c r="I78" s="1364">
        <f>Skemaoplysninger!G52</f>
        <v>0</v>
      </c>
      <c r="J78" s="1363"/>
      <c r="K78" s="408">
        <f>Skemaoplysninger!I52</f>
        <v>0</v>
      </c>
      <c r="L78" s="228"/>
      <c r="M78" s="215"/>
      <c r="N78" s="215"/>
      <c r="O78" s="215"/>
      <c r="P78" s="215"/>
      <c r="Q78" s="215"/>
      <c r="R78" s="215"/>
      <c r="S78" s="215"/>
      <c r="T78" s="215"/>
      <c r="U78" s="215"/>
      <c r="V78" s="215"/>
      <c r="W78" s="215"/>
      <c r="X78" s="215"/>
      <c r="Y78" s="215"/>
      <c r="Z78" s="215"/>
      <c r="AA78" s="215"/>
      <c r="AB78" s="214"/>
      <c r="AC78" s="214"/>
      <c r="AD78" s="214"/>
      <c r="AE78" s="214"/>
      <c r="AG78" s="215"/>
      <c r="AH78" s="216"/>
      <c r="AI78" s="217"/>
      <c r="AJ78" s="217"/>
      <c r="AK78" s="214"/>
      <c r="AL78" s="214"/>
      <c r="AM78" s="214"/>
      <c r="AN78" s="214"/>
      <c r="AO78" s="214"/>
    </row>
    <row r="79" spans="1:41" s="4" customFormat="1" ht="20" customHeight="1">
      <c r="A79" s="1385"/>
      <c r="B79" s="1361">
        <f>Skemaoplysninger!A53</f>
        <v>0</v>
      </c>
      <c r="C79" s="1362"/>
      <c r="D79" s="1362"/>
      <c r="E79" s="1362"/>
      <c r="F79" s="1362"/>
      <c r="G79" s="1362"/>
      <c r="H79" s="1363"/>
      <c r="I79" s="1364">
        <f>Skemaoplysninger!G53</f>
        <v>0</v>
      </c>
      <c r="J79" s="1363"/>
      <c r="K79" s="408">
        <f>Skemaoplysninger!I53</f>
        <v>0</v>
      </c>
      <c r="L79" s="228"/>
      <c r="M79" s="215"/>
      <c r="N79" s="215"/>
      <c r="O79" s="215"/>
      <c r="P79" s="215"/>
      <c r="Q79" s="215"/>
      <c r="R79" s="215"/>
      <c r="S79" s="215"/>
      <c r="T79" s="215"/>
      <c r="U79" s="215"/>
      <c r="V79" s="215"/>
      <c r="W79" s="215"/>
      <c r="X79" s="215"/>
      <c r="Y79" s="215"/>
      <c r="Z79" s="215"/>
      <c r="AA79" s="215"/>
      <c r="AB79" s="214"/>
      <c r="AC79" s="214"/>
      <c r="AD79" s="214"/>
      <c r="AE79" s="214"/>
      <c r="AG79" s="215"/>
      <c r="AH79" s="216"/>
      <c r="AI79" s="217"/>
      <c r="AJ79" s="217"/>
      <c r="AK79" s="214"/>
      <c r="AL79" s="214"/>
      <c r="AM79" s="214"/>
      <c r="AN79" s="214"/>
      <c r="AO79" s="214"/>
    </row>
    <row r="80" spans="1:41" s="4" customFormat="1" ht="20" customHeight="1">
      <c r="A80" s="1385"/>
      <c r="B80" s="1361">
        <f>Skemaoplysninger!A54</f>
        <v>0</v>
      </c>
      <c r="C80" s="1362"/>
      <c r="D80" s="1362"/>
      <c r="E80" s="1362"/>
      <c r="F80" s="1362"/>
      <c r="G80" s="1362"/>
      <c r="H80" s="1363"/>
      <c r="I80" s="1364">
        <f>Skemaoplysninger!G54</f>
        <v>0</v>
      </c>
      <c r="J80" s="1363"/>
      <c r="K80" s="408">
        <f>Skemaoplysninger!I54</f>
        <v>0</v>
      </c>
      <c r="L80" s="228"/>
      <c r="M80" s="215"/>
      <c r="N80" s="215"/>
      <c r="O80" s="215"/>
      <c r="P80" s="215"/>
      <c r="Q80" s="215"/>
      <c r="R80" s="215"/>
      <c r="S80" s="215"/>
      <c r="T80" s="215"/>
      <c r="U80" s="215"/>
      <c r="V80" s="215"/>
      <c r="W80" s="215"/>
      <c r="X80" s="215"/>
      <c r="Y80" s="215"/>
      <c r="Z80" s="215"/>
      <c r="AA80" s="215"/>
      <c r="AB80" s="214"/>
      <c r="AC80" s="214"/>
      <c r="AD80" s="214"/>
      <c r="AE80" s="214"/>
      <c r="AG80" s="215"/>
      <c r="AH80" s="216"/>
      <c r="AI80" s="217"/>
      <c r="AJ80" s="217"/>
      <c r="AK80" s="214"/>
      <c r="AL80" s="214"/>
      <c r="AM80" s="214"/>
      <c r="AN80" s="214"/>
      <c r="AO80" s="214"/>
    </row>
    <row r="81" spans="1:41" s="4" customFormat="1" ht="20" customHeight="1">
      <c r="A81" s="1385"/>
      <c r="B81" s="1361">
        <f>Skemaoplysninger!A55</f>
        <v>0</v>
      </c>
      <c r="C81" s="1362"/>
      <c r="D81" s="1362"/>
      <c r="E81" s="1362"/>
      <c r="F81" s="1362"/>
      <c r="G81" s="1362"/>
      <c r="H81" s="1363"/>
      <c r="I81" s="1364">
        <f>Skemaoplysninger!G55</f>
        <v>0</v>
      </c>
      <c r="J81" s="1363"/>
      <c r="K81" s="408">
        <f>Skemaoplysninger!I55</f>
        <v>0</v>
      </c>
      <c r="L81" s="228"/>
      <c r="M81" s="215"/>
      <c r="N81" s="215"/>
      <c r="O81" s="215"/>
      <c r="P81" s="215"/>
      <c r="Q81" s="215"/>
      <c r="R81" s="215"/>
      <c r="S81" s="215"/>
      <c r="T81" s="215"/>
      <c r="U81" s="215"/>
      <c r="V81" s="215"/>
      <c r="W81" s="215"/>
      <c r="X81" s="215"/>
      <c r="Y81" s="215"/>
      <c r="Z81" s="215"/>
      <c r="AA81" s="215"/>
      <c r="AB81" s="214"/>
      <c r="AC81" s="214"/>
      <c r="AD81" s="214"/>
      <c r="AE81" s="214"/>
      <c r="AG81" s="215"/>
      <c r="AH81" s="216"/>
      <c r="AI81" s="217"/>
      <c r="AJ81" s="217"/>
      <c r="AK81" s="214"/>
      <c r="AL81" s="214"/>
      <c r="AM81" s="214"/>
      <c r="AN81" s="214"/>
      <c r="AO81" s="214"/>
    </row>
    <row r="82" spans="1:41" s="4" customFormat="1" ht="20" customHeight="1">
      <c r="A82" s="1385"/>
      <c r="B82" s="1361">
        <f>Skemaoplysninger!A56</f>
        <v>0</v>
      </c>
      <c r="C82" s="1362"/>
      <c r="D82" s="1362"/>
      <c r="E82" s="1362"/>
      <c r="F82" s="1362"/>
      <c r="G82" s="1362"/>
      <c r="H82" s="1363"/>
      <c r="I82" s="1364">
        <f>Skemaoplysninger!G56</f>
        <v>0</v>
      </c>
      <c r="J82" s="1363"/>
      <c r="K82" s="408">
        <f>Skemaoplysninger!I56</f>
        <v>0</v>
      </c>
      <c r="L82" s="228"/>
      <c r="M82" s="215"/>
      <c r="N82" s="215"/>
      <c r="O82" s="215"/>
      <c r="P82" s="215"/>
      <c r="Q82" s="215"/>
      <c r="R82" s="215"/>
      <c r="S82" s="215"/>
      <c r="T82" s="215"/>
      <c r="U82" s="215"/>
      <c r="V82" s="215"/>
      <c r="W82" s="215"/>
      <c r="X82" s="215"/>
      <c r="Y82" s="215"/>
      <c r="Z82" s="215"/>
      <c r="AA82" s="215"/>
      <c r="AB82" s="214"/>
      <c r="AC82" s="214"/>
      <c r="AD82" s="214"/>
      <c r="AE82" s="214"/>
      <c r="AG82" s="215"/>
      <c r="AH82" s="216"/>
      <c r="AI82" s="217"/>
      <c r="AJ82" s="217"/>
      <c r="AK82" s="214"/>
      <c r="AL82" s="214"/>
      <c r="AM82" s="214"/>
      <c r="AN82" s="214"/>
      <c r="AO82" s="214"/>
    </row>
    <row r="83" spans="1:41" s="4" customFormat="1" ht="20" customHeight="1">
      <c r="A83" s="1385"/>
      <c r="B83" s="1361">
        <f>Skemaoplysninger!A57</f>
        <v>0</v>
      </c>
      <c r="C83" s="1362"/>
      <c r="D83" s="1362"/>
      <c r="E83" s="1362"/>
      <c r="F83" s="1362"/>
      <c r="G83" s="1362"/>
      <c r="H83" s="1363"/>
      <c r="I83" s="1364">
        <f>Skemaoplysninger!G57</f>
        <v>0</v>
      </c>
      <c r="J83" s="1363"/>
      <c r="K83" s="408">
        <f>Skemaoplysninger!I57</f>
        <v>0</v>
      </c>
      <c r="L83" s="228"/>
      <c r="M83" s="215"/>
      <c r="N83" s="215"/>
      <c r="O83" s="215"/>
      <c r="P83" s="215"/>
      <c r="Q83" s="215"/>
      <c r="R83" s="215"/>
      <c r="S83" s="215"/>
      <c r="T83" s="215"/>
      <c r="U83" s="215"/>
      <c r="V83" s="215"/>
      <c r="W83" s="215"/>
      <c r="X83" s="215"/>
      <c r="Y83" s="215"/>
      <c r="Z83" s="215"/>
      <c r="AA83" s="215"/>
      <c r="AB83" s="214"/>
      <c r="AC83" s="214"/>
      <c r="AD83" s="214"/>
      <c r="AE83" s="214"/>
      <c r="AG83" s="215"/>
      <c r="AH83" s="216"/>
      <c r="AI83" s="217"/>
      <c r="AJ83" s="217"/>
      <c r="AK83" s="214"/>
      <c r="AL83" s="214"/>
      <c r="AM83" s="214"/>
      <c r="AN83" s="214"/>
      <c r="AO83" s="214"/>
    </row>
    <row r="84" spans="1:41" s="4" customFormat="1" ht="20" customHeight="1">
      <c r="A84" s="1385"/>
      <c r="B84" s="1361">
        <f>Skemaoplysninger!A58</f>
        <v>0</v>
      </c>
      <c r="C84" s="1362"/>
      <c r="D84" s="1362"/>
      <c r="E84" s="1362"/>
      <c r="F84" s="1362"/>
      <c r="G84" s="1362"/>
      <c r="H84" s="1363"/>
      <c r="I84" s="1364">
        <f>Skemaoplysninger!G58</f>
        <v>0</v>
      </c>
      <c r="J84" s="1363"/>
      <c r="K84" s="408">
        <f>Skemaoplysninger!I58</f>
        <v>0</v>
      </c>
      <c r="L84" s="228"/>
      <c r="M84" s="215"/>
      <c r="N84" s="215"/>
      <c r="O84" s="215"/>
      <c r="P84" s="215"/>
      <c r="Q84" s="215"/>
      <c r="R84" s="215"/>
      <c r="S84" s="215"/>
      <c r="T84" s="215"/>
      <c r="U84" s="215"/>
      <c r="V84" s="215"/>
      <c r="W84" s="215"/>
      <c r="X84" s="215"/>
      <c r="Y84" s="215"/>
      <c r="Z84" s="215"/>
      <c r="AA84" s="215"/>
      <c r="AB84" s="214"/>
      <c r="AC84" s="214"/>
      <c r="AD84" s="214"/>
      <c r="AE84" s="214"/>
      <c r="AG84" s="215"/>
      <c r="AH84" s="216"/>
      <c r="AI84" s="217"/>
      <c r="AJ84" s="217"/>
      <c r="AK84" s="214"/>
      <c r="AL84" s="214"/>
      <c r="AM84" s="214"/>
      <c r="AN84" s="214"/>
      <c r="AO84" s="214"/>
    </row>
    <row r="85" spans="1:41" s="4" customFormat="1" ht="20" customHeight="1">
      <c r="A85" s="1385"/>
      <c r="B85" s="1361">
        <f>Skemaoplysninger!A59</f>
        <v>0</v>
      </c>
      <c r="C85" s="1362"/>
      <c r="D85" s="1362"/>
      <c r="E85" s="1362"/>
      <c r="F85" s="1362"/>
      <c r="G85" s="1362"/>
      <c r="H85" s="1363"/>
      <c r="I85" s="1364">
        <f>Skemaoplysninger!G59</f>
        <v>0</v>
      </c>
      <c r="J85" s="1363"/>
      <c r="K85" s="408">
        <f>Skemaoplysninger!I59</f>
        <v>0</v>
      </c>
      <c r="L85" s="228"/>
      <c r="M85" s="215"/>
      <c r="N85" s="215"/>
      <c r="O85" s="215"/>
      <c r="P85" s="215"/>
      <c r="Q85" s="215"/>
      <c r="R85" s="215"/>
      <c r="S85" s="215"/>
      <c r="T85" s="215"/>
      <c r="U85" s="215"/>
      <c r="V85" s="215"/>
      <c r="W85" s="215"/>
      <c r="X85" s="215"/>
      <c r="Y85" s="215"/>
      <c r="Z85" s="215"/>
      <c r="AA85" s="215"/>
      <c r="AB85" s="214"/>
      <c r="AC85" s="214"/>
      <c r="AD85" s="214"/>
      <c r="AE85" s="214"/>
      <c r="AG85" s="215"/>
      <c r="AH85" s="216"/>
      <c r="AI85" s="217"/>
      <c r="AJ85" s="217"/>
      <c r="AK85" s="214"/>
      <c r="AL85" s="214"/>
      <c r="AM85" s="214"/>
      <c r="AN85" s="214"/>
      <c r="AO85" s="214"/>
    </row>
    <row r="86" spans="1:41" s="4" customFormat="1" ht="20" customHeight="1">
      <c r="A86" s="1385"/>
      <c r="B86" s="1361">
        <f>Skemaoplysninger!A60</f>
        <v>0</v>
      </c>
      <c r="C86" s="1362"/>
      <c r="D86" s="1362"/>
      <c r="E86" s="1362"/>
      <c r="F86" s="1362"/>
      <c r="G86" s="1362"/>
      <c r="H86" s="1363"/>
      <c r="I86" s="1364">
        <f>Skemaoplysninger!G60</f>
        <v>0</v>
      </c>
      <c r="J86" s="1363"/>
      <c r="K86" s="408">
        <f>Skemaoplysninger!I60</f>
        <v>0</v>
      </c>
      <c r="L86" s="228"/>
      <c r="M86" s="215"/>
      <c r="N86" s="215"/>
      <c r="O86" s="215"/>
      <c r="P86" s="215"/>
      <c r="Q86" s="215"/>
      <c r="R86" s="215"/>
      <c r="S86" s="215"/>
      <c r="T86" s="215"/>
      <c r="U86" s="215"/>
      <c r="V86" s="215"/>
      <c r="W86" s="215"/>
      <c r="X86" s="215"/>
      <c r="Y86" s="215"/>
      <c r="Z86" s="215"/>
      <c r="AA86" s="215"/>
      <c r="AB86" s="214"/>
      <c r="AC86" s="214"/>
      <c r="AD86" s="214"/>
      <c r="AE86" s="214"/>
      <c r="AG86" s="215"/>
      <c r="AH86" s="216"/>
      <c r="AI86" s="217"/>
      <c r="AJ86" s="217"/>
      <c r="AK86" s="214"/>
      <c r="AL86" s="214"/>
      <c r="AM86" s="214"/>
      <c r="AN86" s="214"/>
      <c r="AO86" s="214"/>
    </row>
    <row r="87" spans="1:41" s="4" customFormat="1" ht="20" customHeight="1">
      <c r="A87" s="1385"/>
      <c r="B87" s="1361">
        <f>Skemaoplysninger!A61</f>
        <v>0</v>
      </c>
      <c r="C87" s="1362"/>
      <c r="D87" s="1362"/>
      <c r="E87" s="1362"/>
      <c r="F87" s="1362"/>
      <c r="G87" s="1362"/>
      <c r="H87" s="1363"/>
      <c r="I87" s="1364">
        <f>Skemaoplysninger!G61</f>
        <v>0</v>
      </c>
      <c r="J87" s="1363"/>
      <c r="K87" s="408">
        <f>Skemaoplysninger!I61</f>
        <v>0</v>
      </c>
      <c r="L87" s="228"/>
      <c r="M87" s="215"/>
      <c r="N87" s="215"/>
      <c r="O87" s="215"/>
      <c r="P87" s="215"/>
      <c r="Q87" s="215"/>
      <c r="R87" s="215"/>
      <c r="S87" s="215"/>
      <c r="T87" s="215"/>
      <c r="U87" s="215"/>
      <c r="V87" s="215"/>
      <c r="W87" s="215"/>
      <c r="X87" s="215"/>
      <c r="Y87" s="215"/>
      <c r="Z87" s="215"/>
      <c r="AA87" s="215"/>
      <c r="AB87" s="214"/>
      <c r="AC87" s="214"/>
      <c r="AD87" s="214"/>
      <c r="AE87" s="214"/>
      <c r="AG87" s="215"/>
      <c r="AH87" s="216"/>
      <c r="AI87" s="217"/>
      <c r="AJ87" s="217"/>
      <c r="AK87" s="214"/>
      <c r="AL87" s="214"/>
      <c r="AM87" s="214"/>
      <c r="AN87" s="214"/>
      <c r="AO87" s="214"/>
    </row>
    <row r="88" spans="1:41" s="4" customFormat="1" ht="20" customHeight="1">
      <c r="A88" s="1385"/>
      <c r="B88" s="1361">
        <f>Skemaoplysninger!A62</f>
        <v>0</v>
      </c>
      <c r="C88" s="1362"/>
      <c r="D88" s="1362"/>
      <c r="E88" s="1362"/>
      <c r="F88" s="1362"/>
      <c r="G88" s="1362"/>
      <c r="H88" s="1363"/>
      <c r="I88" s="1364">
        <f>Skemaoplysninger!G62</f>
        <v>0</v>
      </c>
      <c r="J88" s="1363"/>
      <c r="K88" s="408">
        <f>Skemaoplysninger!I62</f>
        <v>0</v>
      </c>
      <c r="L88" s="228"/>
      <c r="M88" s="215"/>
      <c r="N88" s="215"/>
      <c r="O88" s="215"/>
      <c r="P88" s="215"/>
      <c r="Q88" s="215"/>
      <c r="R88" s="215"/>
      <c r="S88" s="215"/>
      <c r="T88" s="215"/>
      <c r="U88" s="215"/>
      <c r="V88" s="215"/>
      <c r="W88" s="215"/>
      <c r="X88" s="215"/>
      <c r="Y88" s="215"/>
      <c r="Z88" s="215"/>
      <c r="AA88" s="215"/>
      <c r="AB88" s="214"/>
      <c r="AC88" s="214"/>
      <c r="AD88" s="214"/>
      <c r="AE88" s="214"/>
      <c r="AG88" s="215"/>
      <c r="AH88" s="216"/>
      <c r="AI88" s="217"/>
      <c r="AJ88" s="217"/>
      <c r="AK88" s="214"/>
      <c r="AL88" s="214"/>
      <c r="AM88" s="214"/>
      <c r="AN88" s="214"/>
      <c r="AO88" s="214"/>
    </row>
    <row r="89" spans="1:41" s="4" customFormat="1" ht="20" customHeight="1">
      <c r="A89" s="1385"/>
      <c r="B89" s="1361">
        <f>Skemaoplysninger!A63</f>
        <v>0</v>
      </c>
      <c r="C89" s="1362"/>
      <c r="D89" s="1362"/>
      <c r="E89" s="1362"/>
      <c r="F89" s="1362"/>
      <c r="G89" s="1362"/>
      <c r="H89" s="1363"/>
      <c r="I89" s="1364">
        <f>Skemaoplysninger!G63</f>
        <v>0</v>
      </c>
      <c r="J89" s="1363"/>
      <c r="K89" s="408">
        <f>Skemaoplysninger!I63</f>
        <v>0</v>
      </c>
      <c r="L89" s="228"/>
      <c r="M89" s="215"/>
      <c r="N89" s="215"/>
      <c r="O89" s="215"/>
      <c r="P89" s="215"/>
      <c r="Q89" s="215"/>
      <c r="R89" s="215"/>
      <c r="S89" s="215"/>
      <c r="T89" s="215"/>
      <c r="U89" s="215"/>
      <c r="V89" s="215"/>
      <c r="W89" s="215"/>
      <c r="X89" s="215"/>
      <c r="Y89" s="215"/>
      <c r="Z89" s="215"/>
      <c r="AA89" s="215"/>
      <c r="AB89" s="214"/>
      <c r="AC89" s="214"/>
      <c r="AD89" s="214"/>
      <c r="AE89" s="214"/>
      <c r="AG89" s="215"/>
      <c r="AH89" s="216"/>
      <c r="AI89" s="217"/>
      <c r="AJ89" s="217"/>
      <c r="AK89" s="214"/>
      <c r="AL89" s="214"/>
      <c r="AM89" s="214"/>
      <c r="AN89" s="214"/>
      <c r="AO89" s="214"/>
    </row>
    <row r="90" spans="1:41" s="4" customFormat="1" ht="20" customHeight="1">
      <c r="A90" s="1385"/>
      <c r="B90" s="1361">
        <f>Skemaoplysninger!A64</f>
        <v>0</v>
      </c>
      <c r="C90" s="1362"/>
      <c r="D90" s="1362"/>
      <c r="E90" s="1362"/>
      <c r="F90" s="1362"/>
      <c r="G90" s="1362"/>
      <c r="H90" s="1363"/>
      <c r="I90" s="1364">
        <f>Skemaoplysninger!G64</f>
        <v>0</v>
      </c>
      <c r="J90" s="1363"/>
      <c r="K90" s="408">
        <f>Skemaoplysninger!I64</f>
        <v>0</v>
      </c>
      <c r="L90" s="228"/>
      <c r="M90" s="215"/>
      <c r="N90" s="215"/>
      <c r="O90" s="215"/>
      <c r="P90" s="215"/>
      <c r="Q90" s="215"/>
      <c r="R90" s="215"/>
      <c r="S90" s="215"/>
      <c r="T90" s="215"/>
      <c r="U90" s="215"/>
      <c r="V90" s="215"/>
      <c r="W90" s="215"/>
      <c r="X90" s="215"/>
      <c r="Y90" s="215"/>
      <c r="Z90" s="215"/>
      <c r="AA90" s="215"/>
      <c r="AB90" s="214"/>
      <c r="AC90" s="214"/>
      <c r="AD90" s="214"/>
      <c r="AE90" s="214"/>
      <c r="AG90" s="215"/>
      <c r="AH90" s="216"/>
      <c r="AI90" s="217"/>
      <c r="AJ90" s="217"/>
      <c r="AK90" s="214"/>
      <c r="AL90" s="214"/>
      <c r="AM90" s="214"/>
      <c r="AN90" s="214"/>
      <c r="AO90" s="214"/>
    </row>
    <row r="91" spans="1:41" s="4" customFormat="1" ht="20" customHeight="1">
      <c r="A91" s="1385"/>
      <c r="B91" s="1361">
        <f>Skemaoplysninger!A65</f>
        <v>0</v>
      </c>
      <c r="C91" s="1362"/>
      <c r="D91" s="1362"/>
      <c r="E91" s="1362"/>
      <c r="F91" s="1362"/>
      <c r="G91" s="1362"/>
      <c r="H91" s="1363"/>
      <c r="I91" s="1364">
        <f>Skemaoplysninger!G65</f>
        <v>0</v>
      </c>
      <c r="J91" s="1363"/>
      <c r="K91" s="408">
        <f>Skemaoplysninger!I65</f>
        <v>0</v>
      </c>
      <c r="L91" s="228"/>
      <c r="M91" s="215"/>
      <c r="N91" s="215"/>
      <c r="O91" s="215"/>
      <c r="P91" s="215"/>
      <c r="Q91" s="215"/>
      <c r="R91" s="215"/>
      <c r="S91" s="215"/>
      <c r="T91" s="215"/>
      <c r="U91" s="215"/>
      <c r="V91" s="215"/>
      <c r="W91" s="215"/>
      <c r="X91" s="215"/>
      <c r="Y91" s="215"/>
      <c r="Z91" s="215"/>
      <c r="AA91" s="215"/>
      <c r="AB91" s="214"/>
      <c r="AC91" s="214"/>
      <c r="AD91" s="214"/>
      <c r="AE91" s="214"/>
      <c r="AG91" s="215"/>
      <c r="AH91" s="216"/>
      <c r="AI91" s="217"/>
      <c r="AJ91" s="217"/>
      <c r="AK91" s="214"/>
      <c r="AL91" s="214"/>
      <c r="AM91" s="214"/>
      <c r="AN91" s="214"/>
      <c r="AO91" s="214"/>
    </row>
    <row r="92" spans="1:41" s="4" customFormat="1" ht="20" customHeight="1">
      <c r="A92" s="1385"/>
      <c r="B92" s="1361">
        <f>Skemaoplysninger!A66</f>
        <v>0</v>
      </c>
      <c r="C92" s="1362"/>
      <c r="D92" s="1362"/>
      <c r="E92" s="1362"/>
      <c r="F92" s="1362"/>
      <c r="G92" s="1362"/>
      <c r="H92" s="1363"/>
      <c r="I92" s="1364">
        <f>Skemaoplysninger!G66</f>
        <v>0</v>
      </c>
      <c r="J92" s="1363"/>
      <c r="K92" s="408">
        <f>Skemaoplysninger!I66</f>
        <v>0</v>
      </c>
      <c r="L92" s="228"/>
      <c r="M92" s="215"/>
      <c r="N92" s="215"/>
      <c r="O92" s="215"/>
      <c r="P92" s="215"/>
      <c r="Q92" s="215"/>
      <c r="R92" s="215"/>
      <c r="S92" s="215"/>
      <c r="T92" s="215"/>
      <c r="U92" s="215"/>
      <c r="V92" s="215"/>
      <c r="W92" s="215"/>
      <c r="X92" s="215"/>
      <c r="Y92" s="215"/>
      <c r="Z92" s="215"/>
      <c r="AA92" s="215"/>
      <c r="AB92" s="214"/>
      <c r="AC92" s="214"/>
      <c r="AD92" s="214"/>
      <c r="AE92" s="214"/>
      <c r="AG92" s="215"/>
      <c r="AH92" s="216"/>
      <c r="AI92" s="217"/>
      <c r="AJ92" s="217"/>
      <c r="AK92" s="214"/>
      <c r="AL92" s="214"/>
      <c r="AM92" s="214"/>
      <c r="AN92" s="214"/>
      <c r="AO92" s="214"/>
    </row>
    <row r="93" spans="1:41" s="4" customFormat="1" ht="20" customHeight="1">
      <c r="A93" s="1385"/>
      <c r="B93" s="1361">
        <f>Skemaoplysninger!A67</f>
        <v>0</v>
      </c>
      <c r="C93" s="1362"/>
      <c r="D93" s="1362"/>
      <c r="E93" s="1362"/>
      <c r="F93" s="1362"/>
      <c r="G93" s="1362"/>
      <c r="H93" s="1363"/>
      <c r="I93" s="1364">
        <f>Skemaoplysninger!G67</f>
        <v>0</v>
      </c>
      <c r="J93" s="1363"/>
      <c r="K93" s="408">
        <f>Skemaoplysninger!I67</f>
        <v>0</v>
      </c>
      <c r="L93" s="228"/>
      <c r="M93" s="215"/>
      <c r="N93" s="215"/>
      <c r="O93" s="215"/>
      <c r="P93" s="215"/>
      <c r="Q93" s="215"/>
      <c r="R93" s="215"/>
      <c r="S93" s="215"/>
      <c r="T93" s="215"/>
      <c r="U93" s="215"/>
      <c r="V93" s="215"/>
      <c r="W93" s="215"/>
      <c r="X93" s="215"/>
      <c r="Y93" s="215"/>
      <c r="Z93" s="215"/>
      <c r="AA93" s="215"/>
      <c r="AB93" s="214"/>
      <c r="AC93" s="214"/>
      <c r="AD93" s="214"/>
      <c r="AE93" s="214"/>
      <c r="AG93" s="215"/>
      <c r="AH93" s="216"/>
      <c r="AI93" s="217"/>
      <c r="AJ93" s="217"/>
      <c r="AK93" s="214"/>
      <c r="AL93" s="214"/>
      <c r="AM93" s="214"/>
      <c r="AN93" s="214"/>
      <c r="AO93" s="214"/>
    </row>
    <row r="94" spans="1:41" s="4" customFormat="1" ht="20" customHeight="1">
      <c r="A94" s="1385"/>
      <c r="B94" s="1361">
        <f>Skemaoplysninger!A68</f>
        <v>0</v>
      </c>
      <c r="C94" s="1362"/>
      <c r="D94" s="1362"/>
      <c r="E94" s="1362"/>
      <c r="F94" s="1362"/>
      <c r="G94" s="1362"/>
      <c r="H94" s="1363"/>
      <c r="I94" s="1364">
        <f>Skemaoplysninger!G68</f>
        <v>0</v>
      </c>
      <c r="J94" s="1363"/>
      <c r="K94" s="408">
        <f>Skemaoplysninger!I68</f>
        <v>0</v>
      </c>
      <c r="L94" s="228"/>
      <c r="M94" s="215"/>
      <c r="N94" s="215"/>
      <c r="O94" s="215"/>
      <c r="P94" s="215"/>
      <c r="Q94" s="215"/>
      <c r="R94" s="215"/>
      <c r="S94" s="215"/>
      <c r="T94" s="215"/>
      <c r="U94" s="215"/>
      <c r="V94" s="215"/>
      <c r="W94" s="215"/>
      <c r="X94" s="215"/>
      <c r="Y94" s="215"/>
      <c r="Z94" s="215"/>
      <c r="AA94" s="215"/>
      <c r="AB94" s="214"/>
      <c r="AC94" s="214"/>
      <c r="AD94" s="214"/>
      <c r="AE94" s="214"/>
      <c r="AG94" s="215"/>
      <c r="AH94" s="216"/>
      <c r="AI94" s="217"/>
      <c r="AJ94" s="217"/>
      <c r="AK94" s="214"/>
      <c r="AL94" s="214"/>
      <c r="AM94" s="214"/>
      <c r="AN94" s="214"/>
      <c r="AO94" s="214"/>
    </row>
    <row r="95" spans="1:41" s="4" customFormat="1" ht="20" customHeight="1">
      <c r="A95" s="1385"/>
      <c r="B95" s="1361">
        <f>Skemaoplysninger!A69</f>
        <v>0</v>
      </c>
      <c r="C95" s="1362"/>
      <c r="D95" s="1362"/>
      <c r="E95" s="1362"/>
      <c r="F95" s="1362"/>
      <c r="G95" s="1362"/>
      <c r="H95" s="1363"/>
      <c r="I95" s="1364">
        <f>Skemaoplysninger!G69</f>
        <v>0</v>
      </c>
      <c r="J95" s="1363"/>
      <c r="K95" s="408">
        <f>Skemaoplysninger!I69</f>
        <v>0</v>
      </c>
      <c r="L95" s="228"/>
      <c r="M95" s="215"/>
      <c r="N95" s="215"/>
      <c r="O95" s="215"/>
      <c r="P95" s="215"/>
      <c r="Q95" s="215"/>
      <c r="R95" s="215"/>
      <c r="S95" s="215"/>
      <c r="T95" s="215"/>
      <c r="U95" s="215"/>
      <c r="V95" s="215"/>
      <c r="W95" s="215"/>
      <c r="X95" s="215"/>
      <c r="Y95" s="215"/>
      <c r="Z95" s="215"/>
      <c r="AA95" s="215"/>
      <c r="AB95" s="214"/>
      <c r="AC95" s="214"/>
      <c r="AD95" s="214"/>
      <c r="AE95" s="214"/>
      <c r="AG95" s="215"/>
      <c r="AH95" s="216"/>
      <c r="AI95" s="217"/>
      <c r="AJ95" s="217"/>
      <c r="AK95" s="214"/>
      <c r="AL95" s="214"/>
      <c r="AM95" s="214"/>
      <c r="AN95" s="214"/>
      <c r="AO95" s="214"/>
    </row>
    <row r="96" spans="1:41" s="4" customFormat="1" ht="20" customHeight="1">
      <c r="A96" s="1385"/>
      <c r="B96" s="1361">
        <f>Skemaoplysninger!A70</f>
        <v>0</v>
      </c>
      <c r="C96" s="1362"/>
      <c r="D96" s="1362"/>
      <c r="E96" s="1362"/>
      <c r="F96" s="1362"/>
      <c r="G96" s="1362"/>
      <c r="H96" s="1363"/>
      <c r="I96" s="1364">
        <f>Skemaoplysninger!G70</f>
        <v>0</v>
      </c>
      <c r="J96" s="1363"/>
      <c r="K96" s="408">
        <f>Skemaoplysninger!I70</f>
        <v>0</v>
      </c>
      <c r="L96" s="228"/>
      <c r="M96" s="215"/>
      <c r="N96" s="215"/>
      <c r="O96" s="215"/>
      <c r="P96" s="215"/>
      <c r="Q96" s="215"/>
      <c r="R96" s="215"/>
      <c r="S96" s="215"/>
      <c r="T96" s="215"/>
      <c r="U96" s="215"/>
      <c r="V96" s="215"/>
      <c r="W96" s="215"/>
      <c r="X96" s="215"/>
      <c r="Y96" s="215"/>
      <c r="Z96" s="215"/>
      <c r="AA96" s="215"/>
      <c r="AB96" s="214"/>
      <c r="AC96" s="214"/>
      <c r="AD96" s="214"/>
      <c r="AE96" s="214"/>
      <c r="AG96" s="215"/>
      <c r="AH96" s="216"/>
      <c r="AI96" s="217"/>
      <c r="AJ96" s="217"/>
      <c r="AK96" s="214"/>
      <c r="AL96" s="214"/>
      <c r="AM96" s="214"/>
      <c r="AN96" s="214"/>
      <c r="AO96" s="214"/>
    </row>
    <row r="97" spans="1:41" s="4" customFormat="1" ht="20" customHeight="1">
      <c r="A97" s="1385"/>
      <c r="B97" s="1361">
        <f>Skemaoplysninger!A71</f>
        <v>0</v>
      </c>
      <c r="C97" s="1362"/>
      <c r="D97" s="1362"/>
      <c r="E97" s="1362"/>
      <c r="F97" s="1362"/>
      <c r="G97" s="1362"/>
      <c r="H97" s="1363"/>
      <c r="I97" s="1364">
        <f>Skemaoplysninger!G71</f>
        <v>0</v>
      </c>
      <c r="J97" s="1363"/>
      <c r="K97" s="408">
        <f>Skemaoplysninger!I71</f>
        <v>0</v>
      </c>
      <c r="L97" s="228"/>
      <c r="M97" s="215"/>
      <c r="N97" s="215"/>
      <c r="O97" s="215"/>
      <c r="P97" s="215"/>
      <c r="Q97" s="215"/>
      <c r="R97" s="215"/>
      <c r="S97" s="215"/>
      <c r="T97" s="215"/>
      <c r="U97" s="215"/>
      <c r="V97" s="215"/>
      <c r="W97" s="215"/>
      <c r="X97" s="215"/>
      <c r="Y97" s="215"/>
      <c r="Z97" s="215"/>
      <c r="AA97" s="215"/>
      <c r="AB97" s="214"/>
      <c r="AC97" s="214"/>
      <c r="AD97" s="214"/>
      <c r="AE97" s="214"/>
      <c r="AG97" s="215"/>
      <c r="AH97" s="216"/>
      <c r="AI97" s="217"/>
      <c r="AJ97" s="217"/>
      <c r="AK97" s="214"/>
      <c r="AL97" s="214"/>
      <c r="AM97" s="214"/>
      <c r="AN97" s="214"/>
      <c r="AO97" s="214"/>
    </row>
    <row r="98" spans="1:41" s="4" customFormat="1" ht="20" customHeight="1">
      <c r="A98" s="1385"/>
      <c r="B98" s="1361">
        <f>Skemaoplysninger!A72</f>
        <v>0</v>
      </c>
      <c r="C98" s="1362"/>
      <c r="D98" s="1362"/>
      <c r="E98" s="1362"/>
      <c r="F98" s="1362"/>
      <c r="G98" s="1362"/>
      <c r="H98" s="1363"/>
      <c r="I98" s="1364">
        <f>Skemaoplysninger!G72</f>
        <v>0</v>
      </c>
      <c r="J98" s="1363"/>
      <c r="K98" s="408">
        <f>Skemaoplysninger!I72</f>
        <v>0</v>
      </c>
      <c r="L98" s="228"/>
      <c r="M98" s="215"/>
      <c r="N98" s="215"/>
      <c r="O98" s="215"/>
      <c r="P98" s="215"/>
      <c r="Q98" s="215"/>
      <c r="R98" s="215"/>
      <c r="S98" s="215"/>
      <c r="T98" s="215"/>
      <c r="U98" s="215"/>
      <c r="V98" s="215"/>
      <c r="W98" s="215"/>
      <c r="X98" s="215"/>
      <c r="Y98" s="215"/>
      <c r="Z98" s="215"/>
      <c r="AA98" s="215"/>
      <c r="AB98" s="214"/>
      <c r="AC98" s="214"/>
      <c r="AD98" s="214"/>
      <c r="AE98" s="214"/>
      <c r="AG98" s="215"/>
      <c r="AH98" s="216"/>
      <c r="AI98" s="217"/>
      <c r="AJ98" s="217"/>
      <c r="AK98" s="214"/>
      <c r="AL98" s="214"/>
      <c r="AM98" s="214"/>
      <c r="AN98" s="214"/>
      <c r="AO98" s="214"/>
    </row>
    <row r="99" spans="1:41" s="4" customFormat="1" ht="20" customHeight="1">
      <c r="A99" s="1385"/>
      <c r="B99" s="1361">
        <f>Skemaoplysninger!A73</f>
        <v>0</v>
      </c>
      <c r="C99" s="1362"/>
      <c r="D99" s="1362"/>
      <c r="E99" s="1362"/>
      <c r="F99" s="1362"/>
      <c r="G99" s="1362"/>
      <c r="H99" s="1363"/>
      <c r="I99" s="1364">
        <f>Skemaoplysninger!G73</f>
        <v>0</v>
      </c>
      <c r="J99" s="1363"/>
      <c r="K99" s="408">
        <f>Skemaoplysninger!I73</f>
        <v>0</v>
      </c>
      <c r="L99" s="228"/>
      <c r="M99" s="215"/>
      <c r="N99" s="215"/>
      <c r="O99" s="215"/>
      <c r="P99" s="215"/>
      <c r="Q99" s="215"/>
      <c r="R99" s="215"/>
      <c r="S99" s="215"/>
      <c r="T99" s="215"/>
      <c r="U99" s="215"/>
      <c r="V99" s="215"/>
      <c r="W99" s="215"/>
      <c r="X99" s="215"/>
      <c r="Y99" s="215"/>
      <c r="Z99" s="215"/>
      <c r="AA99" s="215"/>
      <c r="AB99" s="214"/>
      <c r="AC99" s="214"/>
      <c r="AD99" s="214"/>
      <c r="AE99" s="214"/>
      <c r="AG99" s="215"/>
      <c r="AH99" s="216"/>
      <c r="AI99" s="217"/>
      <c r="AJ99" s="217"/>
      <c r="AK99" s="214"/>
      <c r="AL99" s="214"/>
      <c r="AM99" s="214"/>
      <c r="AN99" s="214"/>
      <c r="AO99" s="214"/>
    </row>
    <row r="100" spans="1:41" s="4" customFormat="1" ht="20" customHeight="1">
      <c r="A100" s="1385"/>
      <c r="B100" s="1361">
        <f>Skemaoplysninger!A74</f>
        <v>0</v>
      </c>
      <c r="C100" s="1362"/>
      <c r="D100" s="1362"/>
      <c r="E100" s="1362"/>
      <c r="F100" s="1362"/>
      <c r="G100" s="1362"/>
      <c r="H100" s="1363"/>
      <c r="I100" s="1364">
        <f>Skemaoplysninger!G74</f>
        <v>0</v>
      </c>
      <c r="J100" s="1363"/>
      <c r="K100" s="408">
        <f>Skemaoplysninger!I74</f>
        <v>0</v>
      </c>
      <c r="L100" s="228"/>
      <c r="M100" s="215"/>
      <c r="N100" s="215"/>
      <c r="O100" s="215"/>
      <c r="P100" s="215"/>
      <c r="Q100" s="215"/>
      <c r="R100" s="215"/>
      <c r="S100" s="215"/>
      <c r="T100" s="215"/>
      <c r="U100" s="215"/>
      <c r="V100" s="215"/>
      <c r="W100" s="215"/>
      <c r="X100" s="215"/>
      <c r="Y100" s="215"/>
      <c r="Z100" s="215"/>
      <c r="AA100" s="215"/>
      <c r="AB100" s="214"/>
      <c r="AC100" s="214"/>
      <c r="AD100" s="214"/>
      <c r="AE100" s="214"/>
      <c r="AG100" s="215"/>
      <c r="AH100" s="216"/>
      <c r="AI100" s="217"/>
      <c r="AJ100" s="217"/>
      <c r="AK100" s="214"/>
      <c r="AL100" s="214"/>
      <c r="AM100" s="214"/>
      <c r="AN100" s="214"/>
      <c r="AO100" s="214"/>
    </row>
    <row r="101" spans="1:41" s="4" customFormat="1" ht="20" customHeight="1">
      <c r="A101" s="1385"/>
      <c r="B101" s="1361">
        <f>Skemaoplysninger!A75</f>
        <v>0</v>
      </c>
      <c r="C101" s="1362"/>
      <c r="D101" s="1362"/>
      <c r="E101" s="1362"/>
      <c r="F101" s="1362"/>
      <c r="G101" s="1362"/>
      <c r="H101" s="1363"/>
      <c r="I101" s="1364">
        <f>Skemaoplysninger!G75</f>
        <v>0</v>
      </c>
      <c r="J101" s="1363"/>
      <c r="K101" s="408">
        <f>Skemaoplysninger!I75</f>
        <v>0</v>
      </c>
      <c r="L101" s="228"/>
      <c r="M101" s="215"/>
      <c r="N101" s="215"/>
      <c r="O101" s="215"/>
      <c r="P101" s="215"/>
      <c r="Q101" s="215"/>
      <c r="R101" s="215"/>
      <c r="S101" s="215"/>
      <c r="T101" s="215"/>
      <c r="U101" s="215"/>
      <c r="V101" s="215"/>
      <c r="W101" s="215"/>
      <c r="X101" s="215"/>
      <c r="Y101" s="215"/>
      <c r="Z101" s="215"/>
      <c r="AA101" s="215"/>
      <c r="AB101" s="214"/>
      <c r="AC101" s="214"/>
      <c r="AD101" s="214"/>
      <c r="AE101" s="214"/>
      <c r="AG101" s="215"/>
      <c r="AH101" s="216"/>
      <c r="AI101" s="217"/>
      <c r="AJ101" s="217"/>
      <c r="AK101" s="214"/>
      <c r="AL101" s="214"/>
      <c r="AM101" s="214"/>
      <c r="AN101" s="214"/>
      <c r="AO101" s="214"/>
    </row>
    <row r="102" spans="1:41" s="4" customFormat="1" ht="20" customHeight="1">
      <c r="A102" s="1385"/>
      <c r="B102" s="1361">
        <f>Skemaoplysninger!A76</f>
        <v>0</v>
      </c>
      <c r="C102" s="1362"/>
      <c r="D102" s="1362"/>
      <c r="E102" s="1362"/>
      <c r="F102" s="1362"/>
      <c r="G102" s="1362"/>
      <c r="H102" s="1363"/>
      <c r="I102" s="1364">
        <f>Skemaoplysninger!G76</f>
        <v>0</v>
      </c>
      <c r="J102" s="1363"/>
      <c r="K102" s="408">
        <f>Skemaoplysninger!I76</f>
        <v>0</v>
      </c>
      <c r="L102" s="228"/>
      <c r="M102" s="215"/>
      <c r="N102" s="215"/>
      <c r="O102" s="215"/>
      <c r="P102" s="215"/>
      <c r="Q102" s="215"/>
      <c r="R102" s="215"/>
      <c r="S102" s="215"/>
      <c r="T102" s="215"/>
      <c r="U102" s="215"/>
      <c r="V102" s="215"/>
      <c r="W102" s="215"/>
      <c r="X102" s="215"/>
      <c r="Y102" s="215"/>
      <c r="Z102" s="215"/>
      <c r="AA102" s="215"/>
      <c r="AB102" s="214"/>
      <c r="AC102" s="214"/>
      <c r="AD102" s="214"/>
      <c r="AE102" s="214"/>
      <c r="AG102" s="215"/>
      <c r="AH102" s="216"/>
      <c r="AI102" s="217"/>
      <c r="AJ102" s="217"/>
      <c r="AK102" s="214"/>
      <c r="AL102" s="214"/>
      <c r="AM102" s="214"/>
      <c r="AN102" s="214"/>
      <c r="AO102" s="214"/>
    </row>
    <row r="103" spans="1:41" s="4" customFormat="1" ht="20" customHeight="1">
      <c r="A103" s="1385"/>
      <c r="B103" s="1361">
        <f>Skemaoplysninger!A77</f>
        <v>0</v>
      </c>
      <c r="C103" s="1362"/>
      <c r="D103" s="1362"/>
      <c r="E103" s="1362"/>
      <c r="F103" s="1362"/>
      <c r="G103" s="1362"/>
      <c r="H103" s="1363"/>
      <c r="I103" s="1364">
        <f>Skemaoplysninger!G77</f>
        <v>0</v>
      </c>
      <c r="J103" s="1363"/>
      <c r="K103" s="408">
        <f>Skemaoplysninger!I77</f>
        <v>0</v>
      </c>
      <c r="L103" s="228"/>
      <c r="M103" s="215"/>
      <c r="N103" s="215"/>
      <c r="O103" s="215"/>
      <c r="P103" s="215"/>
      <c r="Q103" s="215"/>
      <c r="R103" s="215"/>
      <c r="S103" s="215"/>
      <c r="T103" s="215"/>
      <c r="U103" s="215"/>
      <c r="V103" s="215"/>
      <c r="W103" s="215"/>
      <c r="X103" s="215"/>
      <c r="Y103" s="215"/>
      <c r="Z103" s="215"/>
      <c r="AA103" s="215"/>
      <c r="AB103" s="214"/>
      <c r="AC103" s="214"/>
      <c r="AD103" s="214"/>
      <c r="AE103" s="214"/>
      <c r="AG103" s="215"/>
      <c r="AH103" s="216"/>
      <c r="AI103" s="217"/>
      <c r="AJ103" s="217"/>
      <c r="AK103" s="214"/>
      <c r="AL103" s="214"/>
      <c r="AM103" s="214"/>
      <c r="AN103" s="214"/>
      <c r="AO103" s="214"/>
    </row>
    <row r="104" spans="1:41" s="4" customFormat="1" ht="20" customHeight="1">
      <c r="A104" s="1385"/>
      <c r="B104" s="1361">
        <f>Skemaoplysninger!A78</f>
        <v>0</v>
      </c>
      <c r="C104" s="1362"/>
      <c r="D104" s="1362"/>
      <c r="E104" s="1362"/>
      <c r="F104" s="1362"/>
      <c r="G104" s="1362"/>
      <c r="H104" s="1363"/>
      <c r="I104" s="1364">
        <f>Skemaoplysninger!G78</f>
        <v>0</v>
      </c>
      <c r="J104" s="1363"/>
      <c r="K104" s="408">
        <f>Skemaoplysninger!I78</f>
        <v>0</v>
      </c>
      <c r="L104" s="228"/>
      <c r="M104" s="215"/>
      <c r="N104" s="215"/>
      <c r="O104" s="215"/>
      <c r="P104" s="215"/>
      <c r="Q104" s="215"/>
      <c r="R104" s="215"/>
      <c r="S104" s="215"/>
      <c r="T104" s="215"/>
      <c r="U104" s="215"/>
      <c r="V104" s="215"/>
      <c r="W104" s="215"/>
      <c r="X104" s="215"/>
      <c r="Y104" s="215"/>
      <c r="Z104" s="215"/>
      <c r="AA104" s="215"/>
      <c r="AB104" s="214"/>
      <c r="AC104" s="214"/>
      <c r="AD104" s="214"/>
      <c r="AE104" s="214"/>
      <c r="AG104" s="215"/>
      <c r="AH104" s="216"/>
      <c r="AI104" s="217"/>
      <c r="AJ104" s="217"/>
      <c r="AK104" s="214"/>
      <c r="AL104" s="214"/>
      <c r="AM104" s="214"/>
      <c r="AN104" s="214"/>
      <c r="AO104" s="214"/>
    </row>
    <row r="105" spans="1:41" s="4" customFormat="1" ht="20" customHeight="1">
      <c r="A105" s="1385"/>
      <c r="B105" s="1361">
        <f>Skemaoplysninger!A79</f>
        <v>0</v>
      </c>
      <c r="C105" s="1362"/>
      <c r="D105" s="1362"/>
      <c r="E105" s="1362"/>
      <c r="F105" s="1362"/>
      <c r="G105" s="1362"/>
      <c r="H105" s="1363"/>
      <c r="I105" s="1364">
        <f>Skemaoplysninger!G79</f>
        <v>0</v>
      </c>
      <c r="J105" s="1363"/>
      <c r="K105" s="408">
        <f>Skemaoplysninger!I79</f>
        <v>0</v>
      </c>
      <c r="L105" s="228"/>
      <c r="M105" s="215"/>
      <c r="N105" s="215"/>
      <c r="O105" s="215"/>
      <c r="P105" s="215"/>
      <c r="Q105" s="215"/>
      <c r="R105" s="215"/>
      <c r="S105" s="215"/>
      <c r="T105" s="215"/>
      <c r="U105" s="215"/>
      <c r="V105" s="215"/>
      <c r="W105" s="215"/>
      <c r="X105" s="215"/>
      <c r="Y105" s="215"/>
      <c r="Z105" s="215"/>
      <c r="AA105" s="215"/>
      <c r="AB105" s="214"/>
      <c r="AC105" s="214"/>
      <c r="AD105" s="214"/>
      <c r="AE105" s="214"/>
      <c r="AG105" s="215"/>
      <c r="AH105" s="216"/>
      <c r="AI105" s="217"/>
      <c r="AJ105" s="217"/>
      <c r="AK105" s="214"/>
      <c r="AL105" s="214"/>
      <c r="AM105" s="214"/>
      <c r="AN105" s="214"/>
      <c r="AO105" s="214"/>
    </row>
    <row r="106" spans="1:41" s="4" customFormat="1" ht="20" customHeight="1">
      <c r="A106" s="1385"/>
      <c r="B106" s="1361">
        <f>Skemaoplysninger!A80</f>
        <v>0</v>
      </c>
      <c r="C106" s="1362"/>
      <c r="D106" s="1362"/>
      <c r="E106" s="1362"/>
      <c r="F106" s="1362"/>
      <c r="G106" s="1362"/>
      <c r="H106" s="1363"/>
      <c r="I106" s="1364">
        <f>Skemaoplysninger!G80</f>
        <v>0</v>
      </c>
      <c r="J106" s="1363"/>
      <c r="K106" s="408">
        <f>Skemaoplysninger!I80</f>
        <v>0</v>
      </c>
      <c r="L106" s="228"/>
      <c r="M106" s="215"/>
      <c r="N106" s="215"/>
      <c r="O106" s="215"/>
      <c r="P106" s="215"/>
      <c r="Q106" s="215"/>
      <c r="R106" s="215"/>
      <c r="S106" s="215"/>
      <c r="T106" s="215"/>
      <c r="U106" s="215"/>
      <c r="V106" s="215"/>
      <c r="W106" s="215"/>
      <c r="X106" s="215"/>
      <c r="Y106" s="215"/>
      <c r="Z106" s="215"/>
      <c r="AA106" s="215"/>
      <c r="AB106" s="214"/>
      <c r="AC106" s="214"/>
      <c r="AD106" s="214"/>
      <c r="AE106" s="214"/>
      <c r="AG106" s="215"/>
      <c r="AH106" s="216"/>
      <c r="AI106" s="217"/>
      <c r="AJ106" s="217"/>
      <c r="AK106" s="214"/>
      <c r="AL106" s="214"/>
      <c r="AM106" s="214"/>
      <c r="AN106" s="214"/>
      <c r="AO106" s="214"/>
    </row>
    <row r="107" spans="1:41" s="4" customFormat="1" ht="20" customHeight="1">
      <c r="A107" s="1385"/>
      <c r="B107" s="1361">
        <f>Skemaoplysninger!A81</f>
        <v>0</v>
      </c>
      <c r="C107" s="1362"/>
      <c r="D107" s="1362"/>
      <c r="E107" s="1362"/>
      <c r="F107" s="1362"/>
      <c r="G107" s="1362"/>
      <c r="H107" s="1363"/>
      <c r="I107" s="1364">
        <f>Skemaoplysninger!G81</f>
        <v>0</v>
      </c>
      <c r="J107" s="1363"/>
      <c r="K107" s="408">
        <f>Skemaoplysninger!I81</f>
        <v>0</v>
      </c>
      <c r="L107" s="228"/>
      <c r="M107" s="215"/>
      <c r="N107" s="215"/>
      <c r="O107" s="215"/>
      <c r="P107" s="215"/>
      <c r="Q107" s="215"/>
      <c r="R107" s="215"/>
      <c r="S107" s="215"/>
      <c r="T107" s="215"/>
      <c r="U107" s="215"/>
      <c r="V107" s="215"/>
      <c r="W107" s="215"/>
      <c r="X107" s="215"/>
      <c r="Y107" s="215"/>
      <c r="Z107" s="215"/>
      <c r="AA107" s="215"/>
      <c r="AB107" s="214"/>
      <c r="AC107" s="214"/>
      <c r="AD107" s="214"/>
      <c r="AE107" s="214"/>
      <c r="AG107" s="215"/>
      <c r="AH107" s="216"/>
      <c r="AI107" s="217"/>
      <c r="AJ107" s="217"/>
      <c r="AK107" s="214"/>
      <c r="AL107" s="214"/>
      <c r="AM107" s="214"/>
      <c r="AN107" s="214"/>
      <c r="AO107" s="214"/>
    </row>
    <row r="108" spans="1:41" s="4" customFormat="1" ht="20" customHeight="1">
      <c r="A108" s="1385"/>
      <c r="B108" s="1361">
        <f>Skemaoplysninger!A82</f>
        <v>0</v>
      </c>
      <c r="C108" s="1362"/>
      <c r="D108" s="1362"/>
      <c r="E108" s="1362"/>
      <c r="F108" s="1362"/>
      <c r="G108" s="1362"/>
      <c r="H108" s="1363"/>
      <c r="I108" s="1364">
        <f>Skemaoplysninger!G82</f>
        <v>0</v>
      </c>
      <c r="J108" s="1363"/>
      <c r="K108" s="408">
        <f>Skemaoplysninger!I82</f>
        <v>0</v>
      </c>
      <c r="L108" s="228"/>
      <c r="M108" s="215"/>
      <c r="N108" s="215"/>
      <c r="O108" s="215"/>
      <c r="P108" s="215"/>
      <c r="Q108" s="215"/>
      <c r="R108" s="215"/>
      <c r="S108" s="215"/>
      <c r="T108" s="215"/>
      <c r="U108" s="215"/>
      <c r="V108" s="215"/>
      <c r="W108" s="215"/>
      <c r="X108" s="215"/>
      <c r="Y108" s="215"/>
      <c r="Z108" s="215"/>
      <c r="AA108" s="215"/>
      <c r="AB108" s="214"/>
      <c r="AC108" s="214"/>
      <c r="AD108" s="214"/>
      <c r="AE108" s="214"/>
      <c r="AG108" s="215"/>
      <c r="AH108" s="216"/>
      <c r="AI108" s="217"/>
      <c r="AJ108" s="217"/>
      <c r="AK108" s="214"/>
      <c r="AL108" s="214"/>
      <c r="AM108" s="214"/>
      <c r="AN108" s="214"/>
      <c r="AO108" s="214"/>
    </row>
    <row r="109" spans="1:41" s="4" customFormat="1" ht="20" customHeight="1">
      <c r="A109" s="1385"/>
      <c r="B109" s="1361">
        <f>Skemaoplysninger!A83</f>
        <v>0</v>
      </c>
      <c r="C109" s="1362"/>
      <c r="D109" s="1362"/>
      <c r="E109" s="1362"/>
      <c r="F109" s="1362"/>
      <c r="G109" s="1362"/>
      <c r="H109" s="1363"/>
      <c r="I109" s="1364">
        <f>Skemaoplysninger!G83</f>
        <v>0</v>
      </c>
      <c r="J109" s="1363"/>
      <c r="K109" s="408">
        <f>Skemaoplysninger!I83</f>
        <v>0</v>
      </c>
      <c r="L109" s="228"/>
      <c r="M109" s="215"/>
      <c r="N109" s="215"/>
      <c r="O109" s="215"/>
      <c r="P109" s="215"/>
      <c r="Q109" s="215"/>
      <c r="R109" s="215"/>
      <c r="S109" s="215"/>
      <c r="T109" s="215"/>
      <c r="U109" s="215"/>
      <c r="V109" s="215"/>
      <c r="W109" s="215"/>
      <c r="X109" s="215"/>
      <c r="Y109" s="215"/>
      <c r="Z109" s="215"/>
      <c r="AA109" s="215"/>
      <c r="AB109" s="214"/>
      <c r="AC109" s="214"/>
      <c r="AD109" s="214"/>
      <c r="AE109" s="214"/>
      <c r="AG109" s="215"/>
      <c r="AH109" s="216"/>
      <c r="AI109" s="217"/>
      <c r="AJ109" s="217"/>
      <c r="AK109" s="214"/>
      <c r="AL109" s="214"/>
      <c r="AM109" s="214"/>
      <c r="AN109" s="214"/>
      <c r="AO109" s="214"/>
    </row>
    <row r="110" spans="1:41" s="4" customFormat="1" ht="20" customHeight="1">
      <c r="A110" s="1385"/>
      <c r="B110" s="1361">
        <f>Skemaoplysninger!A84</f>
        <v>0</v>
      </c>
      <c r="C110" s="1362"/>
      <c r="D110" s="1362"/>
      <c r="E110" s="1362"/>
      <c r="F110" s="1362"/>
      <c r="G110" s="1362"/>
      <c r="H110" s="1363"/>
      <c r="I110" s="1364">
        <f>Skemaoplysninger!G84</f>
        <v>0</v>
      </c>
      <c r="J110" s="1363"/>
      <c r="K110" s="408">
        <f>Skemaoplysninger!I84</f>
        <v>0</v>
      </c>
      <c r="L110" s="228"/>
      <c r="M110" s="215"/>
      <c r="N110" s="215"/>
      <c r="O110" s="215"/>
      <c r="P110" s="215"/>
      <c r="Q110" s="215"/>
      <c r="R110" s="215"/>
      <c r="S110" s="215"/>
      <c r="T110" s="215"/>
      <c r="U110" s="215"/>
      <c r="V110" s="215"/>
      <c r="W110" s="215"/>
      <c r="X110" s="215"/>
      <c r="Y110" s="215"/>
      <c r="Z110" s="215"/>
      <c r="AA110" s="215"/>
      <c r="AB110" s="214"/>
      <c r="AC110" s="214"/>
      <c r="AD110" s="214"/>
      <c r="AE110" s="214"/>
      <c r="AG110" s="215"/>
      <c r="AH110" s="216"/>
      <c r="AI110" s="217"/>
      <c r="AJ110" s="217"/>
      <c r="AK110" s="214"/>
      <c r="AL110" s="214"/>
      <c r="AM110" s="214"/>
      <c r="AN110" s="214"/>
      <c r="AO110" s="214"/>
    </row>
    <row r="111" spans="1:41" s="4" customFormat="1" ht="20" customHeight="1">
      <c r="A111" s="1385"/>
      <c r="B111" s="1361">
        <f>Skemaoplysninger!A85</f>
        <v>0</v>
      </c>
      <c r="C111" s="1362"/>
      <c r="D111" s="1362"/>
      <c r="E111" s="1362"/>
      <c r="F111" s="1362"/>
      <c r="G111" s="1362"/>
      <c r="H111" s="1363"/>
      <c r="I111" s="1364">
        <f>Skemaoplysninger!G85</f>
        <v>0</v>
      </c>
      <c r="J111" s="1363"/>
      <c r="K111" s="408">
        <f>Skemaoplysninger!I85</f>
        <v>0</v>
      </c>
      <c r="L111" s="228"/>
      <c r="M111" s="215"/>
      <c r="N111" s="215"/>
      <c r="O111" s="215"/>
      <c r="P111" s="215"/>
      <c r="Q111" s="215"/>
      <c r="R111" s="215"/>
      <c r="S111" s="215"/>
      <c r="T111" s="215"/>
      <c r="U111" s="215"/>
      <c r="V111" s="215"/>
      <c r="W111" s="215"/>
      <c r="X111" s="215"/>
      <c r="Y111" s="215"/>
      <c r="Z111" s="215"/>
      <c r="AA111" s="215"/>
      <c r="AB111" s="214"/>
      <c r="AC111" s="214"/>
      <c r="AD111" s="214"/>
      <c r="AE111" s="214"/>
      <c r="AG111" s="215"/>
      <c r="AH111" s="216"/>
      <c r="AI111" s="217"/>
      <c r="AJ111" s="217"/>
      <c r="AK111" s="214"/>
      <c r="AL111" s="214"/>
      <c r="AM111" s="214"/>
      <c r="AN111" s="214"/>
      <c r="AO111" s="214"/>
    </row>
    <row r="112" spans="1:41" s="4" customFormat="1" ht="20" customHeight="1">
      <c r="A112" s="1385"/>
      <c r="B112" s="1361">
        <f>Skemaoplysninger!A86</f>
        <v>0</v>
      </c>
      <c r="C112" s="1362"/>
      <c r="D112" s="1362"/>
      <c r="E112" s="1362"/>
      <c r="F112" s="1362"/>
      <c r="G112" s="1362"/>
      <c r="H112" s="1363"/>
      <c r="I112" s="1364">
        <f>Skemaoplysninger!G86</f>
        <v>0</v>
      </c>
      <c r="J112" s="1363"/>
      <c r="K112" s="408">
        <f>Skemaoplysninger!I86</f>
        <v>0</v>
      </c>
      <c r="L112" s="228"/>
      <c r="M112" s="215"/>
      <c r="N112" s="215"/>
      <c r="O112" s="215"/>
      <c r="P112" s="215"/>
      <c r="Q112" s="215"/>
      <c r="R112" s="215"/>
      <c r="S112" s="215"/>
      <c r="T112" s="215"/>
      <c r="U112" s="215"/>
      <c r="V112" s="215"/>
      <c r="W112" s="215"/>
      <c r="X112" s="215"/>
      <c r="Y112" s="215"/>
      <c r="Z112" s="215"/>
      <c r="AA112" s="215"/>
      <c r="AB112" s="214"/>
      <c r="AC112" s="214"/>
      <c r="AD112" s="214"/>
      <c r="AE112" s="214"/>
      <c r="AG112" s="215"/>
      <c r="AH112" s="216"/>
      <c r="AI112" s="217"/>
      <c r="AJ112" s="217"/>
      <c r="AK112" s="214"/>
      <c r="AL112" s="214"/>
      <c r="AM112" s="214"/>
      <c r="AN112" s="214"/>
      <c r="AO112" s="214"/>
    </row>
    <row r="113" spans="1:41" s="4" customFormat="1" ht="20" customHeight="1">
      <c r="A113" s="1385"/>
      <c r="B113" s="1361">
        <f>Skemaoplysninger!A87</f>
        <v>0</v>
      </c>
      <c r="C113" s="1362"/>
      <c r="D113" s="1362"/>
      <c r="E113" s="1362"/>
      <c r="F113" s="1362"/>
      <c r="G113" s="1362"/>
      <c r="H113" s="1363"/>
      <c r="I113" s="1364">
        <f>Skemaoplysninger!G87</f>
        <v>0</v>
      </c>
      <c r="J113" s="1363"/>
      <c r="K113" s="408">
        <f>Skemaoplysninger!I87</f>
        <v>0</v>
      </c>
      <c r="L113" s="228"/>
      <c r="M113" s="215"/>
      <c r="N113" s="215"/>
      <c r="O113" s="215"/>
      <c r="P113" s="215"/>
      <c r="Q113" s="215"/>
      <c r="R113" s="215"/>
      <c r="S113" s="215"/>
      <c r="T113" s="215"/>
      <c r="U113" s="215"/>
      <c r="V113" s="215"/>
      <c r="W113" s="215"/>
      <c r="X113" s="215"/>
      <c r="Y113" s="215"/>
      <c r="Z113" s="215"/>
      <c r="AA113" s="215"/>
      <c r="AB113" s="214"/>
      <c r="AC113" s="214"/>
      <c r="AD113" s="214"/>
      <c r="AE113" s="214"/>
      <c r="AG113" s="215"/>
      <c r="AH113" s="216"/>
      <c r="AI113" s="217"/>
      <c r="AJ113" s="217"/>
      <c r="AK113" s="214"/>
      <c r="AL113" s="214"/>
      <c r="AM113" s="214"/>
      <c r="AN113" s="214"/>
      <c r="AO113" s="214"/>
    </row>
    <row r="114" spans="1:41" s="4" customFormat="1" ht="20" customHeight="1">
      <c r="A114" s="1385"/>
      <c r="B114" s="1361">
        <f>Skemaoplysninger!A88</f>
        <v>0</v>
      </c>
      <c r="C114" s="1362"/>
      <c r="D114" s="1362"/>
      <c r="E114" s="1362"/>
      <c r="F114" s="1362"/>
      <c r="G114" s="1362"/>
      <c r="H114" s="1363"/>
      <c r="I114" s="1364">
        <f>Skemaoplysninger!G88</f>
        <v>0</v>
      </c>
      <c r="J114" s="1363"/>
      <c r="K114" s="408">
        <f>Skemaoplysninger!I88</f>
        <v>0</v>
      </c>
      <c r="L114" s="228"/>
      <c r="M114" s="215"/>
      <c r="N114" s="215"/>
      <c r="O114" s="215"/>
      <c r="P114" s="215"/>
      <c r="Q114" s="215"/>
      <c r="R114" s="215"/>
      <c r="S114" s="215"/>
      <c r="T114" s="215"/>
      <c r="U114" s="215"/>
      <c r="V114" s="215"/>
      <c r="W114" s="215"/>
      <c r="X114" s="215"/>
      <c r="Y114" s="215"/>
      <c r="Z114" s="215"/>
      <c r="AA114" s="215"/>
      <c r="AB114" s="214"/>
      <c r="AC114" s="214"/>
      <c r="AD114" s="214"/>
      <c r="AE114" s="214"/>
      <c r="AG114" s="215"/>
      <c r="AH114" s="216"/>
      <c r="AI114" s="217"/>
      <c r="AJ114" s="217"/>
      <c r="AK114" s="214"/>
      <c r="AL114" s="214"/>
      <c r="AM114" s="214"/>
      <c r="AN114" s="214"/>
      <c r="AO114" s="214"/>
    </row>
    <row r="115" spans="1:41" s="4" customFormat="1" ht="20" customHeight="1">
      <c r="A115" s="1385"/>
      <c r="B115" s="1361">
        <f>Skemaoplysninger!A89</f>
        <v>0</v>
      </c>
      <c r="C115" s="1362"/>
      <c r="D115" s="1362"/>
      <c r="E115" s="1362"/>
      <c r="F115" s="1362"/>
      <c r="G115" s="1362"/>
      <c r="H115" s="1363"/>
      <c r="I115" s="1364">
        <f>Skemaoplysninger!G89</f>
        <v>0</v>
      </c>
      <c r="J115" s="1363"/>
      <c r="K115" s="408">
        <f>Skemaoplysninger!I89</f>
        <v>0</v>
      </c>
      <c r="L115" s="228"/>
      <c r="M115" s="215"/>
      <c r="N115" s="215"/>
      <c r="O115" s="215"/>
      <c r="P115" s="215"/>
      <c r="Q115" s="215"/>
      <c r="R115" s="215"/>
      <c r="S115" s="215"/>
      <c r="T115" s="215"/>
      <c r="U115" s="215"/>
      <c r="V115" s="215"/>
      <c r="W115" s="215"/>
      <c r="X115" s="215"/>
      <c r="Y115" s="215"/>
      <c r="Z115" s="215"/>
      <c r="AA115" s="215"/>
      <c r="AB115" s="214"/>
      <c r="AC115" s="214"/>
      <c r="AD115" s="214"/>
      <c r="AE115" s="214"/>
      <c r="AG115" s="215"/>
      <c r="AH115" s="216"/>
      <c r="AI115" s="217"/>
      <c r="AJ115" s="217"/>
      <c r="AK115" s="214"/>
      <c r="AL115" s="214"/>
      <c r="AM115" s="214"/>
      <c r="AN115" s="214"/>
      <c r="AO115" s="214"/>
    </row>
    <row r="116" spans="1:41" s="4" customFormat="1" ht="20" customHeight="1" thickBot="1">
      <c r="A116" s="1385"/>
      <c r="B116" s="1361">
        <f>Skemaoplysninger!A90</f>
        <v>0</v>
      </c>
      <c r="C116" s="1362"/>
      <c r="D116" s="1362"/>
      <c r="E116" s="1362"/>
      <c r="F116" s="1362"/>
      <c r="G116" s="1362"/>
      <c r="H116" s="1363"/>
      <c r="I116" s="1364">
        <f>Skemaoplysninger!G90</f>
        <v>0</v>
      </c>
      <c r="J116" s="1363"/>
      <c r="K116" s="408">
        <f>Skemaoplysninger!I90</f>
        <v>0</v>
      </c>
      <c r="L116" s="228"/>
      <c r="M116" s="215"/>
      <c r="N116" s="215"/>
      <c r="O116" s="215"/>
      <c r="P116" s="215"/>
      <c r="Q116" s="215"/>
      <c r="R116" s="215"/>
      <c r="S116" s="215"/>
      <c r="T116" s="215"/>
      <c r="U116" s="215"/>
      <c r="V116" s="215"/>
      <c r="W116" s="215"/>
      <c r="X116" s="215"/>
      <c r="Y116" s="215"/>
      <c r="Z116" s="215"/>
      <c r="AA116" s="215"/>
      <c r="AB116" s="214"/>
      <c r="AC116" s="214"/>
      <c r="AD116" s="214"/>
      <c r="AE116" s="214"/>
      <c r="AG116" s="215"/>
      <c r="AH116" s="216"/>
      <c r="AI116" s="217"/>
      <c r="AJ116" s="217"/>
      <c r="AK116" s="214"/>
      <c r="AL116" s="214"/>
      <c r="AM116" s="214"/>
      <c r="AN116" s="214"/>
      <c r="AO116" s="214"/>
    </row>
    <row r="117" spans="1:41" s="4" customFormat="1" ht="30" customHeight="1" thickBot="1">
      <c r="A117" s="1386"/>
      <c r="B117" s="1381" t="s">
        <v>240</v>
      </c>
      <c r="C117" s="1382"/>
      <c r="D117" s="1382"/>
      <c r="E117" s="1382"/>
      <c r="F117" s="1382"/>
      <c r="G117" s="1382"/>
      <c r="H117" s="1382"/>
      <c r="I117" s="1382"/>
      <c r="J117" s="1383"/>
      <c r="K117" s="409">
        <f>SUM(K72:K116)</f>
        <v>0</v>
      </c>
      <c r="L117" s="228"/>
      <c r="M117" s="215"/>
      <c r="N117" s="215"/>
      <c r="O117" s="215"/>
      <c r="P117" s="215"/>
      <c r="Q117" s="215"/>
      <c r="R117" s="215"/>
      <c r="S117" s="215"/>
      <c r="T117" s="215"/>
      <c r="U117" s="215"/>
      <c r="V117" s="215"/>
      <c r="W117" s="215"/>
      <c r="X117" s="215"/>
      <c r="Y117" s="215"/>
      <c r="Z117" s="215"/>
      <c r="AA117" s="215"/>
      <c r="AB117" s="214"/>
      <c r="AC117" s="214"/>
      <c r="AD117" s="214"/>
      <c r="AE117" s="214"/>
      <c r="AG117" s="215"/>
      <c r="AH117" s="216"/>
      <c r="AI117" s="217"/>
      <c r="AJ117" s="217"/>
      <c r="AK117" s="214"/>
      <c r="AL117" s="214"/>
      <c r="AM117" s="214"/>
      <c r="AN117" s="214"/>
      <c r="AO117" s="214"/>
    </row>
    <row r="119" spans="1:41" ht="19">
      <c r="A119" s="745"/>
      <c r="B119" s="745"/>
      <c r="C119" s="365" t="s">
        <v>345</v>
      </c>
    </row>
    <row r="120" spans="1:41" ht="19">
      <c r="A120" s="745"/>
      <c r="B120" s="745"/>
      <c r="C120" s="352" t="s">
        <v>444</v>
      </c>
    </row>
    <row r="121" spans="1:41" ht="19">
      <c r="A121" s="745"/>
      <c r="B121" s="745"/>
      <c r="C121" s="352" t="s">
        <v>349</v>
      </c>
    </row>
    <row r="122" spans="1:41" ht="19">
      <c r="A122" s="745"/>
      <c r="B122" s="745"/>
      <c r="C122" s="352" t="s">
        <v>346</v>
      </c>
    </row>
    <row r="123" spans="1:41" ht="19">
      <c r="A123" s="745"/>
      <c r="B123" s="745"/>
      <c r="C123" s="352"/>
    </row>
    <row r="124" spans="1:41" ht="19">
      <c r="A124" s="745"/>
      <c r="B124" s="745"/>
      <c r="C124" s="365" t="s">
        <v>347</v>
      </c>
    </row>
    <row r="125" spans="1:41" ht="19">
      <c r="A125" s="745"/>
      <c r="B125" s="745"/>
      <c r="C125" s="352" t="s">
        <v>350</v>
      </c>
    </row>
    <row r="126" spans="1:41" ht="19">
      <c r="A126" s="745"/>
      <c r="B126" s="745"/>
      <c r="C126" s="352"/>
    </row>
    <row r="127" spans="1:41" ht="19">
      <c r="A127" s="745"/>
      <c r="B127" s="745"/>
      <c r="C127" s="365" t="s">
        <v>348</v>
      </c>
    </row>
  </sheetData>
  <sheetProtection sheet="1" objects="1" scenarios="1"/>
  <mergeCells count="169">
    <mergeCell ref="I97:J97"/>
    <mergeCell ref="B53:K53"/>
    <mergeCell ref="B94:H94"/>
    <mergeCell ref="B95:H95"/>
    <mergeCell ref="B96:H96"/>
    <mergeCell ref="B97:H97"/>
    <mergeCell ref="I77:J77"/>
    <mergeCell ref="I78:J78"/>
    <mergeCell ref="I79:J79"/>
    <mergeCell ref="I80:J80"/>
    <mergeCell ref="I81:J81"/>
    <mergeCell ref="I82:J82"/>
    <mergeCell ref="I83:J83"/>
    <mergeCell ref="I84:J84"/>
    <mergeCell ref="I85:J85"/>
    <mergeCell ref="I86:J86"/>
    <mergeCell ref="I87:J87"/>
    <mergeCell ref="I88:J88"/>
    <mergeCell ref="I89:J89"/>
    <mergeCell ref="I90:J90"/>
    <mergeCell ref="I91:J91"/>
    <mergeCell ref="I92:J92"/>
    <mergeCell ref="I93:J93"/>
    <mergeCell ref="I94:J94"/>
    <mergeCell ref="A119:B127"/>
    <mergeCell ref="B105:H105"/>
    <mergeCell ref="I105:J105"/>
    <mergeCell ref="B106:H106"/>
    <mergeCell ref="I106:J106"/>
    <mergeCell ref="B107:H107"/>
    <mergeCell ref="I107:J107"/>
    <mergeCell ref="B108:H108"/>
    <mergeCell ref="I108:J108"/>
    <mergeCell ref="B109:H109"/>
    <mergeCell ref="I109:J109"/>
    <mergeCell ref="B110:H110"/>
    <mergeCell ref="I110:J110"/>
    <mergeCell ref="B111:H111"/>
    <mergeCell ref="B117:J117"/>
    <mergeCell ref="A23:A117"/>
    <mergeCell ref="B104:H104"/>
    <mergeCell ref="I95:J95"/>
    <mergeCell ref="I96:J96"/>
    <mergeCell ref="B85:H85"/>
    <mergeCell ref="B86:H86"/>
    <mergeCell ref="B87:H87"/>
    <mergeCell ref="B88:H88"/>
    <mergeCell ref="B89:H89"/>
    <mergeCell ref="B70:J70"/>
    <mergeCell ref="B54:K54"/>
    <mergeCell ref="B52:H52"/>
    <mergeCell ref="I52:J52"/>
    <mergeCell ref="B48:I48"/>
    <mergeCell ref="B49:I49"/>
    <mergeCell ref="B50:I50"/>
    <mergeCell ref="K23:K24"/>
    <mergeCell ref="C2:K2"/>
    <mergeCell ref="A2:B3"/>
    <mergeCell ref="B67:K67"/>
    <mergeCell ref="B68:K68"/>
    <mergeCell ref="B69:K69"/>
    <mergeCell ref="B62:K62"/>
    <mergeCell ref="B63:K63"/>
    <mergeCell ref="B64:K64"/>
    <mergeCell ref="B65:K65"/>
    <mergeCell ref="B66:K66"/>
    <mergeCell ref="B59:K59"/>
    <mergeCell ref="B60:K60"/>
    <mergeCell ref="B61:K61"/>
    <mergeCell ref="B51:J51"/>
    <mergeCell ref="B55:K55"/>
    <mergeCell ref="B56:K56"/>
    <mergeCell ref="I111:J111"/>
    <mergeCell ref="B112:H112"/>
    <mergeCell ref="I112:J112"/>
    <mergeCell ref="B113:H113"/>
    <mergeCell ref="I113:J113"/>
    <mergeCell ref="B71:H71"/>
    <mergeCell ref="I71:J71"/>
    <mergeCell ref="B72:H72"/>
    <mergeCell ref="I72:J72"/>
    <mergeCell ref="B73:H73"/>
    <mergeCell ref="I73:J73"/>
    <mergeCell ref="B74:H74"/>
    <mergeCell ref="I74:J74"/>
    <mergeCell ref="B75:H75"/>
    <mergeCell ref="I75:J75"/>
    <mergeCell ref="B102:H102"/>
    <mergeCell ref="I102:J102"/>
    <mergeCell ref="B103:H103"/>
    <mergeCell ref="I103:J103"/>
    <mergeCell ref="I104:J104"/>
    <mergeCell ref="B90:H90"/>
    <mergeCell ref="B91:H91"/>
    <mergeCell ref="B92:H92"/>
    <mergeCell ref="B93:H93"/>
    <mergeCell ref="B116:H116"/>
    <mergeCell ref="I116:J116"/>
    <mergeCell ref="B76:H76"/>
    <mergeCell ref="I76:J76"/>
    <mergeCell ref="B98:H98"/>
    <mergeCell ref="I98:J98"/>
    <mergeCell ref="B99:H99"/>
    <mergeCell ref="I99:J99"/>
    <mergeCell ref="B100:H100"/>
    <mergeCell ref="I100:J100"/>
    <mergeCell ref="B101:H101"/>
    <mergeCell ref="I101:J101"/>
    <mergeCell ref="B114:H114"/>
    <mergeCell ref="I114:J114"/>
    <mergeCell ref="B115:H115"/>
    <mergeCell ref="I115:J115"/>
    <mergeCell ref="B77:H77"/>
    <mergeCell ref="B78:H78"/>
    <mergeCell ref="B79:H79"/>
    <mergeCell ref="B80:H80"/>
    <mergeCell ref="B81:H81"/>
    <mergeCell ref="B82:H82"/>
    <mergeCell ref="B83:H83"/>
    <mergeCell ref="B84:H84"/>
    <mergeCell ref="B57:K57"/>
    <mergeCell ref="B58:K58"/>
    <mergeCell ref="L23:L27"/>
    <mergeCell ref="B23:I23"/>
    <mergeCell ref="B24:I24"/>
    <mergeCell ref="B25:I25"/>
    <mergeCell ref="B27:I27"/>
    <mergeCell ref="B28:I28"/>
    <mergeCell ref="B29:I29"/>
    <mergeCell ref="K25:K27"/>
    <mergeCell ref="J23:J27"/>
    <mergeCell ref="B26:I26"/>
    <mergeCell ref="B30:I30"/>
    <mergeCell ref="B31:I31"/>
    <mergeCell ref="B32:I32"/>
    <mergeCell ref="B33:I33"/>
    <mergeCell ref="B34:I34"/>
    <mergeCell ref="B35:I35"/>
    <mergeCell ref="B36:I36"/>
    <mergeCell ref="B37:I37"/>
    <mergeCell ref="B38:I38"/>
    <mergeCell ref="B39:I39"/>
    <mergeCell ref="B40:I40"/>
    <mergeCell ref="B41:I41"/>
    <mergeCell ref="B42:I42"/>
    <mergeCell ref="B43:I43"/>
    <mergeCell ref="B44:I44"/>
    <mergeCell ref="B45:I45"/>
    <mergeCell ref="B46:I46"/>
    <mergeCell ref="B47:I47"/>
    <mergeCell ref="B17:I17"/>
    <mergeCell ref="B18:I18"/>
    <mergeCell ref="B19:I19"/>
    <mergeCell ref="B20:I20"/>
    <mergeCell ref="B21:I21"/>
    <mergeCell ref="A4:A21"/>
    <mergeCell ref="C1:K1"/>
    <mergeCell ref="B4:J4"/>
    <mergeCell ref="B5:J5"/>
    <mergeCell ref="B7:I7"/>
    <mergeCell ref="B8:I8"/>
    <mergeCell ref="B9:I9"/>
    <mergeCell ref="B10:I10"/>
    <mergeCell ref="B12:I12"/>
    <mergeCell ref="B13:I13"/>
    <mergeCell ref="B14:I14"/>
    <mergeCell ref="B15:I15"/>
    <mergeCell ref="B16:I16"/>
    <mergeCell ref="C3:K3"/>
  </mergeCells>
  <phoneticPr fontId="5" type="noConversion"/>
  <conditionalFormatting sqref="J28:J50">
    <cfRule type="expression" dxfId="381" priority="5" stopIfTrue="1">
      <formula>OR($B28&gt;0,)</formula>
    </cfRule>
  </conditionalFormatting>
  <conditionalFormatting sqref="K28:K50">
    <cfRule type="expression" dxfId="380" priority="1">
      <formula>OR($B28&gt;0,)</formula>
    </cfRule>
  </conditionalFormatting>
  <dataValidations count="1">
    <dataValidation type="list" allowBlank="1" showInputMessage="1" showErrorMessage="1" sqref="J28:J50" xr:uid="{9B0B7AB1-DE44-CF47-BD1F-E8E46542A039}">
      <formula1>$M$23:$M$24</formula1>
    </dataValidation>
  </dataValidations>
  <pageMargins left="0.7" right="0.7" top="0.75" bottom="0.75" header="0.3" footer="0.3"/>
  <pageSetup paperSize="9" scale="36"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59"/>
  <sheetViews>
    <sheetView topLeftCell="A39" zoomScaleNormal="100" workbookViewId="0">
      <selection activeCell="D12" sqref="D12"/>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19" customHeight="1">
      <c r="A1" s="1390" t="s">
        <v>372</v>
      </c>
      <c r="B1" s="1421" t="s">
        <v>508</v>
      </c>
      <c r="C1" s="1407"/>
      <c r="D1" s="1407"/>
      <c r="E1" s="1407"/>
      <c r="F1" s="1407"/>
      <c r="G1" s="1407"/>
      <c r="H1" s="1407"/>
      <c r="I1" s="1407"/>
      <c r="J1" s="1407"/>
      <c r="K1" s="1422"/>
    </row>
    <row r="2" spans="1:11" ht="20" customHeight="1" thickBot="1">
      <c r="A2" s="1391"/>
      <c r="B2" s="1423" t="str">
        <f>"Arbejdstidsopgørelse for "&amp;Stamoplysninger!E8&amp;" vedr. perioden: "&amp;Stamoplysninger!E11&amp;" - "&amp;Stamoplysninger!G11&amp;""</f>
        <v xml:space="preserve">Arbejdstidsopgørelse for  vedr. perioden:  - </v>
      </c>
      <c r="C2" s="1399"/>
      <c r="D2" s="1399"/>
      <c r="E2" s="1399"/>
      <c r="F2" s="1399"/>
      <c r="G2" s="1399"/>
      <c r="H2" s="1399"/>
      <c r="I2" s="1399"/>
      <c r="J2" s="1399"/>
      <c r="K2" s="1400"/>
    </row>
    <row r="3" spans="1:11" ht="20" customHeight="1" thickBot="1">
      <c r="A3" s="1391"/>
      <c r="B3" s="487"/>
      <c r="C3" s="1398" t="s">
        <v>501</v>
      </c>
      <c r="D3" s="1398"/>
      <c r="E3" s="1398"/>
      <c r="F3" s="1399" t="s">
        <v>502</v>
      </c>
      <c r="G3" s="1399"/>
      <c r="H3" s="1400"/>
      <c r="I3" s="1399" t="s">
        <v>503</v>
      </c>
      <c r="J3" s="1399"/>
      <c r="K3" s="1400"/>
    </row>
    <row r="4" spans="1:11" ht="35" customHeight="1">
      <c r="A4" s="1391"/>
      <c r="B4" s="277"/>
      <c r="C4" s="278" t="s">
        <v>300</v>
      </c>
      <c r="D4" s="278" t="s">
        <v>214</v>
      </c>
      <c r="E4" s="278" t="s">
        <v>331</v>
      </c>
      <c r="F4" s="283" t="s">
        <v>314</v>
      </c>
      <c r="G4" s="284" t="s">
        <v>315</v>
      </c>
      <c r="H4" s="285" t="s">
        <v>332</v>
      </c>
      <c r="I4" s="283" t="s">
        <v>504</v>
      </c>
      <c r="J4" s="284" t="s">
        <v>505</v>
      </c>
      <c r="K4" s="285" t="s">
        <v>506</v>
      </c>
    </row>
    <row r="5" spans="1:11" ht="16" customHeight="1">
      <c r="A5" s="1391"/>
      <c r="B5" s="279" t="s">
        <v>234</v>
      </c>
      <c r="C5" s="246">
        <f>August!I47</f>
        <v>147.37624521072797</v>
      </c>
      <c r="D5" s="281">
        <f>August!I48+August!I50+August!I49</f>
        <v>0</v>
      </c>
      <c r="E5" s="281">
        <f>August!I52</f>
        <v>0</v>
      </c>
      <c r="F5" s="286">
        <f>August!V47</f>
        <v>0</v>
      </c>
      <c r="G5" s="247">
        <f>SUM(August!V50:X53)</f>
        <v>0</v>
      </c>
      <c r="H5" s="249">
        <f>F5-G5</f>
        <v>0</v>
      </c>
      <c r="I5" s="286">
        <f>August!I55</f>
        <v>0</v>
      </c>
      <c r="J5" s="246">
        <f>SUM(August!I58:K61)</f>
        <v>0</v>
      </c>
      <c r="K5" s="249">
        <f>I5-J5</f>
        <v>0</v>
      </c>
    </row>
    <row r="6" spans="1:11" ht="16" customHeight="1">
      <c r="A6" s="1391"/>
      <c r="B6" s="280" t="s">
        <v>236</v>
      </c>
      <c r="C6" s="248">
        <f>September!I45</f>
        <v>154.80459770114942</v>
      </c>
      <c r="D6" s="282">
        <f>September!I46+September!I48+September!I47</f>
        <v>0</v>
      </c>
      <c r="E6" s="282">
        <f>September!I50</f>
        <v>0</v>
      </c>
      <c r="F6" s="287">
        <f>September!V43</f>
        <v>0</v>
      </c>
      <c r="G6" s="2">
        <f>SUM(September!V48:X51)</f>
        <v>0</v>
      </c>
      <c r="H6" s="250">
        <f>H5+F6-G6</f>
        <v>0</v>
      </c>
      <c r="I6" s="287">
        <f>September!I53+September!I54</f>
        <v>0</v>
      </c>
      <c r="J6" s="248">
        <f>SUM(September!I57:K60)</f>
        <v>0</v>
      </c>
      <c r="K6" s="250">
        <f t="shared" ref="K6:K16" si="0">I6-J6</f>
        <v>0</v>
      </c>
    </row>
    <row r="7" spans="1:11" ht="16" customHeight="1">
      <c r="A7" s="1391"/>
      <c r="B7" s="279" t="s">
        <v>237</v>
      </c>
      <c r="C7" s="246">
        <f>Oktober!I46</f>
        <v>132.54789272030652</v>
      </c>
      <c r="D7" s="281">
        <f>Oktober!I47+Oktober!I49+Oktober!I48</f>
        <v>0</v>
      </c>
      <c r="E7" s="281">
        <f>Oktober!I51</f>
        <v>0</v>
      </c>
      <c r="F7" s="286">
        <f>Oktober!V44</f>
        <v>0</v>
      </c>
      <c r="G7" s="247">
        <f>SUM(Oktober!V49:X52)</f>
        <v>0</v>
      </c>
      <c r="H7" s="334">
        <f t="shared" ref="H7:H16" si="1">H6+F7-G7</f>
        <v>0</v>
      </c>
      <c r="I7" s="286">
        <f>Oktober!I54+Oktober!I55</f>
        <v>0</v>
      </c>
      <c r="J7" s="246">
        <f>SUM(Oktober!I58:K61)</f>
        <v>0</v>
      </c>
      <c r="K7" s="249">
        <f>I7-J7</f>
        <v>0</v>
      </c>
    </row>
    <row r="8" spans="1:11" ht="16" customHeight="1">
      <c r="A8" s="1391"/>
      <c r="B8" s="280" t="s">
        <v>238</v>
      </c>
      <c r="C8" s="248">
        <f>November!I45</f>
        <v>154.80459770114942</v>
      </c>
      <c r="D8" s="282">
        <f>November!I46+November!I48+November!I47</f>
        <v>0</v>
      </c>
      <c r="E8" s="282">
        <f>November!I50</f>
        <v>0</v>
      </c>
      <c r="F8" s="287">
        <f>November!V43</f>
        <v>0</v>
      </c>
      <c r="G8" s="2">
        <f>SUM(November!V48:X51)</f>
        <v>0</v>
      </c>
      <c r="H8" s="250">
        <f t="shared" si="1"/>
        <v>0</v>
      </c>
      <c r="I8" s="287">
        <f>November!I53+November!I54</f>
        <v>0</v>
      </c>
      <c r="J8" s="248">
        <f>SUM(November!I57:K60)</f>
        <v>0</v>
      </c>
      <c r="K8" s="250">
        <f t="shared" si="0"/>
        <v>0</v>
      </c>
    </row>
    <row r="9" spans="1:11" ht="16" customHeight="1">
      <c r="A9" s="1391"/>
      <c r="B9" s="279" t="s">
        <v>282</v>
      </c>
      <c r="C9" s="246">
        <f>December!I46</f>
        <v>147.37624521072797</v>
      </c>
      <c r="D9" s="281">
        <f>December!I47+December!I49+December!I48</f>
        <v>0</v>
      </c>
      <c r="E9" s="281">
        <f>December!I51</f>
        <v>0</v>
      </c>
      <c r="F9" s="286">
        <f>December!V44</f>
        <v>0</v>
      </c>
      <c r="G9" s="247">
        <f>SUM(December!V49:X52)</f>
        <v>0</v>
      </c>
      <c r="H9" s="334">
        <f t="shared" si="1"/>
        <v>0</v>
      </c>
      <c r="I9" s="286">
        <f>December!I54+December!I55</f>
        <v>0</v>
      </c>
      <c r="J9" s="246">
        <f>SUM(December!I58:K61)</f>
        <v>0</v>
      </c>
      <c r="K9" s="249">
        <f t="shared" si="0"/>
        <v>0</v>
      </c>
    </row>
    <row r="10" spans="1:11" ht="16" customHeight="1">
      <c r="A10" s="1391"/>
      <c r="B10" s="280" t="s">
        <v>283</v>
      </c>
      <c r="C10" s="248">
        <f>Januar!I46</f>
        <v>162.14789272030652</v>
      </c>
      <c r="D10" s="282">
        <f>Januar!I47+Januar!I49+Januar!I48</f>
        <v>0</v>
      </c>
      <c r="E10" s="282">
        <f>Januar!I51</f>
        <v>0</v>
      </c>
      <c r="F10" s="287">
        <f>Januar!V44</f>
        <v>0</v>
      </c>
      <c r="G10" s="2">
        <f>SUM(Januar!V49:X52)</f>
        <v>0</v>
      </c>
      <c r="H10" s="250">
        <f t="shared" si="1"/>
        <v>0</v>
      </c>
      <c r="I10" s="287">
        <f>Januar!I54+Januar!I55</f>
        <v>0</v>
      </c>
      <c r="J10" s="248">
        <f>SUM(Januar!I58:K61)</f>
        <v>0</v>
      </c>
      <c r="K10" s="250">
        <f t="shared" si="0"/>
        <v>0</v>
      </c>
    </row>
    <row r="11" spans="1:11" ht="16" customHeight="1">
      <c r="A11" s="1391"/>
      <c r="B11" s="279" t="s">
        <v>284</v>
      </c>
      <c r="C11" s="246">
        <f>Februar!I44</f>
        <v>147.43295019157088</v>
      </c>
      <c r="D11" s="281">
        <f>Februar!I45+Februar!I47+Februar!I46</f>
        <v>0</v>
      </c>
      <c r="E11" s="281">
        <f>Februar!I49</f>
        <v>0</v>
      </c>
      <c r="F11" s="286">
        <f>Februar!V42</f>
        <v>0</v>
      </c>
      <c r="G11" s="247">
        <f>SUM(Februar!V47:X50)</f>
        <v>0</v>
      </c>
      <c r="H11" s="334">
        <f t="shared" si="1"/>
        <v>0</v>
      </c>
      <c r="I11" s="286">
        <f>Februar!I52+Februar!I53</f>
        <v>0</v>
      </c>
      <c r="J11" s="246">
        <f>SUM(Februar!I56:K59)</f>
        <v>0</v>
      </c>
      <c r="K11" s="249">
        <f t="shared" si="0"/>
        <v>0</v>
      </c>
    </row>
    <row r="12" spans="1:11" ht="16" customHeight="1">
      <c r="A12" s="1391"/>
      <c r="B12" s="280" t="s">
        <v>285</v>
      </c>
      <c r="C12" s="248">
        <f>Marts!I46</f>
        <v>154.80459770114942</v>
      </c>
      <c r="D12" s="282">
        <f>Marts!I47+Marts!I49+Marts!I48</f>
        <v>0</v>
      </c>
      <c r="E12" s="282">
        <f>Marts!I51</f>
        <v>0</v>
      </c>
      <c r="F12" s="287">
        <f>Marts!V44</f>
        <v>0</v>
      </c>
      <c r="G12" s="2">
        <f>SUM(Marts!V49:X52)</f>
        <v>0</v>
      </c>
      <c r="H12" s="250">
        <f t="shared" si="1"/>
        <v>0</v>
      </c>
      <c r="I12" s="287">
        <f>Marts!I54+Marts!I55</f>
        <v>0</v>
      </c>
      <c r="J12" s="248">
        <f>SUM(Marts!I58:K61)</f>
        <v>0</v>
      </c>
      <c r="K12" s="250">
        <f t="shared" si="0"/>
        <v>0</v>
      </c>
    </row>
    <row r="13" spans="1:11" ht="16" customHeight="1">
      <c r="A13" s="1391"/>
      <c r="B13" s="279" t="s">
        <v>286</v>
      </c>
      <c r="C13" s="246">
        <f>April!I45</f>
        <v>139.976245210728</v>
      </c>
      <c r="D13" s="281">
        <f>April!I46+April!I48+April!I47</f>
        <v>0</v>
      </c>
      <c r="E13" s="281">
        <f>April!I50</f>
        <v>0</v>
      </c>
      <c r="F13" s="286">
        <f>April!V43</f>
        <v>0</v>
      </c>
      <c r="G13" s="247">
        <f>SUM(April!V48:X51)</f>
        <v>0</v>
      </c>
      <c r="H13" s="334">
        <f t="shared" si="1"/>
        <v>0</v>
      </c>
      <c r="I13" s="286">
        <f>April!I53+April!I54</f>
        <v>0</v>
      </c>
      <c r="J13" s="246">
        <f>SUM(April!I57:K60)</f>
        <v>0</v>
      </c>
      <c r="K13" s="249">
        <f t="shared" si="0"/>
        <v>0</v>
      </c>
    </row>
    <row r="14" spans="1:11" ht="16" customHeight="1">
      <c r="A14" s="1391"/>
      <c r="B14" s="280" t="s">
        <v>287</v>
      </c>
      <c r="C14" s="248">
        <f>Maj!I46</f>
        <v>154.77624521072798</v>
      </c>
      <c r="D14" s="282">
        <f>Maj!I47+Maj!I49++Maj!I48</f>
        <v>0</v>
      </c>
      <c r="E14" s="282">
        <f>Maj!I51</f>
        <v>0</v>
      </c>
      <c r="F14" s="287">
        <f>Maj!V44</f>
        <v>0</v>
      </c>
      <c r="G14" s="2">
        <f>SUM(Maj!V49:X52)</f>
        <v>0</v>
      </c>
      <c r="H14" s="250">
        <f t="shared" si="1"/>
        <v>0</v>
      </c>
      <c r="I14" s="287">
        <f>Maj!I54+Maj!I55</f>
        <v>0</v>
      </c>
      <c r="J14" s="248">
        <f>SUM(Maj!I58:K61)</f>
        <v>0</v>
      </c>
      <c r="K14" s="250">
        <f t="shared" si="0"/>
        <v>0</v>
      </c>
    </row>
    <row r="15" spans="1:11" ht="16" customHeight="1">
      <c r="A15" s="1391"/>
      <c r="B15" s="279" t="s">
        <v>288</v>
      </c>
      <c r="C15" s="246">
        <f>Juni!I45</f>
        <v>147.40459770114941</v>
      </c>
      <c r="D15" s="281">
        <f>Juni!I46+Juni!I48+Juni!I47</f>
        <v>0</v>
      </c>
      <c r="E15" s="281">
        <f>Juni!I50</f>
        <v>0</v>
      </c>
      <c r="F15" s="286">
        <f>Juni!V43</f>
        <v>0</v>
      </c>
      <c r="G15" s="247">
        <f>SUM(Juni!V48:X51)</f>
        <v>0</v>
      </c>
      <c r="H15" s="334">
        <f t="shared" si="1"/>
        <v>0</v>
      </c>
      <c r="I15" s="286">
        <f>Juni!I53+Juni!I54</f>
        <v>0</v>
      </c>
      <c r="J15" s="246">
        <f>SUM(Juni!I57:K60)</f>
        <v>0</v>
      </c>
      <c r="K15" s="249">
        <f t="shared" si="0"/>
        <v>0</v>
      </c>
    </row>
    <row r="16" spans="1:11" ht="17" customHeight="1" thickBot="1">
      <c r="A16" s="1391"/>
      <c r="B16" s="288" t="s">
        <v>289</v>
      </c>
      <c r="C16" s="289">
        <f>Juli!I46</f>
        <v>36.347892720306504</v>
      </c>
      <c r="D16" s="290">
        <f>Juli!I47+Juli!I49+Juli!I48</f>
        <v>0</v>
      </c>
      <c r="E16" s="290">
        <f>Juli!I51</f>
        <v>0</v>
      </c>
      <c r="F16" s="291">
        <f>Juli!V44</f>
        <v>0</v>
      </c>
      <c r="G16" s="292">
        <f>SUM(Juli!V49:X52)</f>
        <v>0</v>
      </c>
      <c r="H16" s="332">
        <f t="shared" si="1"/>
        <v>0</v>
      </c>
      <c r="I16" s="291">
        <f>Juli!I54+Juli!I55</f>
        <v>0</v>
      </c>
      <c r="J16" s="289">
        <f>SUM(Juli!I58:K61)</f>
        <v>0</v>
      </c>
      <c r="K16" s="250">
        <f t="shared" si="0"/>
        <v>0</v>
      </c>
    </row>
    <row r="17" spans="1:11" ht="17" customHeight="1" thickBot="1">
      <c r="A17" s="1391"/>
      <c r="B17" s="376" t="s">
        <v>161</v>
      </c>
      <c r="C17" s="377">
        <f>SUM(C5:C16)</f>
        <v>1679.7999999999997</v>
      </c>
      <c r="D17" s="377">
        <f>SUM(D5:D16)</f>
        <v>0</v>
      </c>
      <c r="E17" s="378">
        <f>SUM(E5:E16)</f>
        <v>0</v>
      </c>
      <c r="F17" s="379">
        <f>SUM(F5:F16)</f>
        <v>0</v>
      </c>
      <c r="G17" s="379">
        <f>SUM(G5:G16)</f>
        <v>0</v>
      </c>
      <c r="H17" s="380">
        <f>H16</f>
        <v>0</v>
      </c>
      <c r="I17" s="1424" t="str">
        <f>"Særlige feriedage optjent "&amp;August!A7-1&amp;" skal afvikles 1. maj "&amp;August!A7&amp;" - 30. april "&amp;August!A7+1&amp;". Ledelsen må pr. 1. januar "&amp;August!A7+1&amp;" varsle de særlige feriedage der ikke er afholdt eller planlagt til afholdelse inden d. 30. april "&amp;August!A7+1&amp;" med 30 dages varsel. "</f>
        <v xml:space="preserve">Særlige feriedage optjent 2023 skal afvikles 1. maj 2024 - 30. april 2025. Ledelsen må pr. 1. januar 2025 varsle de særlige feriedage der ikke er afholdt eller planlagt til afholdelse inden d. 30. april 2025 med 30 dages varsel. </v>
      </c>
      <c r="J17" s="1425"/>
      <c r="K17" s="1426"/>
    </row>
    <row r="18" spans="1:11">
      <c r="A18" s="1391"/>
      <c r="B18" s="1394" t="s">
        <v>354</v>
      </c>
      <c r="C18" s="1395"/>
      <c r="D18" s="1395"/>
      <c r="E18" s="372">
        <f>IF(C17&gt;E17,(E17-C17),0)</f>
        <v>-1679.7999999999997</v>
      </c>
      <c r="F18" s="1396"/>
      <c r="G18" s="1396"/>
      <c r="H18" s="1397"/>
      <c r="I18" s="1427"/>
      <c r="J18" s="1428"/>
      <c r="K18" s="1429"/>
    </row>
    <row r="19" spans="1:11">
      <c r="A19" s="1391"/>
      <c r="B19" s="1438" t="s">
        <v>356</v>
      </c>
      <c r="C19" s="1393"/>
      <c r="D19" s="1393"/>
      <c r="E19" s="246">
        <f>IF(E17&gt;C17,(E17-C17),0)</f>
        <v>0</v>
      </c>
      <c r="F19" s="1393"/>
      <c r="G19" s="1393"/>
      <c r="H19" s="1439"/>
      <c r="I19" s="1427"/>
      <c r="J19" s="1428"/>
      <c r="K19" s="1429"/>
    </row>
    <row r="20" spans="1:11" ht="17" thickBot="1">
      <c r="A20" s="1392"/>
      <c r="B20" s="1440" t="s">
        <v>355</v>
      </c>
      <c r="C20" s="1441"/>
      <c r="D20" s="1441"/>
      <c r="E20" s="1441"/>
      <c r="F20" s="1441"/>
      <c r="G20" s="1441"/>
      <c r="H20" s="373">
        <f>IF(H17&gt;0,H17,0)</f>
        <v>0</v>
      </c>
      <c r="I20" s="1430"/>
      <c r="J20" s="1431"/>
      <c r="K20" s="1432"/>
    </row>
    <row r="21" spans="1:11" ht="17" thickBot="1">
      <c r="E21" s="1"/>
    </row>
    <row r="22" spans="1:11" ht="21">
      <c r="A22" s="1402" t="s">
        <v>389</v>
      </c>
      <c r="B22" s="1406" t="s">
        <v>394</v>
      </c>
      <c r="C22" s="1407"/>
      <c r="D22" s="1407"/>
      <c r="E22" s="1407"/>
      <c r="F22" s="1413" t="s">
        <v>395</v>
      </c>
      <c r="G22" s="1409"/>
      <c r="H22" s="1410"/>
      <c r="I22" s="1413" t="s">
        <v>507</v>
      </c>
      <c r="J22" s="1409"/>
      <c r="K22" s="1410"/>
    </row>
    <row r="23" spans="1:11" ht="52">
      <c r="A23" s="1403"/>
      <c r="B23" s="416"/>
      <c r="C23" s="417" t="str">
        <f t="shared" ref="C23:K23" si="2">C4</f>
        <v>Nettoarbejdstid</v>
      </c>
      <c r="D23" s="417" t="str">
        <f t="shared" si="2"/>
        <v>Planlagt arbejdstid</v>
      </c>
      <c r="E23" s="417" t="str">
        <f t="shared" si="2"/>
        <v>Faktisk arbejdstid(uden afspadsering)</v>
      </c>
      <c r="F23" s="419" t="str">
        <f t="shared" si="2"/>
        <v>Afspadseringstimer optjent</v>
      </c>
      <c r="G23" s="420" t="str">
        <f t="shared" si="2"/>
        <v>Afspadseringstimer afholdt</v>
      </c>
      <c r="H23" s="421" t="str">
        <f t="shared" si="2"/>
        <v>Afspadseringstimer saldo</v>
      </c>
      <c r="I23" s="419" t="str">
        <f t="shared" si="2"/>
        <v>Særlige feriedage primo</v>
      </c>
      <c r="J23" s="420" t="str">
        <f t="shared" si="2"/>
        <v>Særlige feriedage afholdt</v>
      </c>
      <c r="K23" s="421" t="str">
        <f t="shared" si="2"/>
        <v>Særlige feriedage rest</v>
      </c>
    </row>
    <row r="24" spans="1:11">
      <c r="A24" s="1404"/>
      <c r="B24" s="247" t="s">
        <v>234</v>
      </c>
      <c r="C24" s="246">
        <f t="shared" ref="C24:K24" si="3">C5</f>
        <v>147.37624521072797</v>
      </c>
      <c r="D24" s="246">
        <f t="shared" si="3"/>
        <v>0</v>
      </c>
      <c r="E24" s="281">
        <f t="shared" si="3"/>
        <v>0</v>
      </c>
      <c r="F24" s="422">
        <f t="shared" si="3"/>
        <v>0</v>
      </c>
      <c r="G24" s="249">
        <f t="shared" si="3"/>
        <v>0</v>
      </c>
      <c r="H24" s="249">
        <f t="shared" si="3"/>
        <v>0</v>
      </c>
      <c r="I24" s="422">
        <f t="shared" si="3"/>
        <v>0</v>
      </c>
      <c r="J24" s="249">
        <f t="shared" si="3"/>
        <v>0</v>
      </c>
      <c r="K24" s="249">
        <f t="shared" si="3"/>
        <v>0</v>
      </c>
    </row>
    <row r="25" spans="1:11">
      <c r="A25" s="1404"/>
      <c r="B25" s="2" t="s">
        <v>236</v>
      </c>
      <c r="C25" s="248">
        <f t="shared" ref="C25:E26" si="4">C6</f>
        <v>154.80459770114942</v>
      </c>
      <c r="D25" s="248">
        <f t="shared" si="4"/>
        <v>0</v>
      </c>
      <c r="E25" s="282">
        <f t="shared" si="4"/>
        <v>0</v>
      </c>
      <c r="F25" s="423">
        <f t="shared" ref="F25:K26" si="5">F6</f>
        <v>0</v>
      </c>
      <c r="G25" s="250">
        <f t="shared" si="5"/>
        <v>0</v>
      </c>
      <c r="H25" s="250">
        <f t="shared" si="5"/>
        <v>0</v>
      </c>
      <c r="I25" s="423">
        <f t="shared" si="5"/>
        <v>0</v>
      </c>
      <c r="J25" s="250">
        <f t="shared" si="5"/>
        <v>0</v>
      </c>
      <c r="K25" s="250">
        <f t="shared" si="5"/>
        <v>0</v>
      </c>
    </row>
    <row r="26" spans="1:11">
      <c r="A26" s="1404"/>
      <c r="B26" s="247" t="s">
        <v>237</v>
      </c>
      <c r="C26" s="246">
        <f t="shared" si="4"/>
        <v>132.54789272030652</v>
      </c>
      <c r="D26" s="246">
        <f t="shared" si="4"/>
        <v>0</v>
      </c>
      <c r="E26" s="281">
        <f t="shared" si="4"/>
        <v>0</v>
      </c>
      <c r="F26" s="422">
        <f t="shared" si="5"/>
        <v>0</v>
      </c>
      <c r="G26" s="249">
        <f t="shared" si="5"/>
        <v>0</v>
      </c>
      <c r="H26" s="249">
        <f t="shared" si="5"/>
        <v>0</v>
      </c>
      <c r="I26" s="422">
        <f t="shared" si="5"/>
        <v>0</v>
      </c>
      <c r="J26" s="249">
        <f t="shared" si="5"/>
        <v>0</v>
      </c>
      <c r="K26" s="249">
        <f t="shared" si="5"/>
        <v>0</v>
      </c>
    </row>
    <row r="27" spans="1:11" ht="17" thickBot="1">
      <c r="A27" s="1404"/>
      <c r="B27" s="412" t="s">
        <v>387</v>
      </c>
      <c r="C27" s="413">
        <f>SUM(C24:C26)</f>
        <v>434.72873563218388</v>
      </c>
      <c r="D27" s="413">
        <f>SUM(D24:D26)</f>
        <v>0</v>
      </c>
      <c r="E27" s="418">
        <f>SUM(E24:E26)</f>
        <v>0</v>
      </c>
      <c r="F27" s="424">
        <f>SUM(F24:F26)</f>
        <v>0</v>
      </c>
      <c r="G27" s="425">
        <f>SUM(G24:G26)</f>
        <v>0</v>
      </c>
      <c r="H27" s="425">
        <f>F27-G27</f>
        <v>0</v>
      </c>
      <c r="I27" s="1435"/>
      <c r="J27" s="1436"/>
      <c r="K27" s="1437"/>
    </row>
    <row r="28" spans="1:11">
      <c r="A28" s="1404"/>
      <c r="B28" s="1393" t="s">
        <v>354</v>
      </c>
      <c r="C28" s="1393"/>
      <c r="D28" s="1393"/>
      <c r="E28" s="249">
        <f>IF(C27&gt;E27,E27-C27,0)</f>
        <v>-434.72873563218388</v>
      </c>
      <c r="F28" s="1414"/>
      <c r="G28" s="1254"/>
      <c r="H28" s="1254"/>
    </row>
    <row r="29" spans="1:11" ht="17" thickBot="1">
      <c r="A29" s="1405"/>
      <c r="B29" s="1401" t="s">
        <v>388</v>
      </c>
      <c r="C29" s="1401"/>
      <c r="D29" s="1401"/>
      <c r="E29" s="373">
        <f>IF(E27&gt;C27,E27-C27,0)</f>
        <v>0</v>
      </c>
      <c r="F29" s="1415"/>
      <c r="G29" s="745"/>
      <c r="H29" s="745"/>
    </row>
    <row r="30" spans="1:11" ht="17" thickBot="1"/>
    <row r="31" spans="1:11" ht="21">
      <c r="A31" s="1402" t="s">
        <v>390</v>
      </c>
      <c r="B31" s="1408" t="s">
        <v>393</v>
      </c>
      <c r="C31" s="1409"/>
      <c r="D31" s="1409"/>
      <c r="E31" s="1410"/>
      <c r="F31" s="1413" t="s">
        <v>395</v>
      </c>
      <c r="G31" s="1409"/>
      <c r="H31" s="1410"/>
      <c r="I31" s="1413" t="str">
        <f>I22</f>
        <v xml:space="preserve">Særlige feriedage  </v>
      </c>
      <c r="J31" s="1409"/>
      <c r="K31" s="1410"/>
    </row>
    <row r="32" spans="1:11" ht="52">
      <c r="A32" s="1403"/>
      <c r="B32" s="416"/>
      <c r="C32" s="417" t="str">
        <f t="shared" ref="C32:H32" si="6">C23</f>
        <v>Nettoarbejdstid</v>
      </c>
      <c r="D32" s="417" t="str">
        <f t="shared" si="6"/>
        <v>Planlagt arbejdstid</v>
      </c>
      <c r="E32" s="417" t="str">
        <f t="shared" si="6"/>
        <v>Faktisk arbejdstid(uden afspadsering)</v>
      </c>
      <c r="F32" s="417" t="str">
        <f t="shared" si="6"/>
        <v>Afspadseringstimer optjent</v>
      </c>
      <c r="G32" s="417" t="str">
        <f t="shared" si="6"/>
        <v>Afspadseringstimer afholdt</v>
      </c>
      <c r="H32" s="417" t="str">
        <f t="shared" si="6"/>
        <v>Afspadseringstimer saldo</v>
      </c>
      <c r="I32" s="417" t="str">
        <f>I23</f>
        <v>Særlige feriedage primo</v>
      </c>
      <c r="J32" s="417" t="str">
        <f>J23</f>
        <v>Særlige feriedage afholdt</v>
      </c>
      <c r="K32" s="417" t="str">
        <f>K23</f>
        <v>Særlige feriedage rest</v>
      </c>
    </row>
    <row r="33" spans="1:11" ht="20" customHeight="1">
      <c r="A33" s="1404"/>
      <c r="B33" s="247" t="s">
        <v>238</v>
      </c>
      <c r="C33" s="246">
        <f t="shared" ref="C33:K33" si="7">C8</f>
        <v>154.80459770114942</v>
      </c>
      <c r="D33" s="246">
        <f t="shared" si="7"/>
        <v>0</v>
      </c>
      <c r="E33" s="246">
        <f t="shared" si="7"/>
        <v>0</v>
      </c>
      <c r="F33" s="246">
        <f t="shared" si="7"/>
        <v>0</v>
      </c>
      <c r="G33" s="246">
        <f t="shared" si="7"/>
        <v>0</v>
      </c>
      <c r="H33" s="246">
        <f t="shared" si="7"/>
        <v>0</v>
      </c>
      <c r="I33" s="246">
        <f t="shared" si="7"/>
        <v>0</v>
      </c>
      <c r="J33" s="246">
        <f t="shared" si="7"/>
        <v>0</v>
      </c>
      <c r="K33" s="246">
        <f t="shared" si="7"/>
        <v>0</v>
      </c>
    </row>
    <row r="34" spans="1:11">
      <c r="A34" s="1404"/>
      <c r="B34" s="2" t="s">
        <v>282</v>
      </c>
      <c r="C34" s="248">
        <f t="shared" ref="C34:E35" si="8">C9</f>
        <v>147.37624521072797</v>
      </c>
      <c r="D34" s="248">
        <f t="shared" si="8"/>
        <v>0</v>
      </c>
      <c r="E34" s="248">
        <f t="shared" si="8"/>
        <v>0</v>
      </c>
      <c r="F34" s="248">
        <f t="shared" ref="F34:K35" si="9">F9</f>
        <v>0</v>
      </c>
      <c r="G34" s="248">
        <f t="shared" si="9"/>
        <v>0</v>
      </c>
      <c r="H34" s="248">
        <f t="shared" si="9"/>
        <v>0</v>
      </c>
      <c r="I34" s="248">
        <f t="shared" si="9"/>
        <v>0</v>
      </c>
      <c r="J34" s="248">
        <f t="shared" si="9"/>
        <v>0</v>
      </c>
      <c r="K34" s="248">
        <f t="shared" si="9"/>
        <v>0</v>
      </c>
    </row>
    <row r="35" spans="1:11">
      <c r="A35" s="1404"/>
      <c r="B35" s="247" t="s">
        <v>283</v>
      </c>
      <c r="C35" s="246">
        <f t="shared" si="8"/>
        <v>162.14789272030652</v>
      </c>
      <c r="D35" s="246">
        <f t="shared" si="8"/>
        <v>0</v>
      </c>
      <c r="E35" s="246">
        <f t="shared" si="8"/>
        <v>0</v>
      </c>
      <c r="F35" s="246">
        <f t="shared" si="9"/>
        <v>0</v>
      </c>
      <c r="G35" s="246">
        <f t="shared" si="9"/>
        <v>0</v>
      </c>
      <c r="H35" s="246">
        <f t="shared" si="9"/>
        <v>0</v>
      </c>
      <c r="I35" s="246">
        <f t="shared" si="9"/>
        <v>0</v>
      </c>
      <c r="J35" s="246">
        <f t="shared" si="9"/>
        <v>0</v>
      </c>
      <c r="K35" s="246">
        <f t="shared" si="9"/>
        <v>0</v>
      </c>
    </row>
    <row r="36" spans="1:11">
      <c r="A36" s="1404"/>
      <c r="B36" s="412" t="s">
        <v>387</v>
      </c>
      <c r="C36" s="413">
        <f>SUM(C33:C35)</f>
        <v>464.32873563218391</v>
      </c>
      <c r="D36" s="413">
        <f>SUM(D33:D35)</f>
        <v>0</v>
      </c>
      <c r="E36" s="414">
        <f>SUM(E33:E35)</f>
        <v>0</v>
      </c>
      <c r="F36" s="414">
        <f>SUM(F33:F35)</f>
        <v>0</v>
      </c>
      <c r="G36" s="414">
        <f>SUM(G33:G35)</f>
        <v>0</v>
      </c>
      <c r="H36" s="414">
        <f>H35</f>
        <v>0</v>
      </c>
      <c r="I36" s="1418"/>
      <c r="J36" s="1419"/>
      <c r="K36" s="1420"/>
    </row>
    <row r="37" spans="1:11">
      <c r="A37" s="1404"/>
      <c r="B37" s="1393" t="s">
        <v>354</v>
      </c>
      <c r="C37" s="1393"/>
      <c r="D37" s="1393"/>
      <c r="E37" s="249">
        <f>IF(C36&gt;E36,E36-C36,0)</f>
        <v>-464.32873563218391</v>
      </c>
      <c r="F37" s="1416"/>
      <c r="G37" s="1417"/>
      <c r="H37" s="1417"/>
    </row>
    <row r="38" spans="1:11" ht="17" thickBot="1">
      <c r="A38" s="1405"/>
      <c r="B38" s="1401" t="s">
        <v>388</v>
      </c>
      <c r="C38" s="1401"/>
      <c r="D38" s="1401"/>
      <c r="E38" s="373">
        <f>IF(E36&gt;C36,E36-C36,0)</f>
        <v>0</v>
      </c>
      <c r="F38" s="1415"/>
      <c r="G38" s="745"/>
      <c r="H38" s="745"/>
    </row>
    <row r="39" spans="1:11" ht="17" thickBot="1"/>
    <row r="40" spans="1:11" ht="21">
      <c r="A40" s="1402" t="s">
        <v>392</v>
      </c>
      <c r="B40" s="1408" t="s">
        <v>423</v>
      </c>
      <c r="C40" s="1409"/>
      <c r="D40" s="1409"/>
      <c r="E40" s="1410"/>
      <c r="F40" s="1413" t="s">
        <v>395</v>
      </c>
      <c r="G40" s="1409"/>
      <c r="H40" s="1410"/>
      <c r="I40" s="1413" t="str">
        <f>I31</f>
        <v xml:space="preserve">Særlige feriedage  </v>
      </c>
      <c r="J40" s="1409"/>
      <c r="K40" s="1410"/>
    </row>
    <row r="41" spans="1:11" ht="52">
      <c r="A41" s="1403"/>
      <c r="B41" s="416"/>
      <c r="C41" s="417" t="str">
        <f t="shared" ref="C41:H41" si="10">C32</f>
        <v>Nettoarbejdstid</v>
      </c>
      <c r="D41" s="417" t="str">
        <f t="shared" si="10"/>
        <v>Planlagt arbejdstid</v>
      </c>
      <c r="E41" s="417" t="str">
        <f t="shared" si="10"/>
        <v>Faktisk arbejdstid(uden afspadsering)</v>
      </c>
      <c r="F41" s="417" t="str">
        <f t="shared" si="10"/>
        <v>Afspadseringstimer optjent</v>
      </c>
      <c r="G41" s="417" t="str">
        <f t="shared" si="10"/>
        <v>Afspadseringstimer afholdt</v>
      </c>
      <c r="H41" s="417" t="str">
        <f t="shared" si="10"/>
        <v>Afspadseringstimer saldo</v>
      </c>
      <c r="I41" s="417" t="str">
        <f>I32</f>
        <v>Særlige feriedage primo</v>
      </c>
      <c r="J41" s="417" t="str">
        <f>J32</f>
        <v>Særlige feriedage afholdt</v>
      </c>
      <c r="K41" s="417" t="str">
        <f>K32</f>
        <v>Særlige feriedage rest</v>
      </c>
    </row>
    <row r="42" spans="1:11" ht="23" customHeight="1">
      <c r="A42" s="1404"/>
      <c r="B42" s="247" t="s">
        <v>284</v>
      </c>
      <c r="C42" s="246">
        <f t="shared" ref="C42:K42" si="11">C11</f>
        <v>147.43295019157088</v>
      </c>
      <c r="D42" s="246">
        <f t="shared" si="11"/>
        <v>0</v>
      </c>
      <c r="E42" s="246">
        <f t="shared" si="11"/>
        <v>0</v>
      </c>
      <c r="F42" s="246">
        <f t="shared" si="11"/>
        <v>0</v>
      </c>
      <c r="G42" s="246">
        <f t="shared" si="11"/>
        <v>0</v>
      </c>
      <c r="H42" s="246">
        <f t="shared" si="11"/>
        <v>0</v>
      </c>
      <c r="I42" s="246">
        <f t="shared" si="11"/>
        <v>0</v>
      </c>
      <c r="J42" s="246">
        <f t="shared" si="11"/>
        <v>0</v>
      </c>
      <c r="K42" s="246">
        <f t="shared" si="11"/>
        <v>0</v>
      </c>
    </row>
    <row r="43" spans="1:11">
      <c r="A43" s="1404"/>
      <c r="B43" s="2" t="s">
        <v>285</v>
      </c>
      <c r="C43" s="248">
        <f t="shared" ref="C43:E44" si="12">C12</f>
        <v>154.80459770114942</v>
      </c>
      <c r="D43" s="248">
        <f t="shared" si="12"/>
        <v>0</v>
      </c>
      <c r="E43" s="248">
        <f t="shared" si="12"/>
        <v>0</v>
      </c>
      <c r="F43" s="248">
        <f t="shared" ref="F43:K44" si="13">F12</f>
        <v>0</v>
      </c>
      <c r="G43" s="248">
        <f t="shared" si="13"/>
        <v>0</v>
      </c>
      <c r="H43" s="248">
        <f t="shared" si="13"/>
        <v>0</v>
      </c>
      <c r="I43" s="248">
        <f t="shared" si="13"/>
        <v>0</v>
      </c>
      <c r="J43" s="248">
        <f t="shared" si="13"/>
        <v>0</v>
      </c>
      <c r="K43" s="248">
        <f t="shared" si="13"/>
        <v>0</v>
      </c>
    </row>
    <row r="44" spans="1:11">
      <c r="A44" s="1404"/>
      <c r="B44" s="247" t="s">
        <v>286</v>
      </c>
      <c r="C44" s="246">
        <f t="shared" si="12"/>
        <v>139.976245210728</v>
      </c>
      <c r="D44" s="246">
        <f t="shared" si="12"/>
        <v>0</v>
      </c>
      <c r="E44" s="246">
        <f t="shared" si="12"/>
        <v>0</v>
      </c>
      <c r="F44" s="246">
        <f t="shared" si="13"/>
        <v>0</v>
      </c>
      <c r="G44" s="246">
        <f t="shared" si="13"/>
        <v>0</v>
      </c>
      <c r="H44" s="246">
        <f t="shared" si="13"/>
        <v>0</v>
      </c>
      <c r="I44" s="246">
        <f t="shared" si="13"/>
        <v>0</v>
      </c>
      <c r="J44" s="246">
        <f t="shared" si="13"/>
        <v>0</v>
      </c>
      <c r="K44" s="246">
        <f t="shared" si="13"/>
        <v>0</v>
      </c>
    </row>
    <row r="45" spans="1:11">
      <c r="A45" s="1404"/>
      <c r="B45" s="412" t="s">
        <v>387</v>
      </c>
      <c r="C45" s="413">
        <f>SUM(C42:C44)</f>
        <v>442.21379310344827</v>
      </c>
      <c r="D45" s="413">
        <f>SUM(D42:D44)</f>
        <v>0</v>
      </c>
      <c r="E45" s="414">
        <f>SUM(E42:E44)</f>
        <v>0</v>
      </c>
      <c r="F45" s="414">
        <f>SUM(F42:F44)</f>
        <v>0</v>
      </c>
      <c r="G45" s="414">
        <f>SUM(G42:G44)</f>
        <v>0</v>
      </c>
      <c r="H45" s="414">
        <f>H44</f>
        <v>0</v>
      </c>
      <c r="I45" s="1418"/>
      <c r="J45" s="1419"/>
      <c r="K45" s="1420"/>
    </row>
    <row r="46" spans="1:11">
      <c r="A46" s="1404"/>
      <c r="B46" s="1393" t="s">
        <v>354</v>
      </c>
      <c r="C46" s="1393"/>
      <c r="D46" s="1393"/>
      <c r="E46" s="249">
        <f>IF(C45&gt;E45,E45-C45,0)</f>
        <v>-442.21379310344827</v>
      </c>
      <c r="F46" s="1416"/>
      <c r="G46" s="1417"/>
      <c r="H46" s="1417"/>
      <c r="I46" s="1433" t="s">
        <v>511</v>
      </c>
      <c r="J46" s="1433"/>
      <c r="K46" s="1433"/>
    </row>
    <row r="47" spans="1:11" ht="17" thickBot="1">
      <c r="A47" s="1405"/>
      <c r="B47" s="1401" t="s">
        <v>388</v>
      </c>
      <c r="C47" s="1401"/>
      <c r="D47" s="1401"/>
      <c r="E47" s="373">
        <f>IF(E45&gt;C45,E45-C45,0)</f>
        <v>0</v>
      </c>
      <c r="F47" s="1415"/>
      <c r="G47" s="745"/>
      <c r="H47" s="745"/>
      <c r="I47" s="1434"/>
      <c r="J47" s="1434"/>
      <c r="K47" s="1434"/>
    </row>
    <row r="48" spans="1:11" ht="17" thickBot="1"/>
    <row r="49" spans="1:11" ht="21">
      <c r="A49" s="1402" t="s">
        <v>391</v>
      </c>
      <c r="B49" s="1408" t="s">
        <v>424</v>
      </c>
      <c r="C49" s="1409"/>
      <c r="D49" s="1409"/>
      <c r="E49" s="1410"/>
      <c r="F49" s="1413" t="s">
        <v>395</v>
      </c>
      <c r="G49" s="1409"/>
      <c r="H49" s="1410"/>
      <c r="I49" s="1413" t="str">
        <f>I40</f>
        <v xml:space="preserve">Særlige feriedage  </v>
      </c>
      <c r="J49" s="1409"/>
      <c r="K49" s="1410"/>
    </row>
    <row r="50" spans="1:11" ht="52">
      <c r="A50" s="1403"/>
      <c r="B50" s="416"/>
      <c r="C50" s="417" t="str">
        <f t="shared" ref="C50:H50" si="14">C41</f>
        <v>Nettoarbejdstid</v>
      </c>
      <c r="D50" s="417" t="str">
        <f t="shared" si="14"/>
        <v>Planlagt arbejdstid</v>
      </c>
      <c r="E50" s="417" t="str">
        <f t="shared" si="14"/>
        <v>Faktisk arbejdstid(uden afspadsering)</v>
      </c>
      <c r="F50" s="417" t="str">
        <f t="shared" si="14"/>
        <v>Afspadseringstimer optjent</v>
      </c>
      <c r="G50" s="417" t="str">
        <f t="shared" si="14"/>
        <v>Afspadseringstimer afholdt</v>
      </c>
      <c r="H50" s="417" t="str">
        <f t="shared" si="14"/>
        <v>Afspadseringstimer saldo</v>
      </c>
      <c r="I50" s="417" t="str">
        <f>I41</f>
        <v>Særlige feriedage primo</v>
      </c>
      <c r="J50" s="417" t="str">
        <f>J41</f>
        <v>Særlige feriedage afholdt</v>
      </c>
      <c r="K50" s="417" t="str">
        <f>K41</f>
        <v>Særlige feriedage rest</v>
      </c>
    </row>
    <row r="51" spans="1:11">
      <c r="A51" s="1404"/>
      <c r="B51" s="247" t="s">
        <v>287</v>
      </c>
      <c r="C51" s="246">
        <f t="shared" ref="C51:K51" si="15">C14</f>
        <v>154.77624521072798</v>
      </c>
      <c r="D51" s="246">
        <f t="shared" si="15"/>
        <v>0</v>
      </c>
      <c r="E51" s="246">
        <f t="shared" si="15"/>
        <v>0</v>
      </c>
      <c r="F51" s="246">
        <f t="shared" si="15"/>
        <v>0</v>
      </c>
      <c r="G51" s="246">
        <f t="shared" si="15"/>
        <v>0</v>
      </c>
      <c r="H51" s="246">
        <f t="shared" si="15"/>
        <v>0</v>
      </c>
      <c r="I51" s="246">
        <f t="shared" si="15"/>
        <v>0</v>
      </c>
      <c r="J51" s="246">
        <f t="shared" si="15"/>
        <v>0</v>
      </c>
      <c r="K51" s="246">
        <f t="shared" si="15"/>
        <v>0</v>
      </c>
    </row>
    <row r="52" spans="1:11">
      <c r="A52" s="1404"/>
      <c r="B52" s="2" t="s">
        <v>288</v>
      </c>
      <c r="C52" s="248">
        <f t="shared" ref="C52:E53" si="16">C15</f>
        <v>147.40459770114941</v>
      </c>
      <c r="D52" s="248">
        <f t="shared" si="16"/>
        <v>0</v>
      </c>
      <c r="E52" s="248">
        <f t="shared" si="16"/>
        <v>0</v>
      </c>
      <c r="F52" s="248">
        <f t="shared" ref="F52:K53" si="17">F15</f>
        <v>0</v>
      </c>
      <c r="G52" s="248">
        <f t="shared" si="17"/>
        <v>0</v>
      </c>
      <c r="H52" s="248">
        <f t="shared" si="17"/>
        <v>0</v>
      </c>
      <c r="I52" s="248">
        <f t="shared" si="17"/>
        <v>0</v>
      </c>
      <c r="J52" s="248">
        <f t="shared" si="17"/>
        <v>0</v>
      </c>
      <c r="K52" s="248">
        <f t="shared" si="17"/>
        <v>0</v>
      </c>
    </row>
    <row r="53" spans="1:11">
      <c r="A53" s="1404"/>
      <c r="B53" s="247" t="s">
        <v>289</v>
      </c>
      <c r="C53" s="246">
        <f t="shared" si="16"/>
        <v>36.347892720306504</v>
      </c>
      <c r="D53" s="246">
        <f t="shared" si="16"/>
        <v>0</v>
      </c>
      <c r="E53" s="246">
        <f t="shared" si="16"/>
        <v>0</v>
      </c>
      <c r="F53" s="246">
        <f t="shared" si="17"/>
        <v>0</v>
      </c>
      <c r="G53" s="246">
        <f t="shared" si="17"/>
        <v>0</v>
      </c>
      <c r="H53" s="246">
        <f t="shared" si="17"/>
        <v>0</v>
      </c>
      <c r="I53" s="246">
        <f t="shared" si="17"/>
        <v>0</v>
      </c>
      <c r="J53" s="246">
        <f t="shared" si="17"/>
        <v>0</v>
      </c>
      <c r="K53" s="246">
        <f t="shared" si="17"/>
        <v>0</v>
      </c>
    </row>
    <row r="54" spans="1:11">
      <c r="A54" s="1404"/>
      <c r="B54" s="412" t="s">
        <v>387</v>
      </c>
      <c r="C54" s="413">
        <f>SUM(C51:C53)</f>
        <v>338.5287356321839</v>
      </c>
      <c r="D54" s="413">
        <f>SUM(D51:D53)</f>
        <v>0</v>
      </c>
      <c r="E54" s="414">
        <f>SUM(E51:E53)</f>
        <v>0</v>
      </c>
      <c r="F54" s="414">
        <f>SUM(F51:F53)</f>
        <v>0</v>
      </c>
      <c r="G54" s="414">
        <f>SUM(G51:G53)</f>
        <v>0</v>
      </c>
      <c r="H54" s="414">
        <f>H53</f>
        <v>0</v>
      </c>
      <c r="I54" s="1418"/>
      <c r="J54" s="1419"/>
      <c r="K54" s="1420"/>
    </row>
    <row r="55" spans="1:11">
      <c r="A55" s="1404"/>
      <c r="B55" s="1393" t="s">
        <v>354</v>
      </c>
      <c r="C55" s="1393"/>
      <c r="D55" s="1393"/>
      <c r="E55" s="249">
        <f>IF(C54&gt;E54,E54-C54,0)</f>
        <v>-338.5287356321839</v>
      </c>
      <c r="F55" s="1416"/>
      <c r="G55" s="1417"/>
      <c r="H55" s="1417"/>
    </row>
    <row r="56" spans="1:11" ht="17" thickBot="1">
      <c r="A56" s="1405"/>
      <c r="B56" s="1401" t="s">
        <v>388</v>
      </c>
      <c r="C56" s="1401"/>
      <c r="D56" s="1401"/>
      <c r="E56" s="373">
        <f>IF(E54&gt;C54,E54-C54,0)</f>
        <v>0</v>
      </c>
      <c r="F56" s="1415"/>
      <c r="G56" s="745"/>
      <c r="H56" s="745"/>
    </row>
    <row r="58" spans="1:11" ht="21">
      <c r="A58" s="1412" t="s">
        <v>401</v>
      </c>
      <c r="B58" s="1412"/>
      <c r="C58" s="1412"/>
      <c r="D58" s="1412"/>
      <c r="E58" s="443">
        <f>E28+E29+E37+E38+E46+E47+E55+E56</f>
        <v>-1679.8</v>
      </c>
    </row>
    <row r="59" spans="1:11" ht="21">
      <c r="A59" s="1411" t="s">
        <v>402</v>
      </c>
      <c r="B59" s="1411"/>
      <c r="C59" s="1411"/>
      <c r="D59" s="1411"/>
      <c r="E59" s="415">
        <f>H17</f>
        <v>0</v>
      </c>
    </row>
  </sheetData>
  <sheetProtection sheet="1" objects="1" scenarios="1"/>
  <mergeCells count="47">
    <mergeCell ref="I54:K54"/>
    <mergeCell ref="B1:K1"/>
    <mergeCell ref="B2:K2"/>
    <mergeCell ref="I17:K20"/>
    <mergeCell ref="I46:K47"/>
    <mergeCell ref="I3:K3"/>
    <mergeCell ref="I22:K22"/>
    <mergeCell ref="I31:K31"/>
    <mergeCell ref="I40:K40"/>
    <mergeCell ref="I49:K49"/>
    <mergeCell ref="I27:K27"/>
    <mergeCell ref="I36:K36"/>
    <mergeCell ref="I45:K45"/>
    <mergeCell ref="B19:D19"/>
    <mergeCell ref="F19:H19"/>
    <mergeCell ref="B20:G20"/>
    <mergeCell ref="A59:D59"/>
    <mergeCell ref="A58:D58"/>
    <mergeCell ref="F22:H22"/>
    <mergeCell ref="F31:H31"/>
    <mergeCell ref="F40:H40"/>
    <mergeCell ref="F49:H49"/>
    <mergeCell ref="F28:H29"/>
    <mergeCell ref="F37:H38"/>
    <mergeCell ref="F46:H47"/>
    <mergeCell ref="F55:H56"/>
    <mergeCell ref="A40:A47"/>
    <mergeCell ref="B40:E40"/>
    <mergeCell ref="B46:D46"/>
    <mergeCell ref="B47:D47"/>
    <mergeCell ref="A49:A56"/>
    <mergeCell ref="B49:E49"/>
    <mergeCell ref="B55:D55"/>
    <mergeCell ref="B56:D56"/>
    <mergeCell ref="B29:D29"/>
    <mergeCell ref="A22:A29"/>
    <mergeCell ref="B22:E22"/>
    <mergeCell ref="A31:A38"/>
    <mergeCell ref="B31:E31"/>
    <mergeCell ref="B37:D37"/>
    <mergeCell ref="B38:D38"/>
    <mergeCell ref="A1:A20"/>
    <mergeCell ref="B28:D28"/>
    <mergeCell ref="B18:D18"/>
    <mergeCell ref="F18:H18"/>
    <mergeCell ref="C3:E3"/>
    <mergeCell ref="F3:H3"/>
  </mergeCells>
  <phoneticPr fontId="5" type="noConversion"/>
  <conditionalFormatting sqref="B18 E18:F18">
    <cfRule type="expression" dxfId="379" priority="12">
      <formula>"ELLER($E$16&gt;$$16;)"</formula>
    </cfRule>
    <cfRule type="expression" dxfId="378" priority="11">
      <formula>OR($E$17&gt;$C$17,)</formula>
    </cfRule>
  </conditionalFormatting>
  <conditionalFormatting sqref="B19 E19:F19">
    <cfRule type="expression" dxfId="377" priority="10">
      <formula>OR($C$17&gt;$E$17,)</formula>
    </cfRule>
  </conditionalFormatting>
  <conditionalFormatting sqref="B20 H20">
    <cfRule type="expression" dxfId="376" priority="9">
      <formula>OR($H$17&lt;0,)</formula>
    </cfRule>
  </conditionalFormatting>
  <conditionalFormatting sqref="B28 E28">
    <cfRule type="expression" dxfId="375" priority="8">
      <formula>OR($C$27&lt;$E$27,)</formula>
    </cfRule>
  </conditionalFormatting>
  <conditionalFormatting sqref="B29 E29">
    <cfRule type="expression" dxfId="374" priority="7">
      <formula>OR($E$27&lt;$C$27,)</formula>
    </cfRule>
  </conditionalFormatting>
  <conditionalFormatting sqref="B37 E37">
    <cfRule type="expression" dxfId="373" priority="6">
      <formula>OR($E$36&gt;$C$36,)</formula>
    </cfRule>
  </conditionalFormatting>
  <conditionalFormatting sqref="B38 E38">
    <cfRule type="expression" dxfId="372" priority="5">
      <formula>OR($C$36&gt;$E$36,)</formula>
    </cfRule>
  </conditionalFormatting>
  <conditionalFormatting sqref="B46 E46">
    <cfRule type="expression" dxfId="371" priority="4">
      <formula>OR($E$45&gt;$C$45,)</formula>
    </cfRule>
  </conditionalFormatting>
  <conditionalFormatting sqref="B47 E47">
    <cfRule type="expression" dxfId="370" priority="3">
      <formula>OR($C$45&gt;$E$45,)</formula>
    </cfRule>
  </conditionalFormatting>
  <conditionalFormatting sqref="B55 E55">
    <cfRule type="expression" dxfId="369" priority="2">
      <formula>OR($E$54&gt;$C$54,)</formula>
    </cfRule>
  </conditionalFormatting>
  <conditionalFormatting sqref="B56 E56">
    <cfRule type="expression" dxfId="368" priority="1">
      <formula>OR($C$54&gt;$E$54,)</formula>
    </cfRule>
  </conditionalFormatting>
  <pageMargins left="0.25" right="0.25" top="0.75" bottom="0.75" header="0.3" footer="0.3"/>
  <pageSetup paperSize="9" scale="57"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9"/>
  <sheetViews>
    <sheetView showZeros="0" zoomScaleNormal="100" workbookViewId="0">
      <selection activeCell="J4" sqref="J4"/>
    </sheetView>
  </sheetViews>
  <sheetFormatPr baseColWidth="10" defaultRowHeight="16"/>
  <sheetData>
    <row r="1" spans="1:41" ht="39" customHeight="1">
      <c r="A1" s="1462"/>
      <c r="B1" s="1444" t="s">
        <v>547</v>
      </c>
      <c r="C1" s="1445"/>
      <c r="D1" s="1445"/>
      <c r="E1" s="1445"/>
      <c r="F1" s="1445"/>
      <c r="G1" s="1445"/>
      <c r="H1" s="1445"/>
      <c r="I1" s="1445"/>
      <c r="J1" s="1446"/>
      <c r="AO1" s="1" t="e">
        <f>SUM(#REF!)</f>
        <v>#REF!</v>
      </c>
    </row>
    <row r="2" spans="1:41" ht="39" customHeight="1">
      <c r="A2" s="1462"/>
      <c r="B2" s="1453">
        <f>Stamoplysninger!E8</f>
        <v>0</v>
      </c>
      <c r="C2" s="1454"/>
      <c r="D2" s="1454"/>
      <c r="E2" s="1454"/>
      <c r="F2" s="1454"/>
      <c r="G2" s="1454"/>
      <c r="H2" s="1454"/>
      <c r="I2" s="1454"/>
      <c r="J2" s="1455"/>
      <c r="AO2" s="1"/>
    </row>
    <row r="3" spans="1:41">
      <c r="A3" s="1462"/>
      <c r="B3" s="1447" t="s">
        <v>220</v>
      </c>
      <c r="C3" s="766"/>
      <c r="D3" s="766"/>
      <c r="E3" s="766"/>
      <c r="F3" s="766"/>
      <c r="G3" s="766"/>
      <c r="H3" s="766"/>
      <c r="I3" s="766"/>
      <c r="J3" s="267">
        <f>Skemaoplysninger!BD37</f>
        <v>0</v>
      </c>
    </row>
    <row r="4" spans="1:41">
      <c r="A4" s="1462"/>
      <c r="B4" s="1448" t="s">
        <v>330</v>
      </c>
      <c r="C4" s="1449"/>
      <c r="D4" s="1449"/>
      <c r="E4" s="1449"/>
      <c r="F4" s="1449"/>
      <c r="G4" s="1449"/>
      <c r="H4" s="1449"/>
      <c r="I4" s="1449"/>
      <c r="J4" s="250">
        <f>SUM(August!BC41:BF41)+SUM(September!BC39:BF39)+SUM(Oktober!BC40:BF40)+SUM(November!BC39:BF39)+SUM(December!BC40:BF40)+SUM(Januar!BC40:BF40)+SUM(Februar!BC38:BF38)+SUM(Marts!BC40:BF40)+SUM(April!BC39:BF39)+SUM(Maj!BC40:BF40)+SUM(Juni!BC39:BF39)+SUM(Juli!BC40:BF40)</f>
        <v>0</v>
      </c>
    </row>
    <row r="5" spans="1:41" ht="34" customHeight="1">
      <c r="A5" s="1462"/>
      <c r="B5" s="1450" t="s">
        <v>299</v>
      </c>
      <c r="C5" s="1451"/>
      <c r="D5" s="1451"/>
      <c r="E5" s="1451"/>
      <c r="F5" s="1451"/>
      <c r="G5" s="1451"/>
      <c r="H5" s="1451"/>
      <c r="I5" s="1451"/>
      <c r="J5" s="1452"/>
    </row>
    <row r="6" spans="1:41">
      <c r="A6" s="1462"/>
      <c r="B6" s="1442"/>
      <c r="C6" s="1443"/>
      <c r="D6" s="1443"/>
      <c r="E6" s="1443"/>
      <c r="F6" s="1443"/>
      <c r="G6" s="1443"/>
      <c r="H6" s="1443"/>
      <c r="I6" s="1443"/>
      <c r="J6" s="19"/>
    </row>
    <row r="7" spans="1:41">
      <c r="A7" s="1462"/>
      <c r="B7" s="1442"/>
      <c r="C7" s="1443"/>
      <c r="D7" s="1443"/>
      <c r="E7" s="1443"/>
      <c r="F7" s="1443"/>
      <c r="G7" s="1443"/>
      <c r="H7" s="1443"/>
      <c r="I7" s="1443"/>
      <c r="J7" s="19"/>
    </row>
    <row r="8" spans="1:41">
      <c r="A8" s="1462"/>
      <c r="B8" s="1442"/>
      <c r="C8" s="1443"/>
      <c r="D8" s="1443"/>
      <c r="E8" s="1443"/>
      <c r="F8" s="1443"/>
      <c r="G8" s="1443"/>
      <c r="H8" s="1443"/>
      <c r="I8" s="1443"/>
      <c r="J8" s="19"/>
    </row>
    <row r="9" spans="1:41">
      <c r="A9" s="1462"/>
      <c r="B9" s="1442"/>
      <c r="C9" s="1443"/>
      <c r="D9" s="1443"/>
      <c r="E9" s="1443"/>
      <c r="F9" s="1443"/>
      <c r="G9" s="1443"/>
      <c r="H9" s="1443"/>
      <c r="I9" s="1443"/>
      <c r="J9" s="19"/>
    </row>
    <row r="10" spans="1:41">
      <c r="A10" s="1462"/>
      <c r="B10" s="1442"/>
      <c r="C10" s="1443"/>
      <c r="D10" s="1443"/>
      <c r="E10" s="1443"/>
      <c r="F10" s="1443"/>
      <c r="G10" s="1443"/>
      <c r="H10" s="1443"/>
      <c r="I10" s="1443"/>
      <c r="J10" s="19"/>
    </row>
    <row r="11" spans="1:41">
      <c r="A11" s="1462"/>
      <c r="B11" s="1442"/>
      <c r="C11" s="1443"/>
      <c r="D11" s="1443"/>
      <c r="E11" s="1443"/>
      <c r="F11" s="1443"/>
      <c r="G11" s="1443"/>
      <c r="H11" s="1443"/>
      <c r="I11" s="1443"/>
      <c r="J11" s="19"/>
    </row>
    <row r="12" spans="1:41">
      <c r="A12" s="1462"/>
      <c r="B12" s="1442"/>
      <c r="C12" s="1443"/>
      <c r="D12" s="1443"/>
      <c r="E12" s="1443"/>
      <c r="F12" s="1443"/>
      <c r="G12" s="1443"/>
      <c r="H12" s="1443"/>
      <c r="I12" s="1443"/>
      <c r="J12" s="19"/>
    </row>
    <row r="13" spans="1:41">
      <c r="A13" s="1462"/>
      <c r="B13" s="1442"/>
      <c r="C13" s="1443"/>
      <c r="D13" s="1443"/>
      <c r="E13" s="1443"/>
      <c r="F13" s="1443"/>
      <c r="G13" s="1443"/>
      <c r="H13" s="1443"/>
      <c r="I13" s="1443"/>
      <c r="J13" s="19"/>
    </row>
    <row r="14" spans="1:41">
      <c r="A14" s="1462"/>
      <c r="B14" s="1442"/>
      <c r="C14" s="1443"/>
      <c r="D14" s="1443"/>
      <c r="E14" s="1443"/>
      <c r="F14" s="1443"/>
      <c r="G14" s="1443"/>
      <c r="H14" s="1443"/>
      <c r="I14" s="1443"/>
      <c r="J14" s="19"/>
    </row>
    <row r="15" spans="1:41">
      <c r="A15" s="1462"/>
      <c r="B15" s="1442"/>
      <c r="C15" s="1443"/>
      <c r="D15" s="1443"/>
      <c r="E15" s="1443"/>
      <c r="F15" s="1443"/>
      <c r="G15" s="1443"/>
      <c r="H15" s="1443"/>
      <c r="I15" s="1443"/>
      <c r="J15" s="19"/>
    </row>
    <row r="16" spans="1:41">
      <c r="A16" s="1462"/>
      <c r="B16" s="1442"/>
      <c r="C16" s="1443"/>
      <c r="D16" s="1443"/>
      <c r="E16" s="1443"/>
      <c r="F16" s="1443"/>
      <c r="G16" s="1443"/>
      <c r="H16" s="1443"/>
      <c r="I16" s="1443"/>
      <c r="J16" s="19"/>
    </row>
    <row r="17" spans="1:10">
      <c r="A17" s="1462"/>
      <c r="B17" s="1442"/>
      <c r="C17" s="1443"/>
      <c r="D17" s="1443"/>
      <c r="E17" s="1443"/>
      <c r="F17" s="1443"/>
      <c r="G17" s="1443"/>
      <c r="H17" s="1443"/>
      <c r="I17" s="1443"/>
      <c r="J17" s="19"/>
    </row>
    <row r="18" spans="1:10">
      <c r="A18" s="1462"/>
      <c r="B18" s="1442"/>
      <c r="C18" s="1443"/>
      <c r="D18" s="1443"/>
      <c r="E18" s="1443"/>
      <c r="F18" s="1443"/>
      <c r="G18" s="1443"/>
      <c r="H18" s="1443"/>
      <c r="I18" s="1443"/>
      <c r="J18" s="19"/>
    </row>
    <row r="19" spans="1:10">
      <c r="A19" s="1462"/>
      <c r="B19" s="1442"/>
      <c r="C19" s="1443"/>
      <c r="D19" s="1443"/>
      <c r="E19" s="1443"/>
      <c r="F19" s="1443"/>
      <c r="G19" s="1443"/>
      <c r="H19" s="1443"/>
      <c r="I19" s="1443"/>
      <c r="J19" s="19"/>
    </row>
    <row r="20" spans="1:10">
      <c r="A20" s="1462"/>
      <c r="B20" s="1442"/>
      <c r="C20" s="1443"/>
      <c r="D20" s="1443"/>
      <c r="E20" s="1443"/>
      <c r="F20" s="1443"/>
      <c r="G20" s="1443"/>
      <c r="H20" s="1443"/>
      <c r="I20" s="1443"/>
      <c r="J20" s="19"/>
    </row>
    <row r="21" spans="1:10" ht="17" thickBot="1">
      <c r="A21" s="1462"/>
      <c r="B21" s="1469"/>
      <c r="C21" s="1470"/>
      <c r="D21" s="1470"/>
      <c r="E21" s="1470"/>
      <c r="F21" s="1470"/>
      <c r="G21" s="1470"/>
      <c r="H21" s="1470"/>
      <c r="I21" s="1470"/>
      <c r="J21" s="613"/>
    </row>
    <row r="22" spans="1:10" ht="23" customHeight="1" thickBot="1">
      <c r="A22" s="1462"/>
      <c r="B22" s="1471" t="s">
        <v>548</v>
      </c>
      <c r="C22" s="1472"/>
      <c r="D22" s="1472"/>
      <c r="E22" s="1472"/>
      <c r="F22" s="1472"/>
      <c r="G22" s="1472"/>
      <c r="H22" s="1472"/>
      <c r="I22" s="1472"/>
      <c r="J22" s="614">
        <f>SUM(J3:J21)</f>
        <v>0</v>
      </c>
    </row>
    <row r="23" spans="1:10" ht="23" customHeight="1" thickBot="1">
      <c r="A23" s="1462"/>
      <c r="B23" s="1456" t="s">
        <v>549</v>
      </c>
      <c r="C23" s="1457"/>
      <c r="D23" s="1457"/>
      <c r="E23" s="1457"/>
      <c r="F23" s="1457"/>
      <c r="G23" s="1457"/>
      <c r="H23" s="1457"/>
      <c r="I23" s="1458"/>
      <c r="J23" s="699" t="str">
        <f>Stamoplysninger!E12</f>
        <v>Ja</v>
      </c>
    </row>
    <row r="24" spans="1:10" ht="81" customHeight="1" thickBot="1">
      <c r="A24" s="1462"/>
      <c r="B24" s="1459" t="s">
        <v>550</v>
      </c>
      <c r="C24" s="1460"/>
      <c r="D24" s="1460"/>
      <c r="E24" s="1460"/>
      <c r="F24" s="1460"/>
      <c r="G24" s="1460"/>
      <c r="H24" s="1460"/>
      <c r="I24" s="1461"/>
      <c r="J24" s="699">
        <f>IF(J23="Ja",J22,J22/Arbejdstidsoversigt!G15*228)</f>
        <v>0</v>
      </c>
    </row>
    <row r="25" spans="1:10" ht="19">
      <c r="A25" s="1462"/>
      <c r="B25" s="1473" t="s">
        <v>281</v>
      </c>
      <c r="C25" s="1474"/>
      <c r="D25" s="1474"/>
      <c r="E25" s="1474"/>
      <c r="F25" s="1474"/>
      <c r="G25" s="1474"/>
      <c r="H25" s="1474"/>
      <c r="I25" s="1474"/>
      <c r="J25" s="1475"/>
    </row>
    <row r="26" spans="1:10">
      <c r="A26" s="1462"/>
      <c r="B26" s="1448" t="s">
        <v>234</v>
      </c>
      <c r="C26" s="1449"/>
      <c r="D26" s="1449"/>
      <c r="E26" s="1449"/>
      <c r="F26" s="1449"/>
      <c r="G26" s="1449"/>
      <c r="H26" s="1449"/>
      <c r="I26" s="1449"/>
      <c r="J26" s="250">
        <f>August!W41-August!O63</f>
        <v>0</v>
      </c>
    </row>
    <row r="27" spans="1:10">
      <c r="A27" s="1462"/>
      <c r="B27" s="1448" t="s">
        <v>236</v>
      </c>
      <c r="C27" s="1449"/>
      <c r="D27" s="1449"/>
      <c r="E27" s="1449"/>
      <c r="F27" s="1449"/>
      <c r="G27" s="1449"/>
      <c r="H27" s="1449"/>
      <c r="I27" s="1449"/>
      <c r="J27" s="250">
        <f>September!W39-September!O65</f>
        <v>0</v>
      </c>
    </row>
    <row r="28" spans="1:10">
      <c r="A28" s="1462"/>
      <c r="B28" s="1448" t="s">
        <v>237</v>
      </c>
      <c r="C28" s="1449"/>
      <c r="D28" s="1449"/>
      <c r="E28" s="1449"/>
      <c r="F28" s="1449"/>
      <c r="G28" s="1449"/>
      <c r="H28" s="1449"/>
      <c r="I28" s="1449"/>
      <c r="J28" s="250">
        <f>Oktober!W40-Oktober!O66</f>
        <v>0</v>
      </c>
    </row>
    <row r="29" spans="1:10">
      <c r="A29" s="1462"/>
      <c r="B29" s="1448" t="s">
        <v>238</v>
      </c>
      <c r="C29" s="1449"/>
      <c r="D29" s="1449"/>
      <c r="E29" s="1449"/>
      <c r="F29" s="1449"/>
      <c r="G29" s="1449"/>
      <c r="H29" s="1449"/>
      <c r="I29" s="1449"/>
      <c r="J29" s="250">
        <f>November!W39-November!O65</f>
        <v>0</v>
      </c>
    </row>
    <row r="30" spans="1:10">
      <c r="A30" s="1462"/>
      <c r="B30" s="1448" t="s">
        <v>282</v>
      </c>
      <c r="C30" s="1449"/>
      <c r="D30" s="1449"/>
      <c r="E30" s="1449"/>
      <c r="F30" s="1449"/>
      <c r="G30" s="1449"/>
      <c r="H30" s="1449"/>
      <c r="I30" s="1449"/>
      <c r="J30" s="250">
        <f>December!W40-December!O66</f>
        <v>0</v>
      </c>
    </row>
    <row r="31" spans="1:10">
      <c r="A31" s="1462"/>
      <c r="B31" s="1448" t="s">
        <v>283</v>
      </c>
      <c r="C31" s="1449"/>
      <c r="D31" s="1449"/>
      <c r="E31" s="1449"/>
      <c r="F31" s="1449"/>
      <c r="G31" s="1449"/>
      <c r="H31" s="1449"/>
      <c r="I31" s="1449"/>
      <c r="J31" s="250">
        <f>Januar!W40-Januar!O66</f>
        <v>0</v>
      </c>
    </row>
    <row r="32" spans="1:10">
      <c r="A32" s="1462"/>
      <c r="B32" s="1448" t="s">
        <v>284</v>
      </c>
      <c r="C32" s="1449"/>
      <c r="D32" s="1449"/>
      <c r="E32" s="1449"/>
      <c r="F32" s="1449"/>
      <c r="G32" s="1449"/>
      <c r="H32" s="1449"/>
      <c r="I32" s="1449"/>
      <c r="J32" s="250">
        <f>Februar!W38-Februar!O64</f>
        <v>0</v>
      </c>
    </row>
    <row r="33" spans="1:10">
      <c r="A33" s="1462"/>
      <c r="B33" s="1448" t="s">
        <v>285</v>
      </c>
      <c r="C33" s="1449"/>
      <c r="D33" s="1449"/>
      <c r="E33" s="1449"/>
      <c r="F33" s="1449"/>
      <c r="G33" s="1449"/>
      <c r="H33" s="1449"/>
      <c r="I33" s="1449"/>
      <c r="J33" s="250">
        <f>Marts!W40-Marts!O66</f>
        <v>0</v>
      </c>
    </row>
    <row r="34" spans="1:10">
      <c r="A34" s="1462"/>
      <c r="B34" s="1448" t="s">
        <v>286</v>
      </c>
      <c r="C34" s="1449"/>
      <c r="D34" s="1449"/>
      <c r="E34" s="1449"/>
      <c r="F34" s="1449"/>
      <c r="G34" s="1449"/>
      <c r="H34" s="1449"/>
      <c r="I34" s="1449"/>
      <c r="J34" s="250">
        <f>April!W39-April!O65</f>
        <v>0</v>
      </c>
    </row>
    <row r="35" spans="1:10">
      <c r="A35" s="1462"/>
      <c r="B35" s="1448" t="s">
        <v>287</v>
      </c>
      <c r="C35" s="1449"/>
      <c r="D35" s="1449"/>
      <c r="E35" s="1449"/>
      <c r="F35" s="1449"/>
      <c r="G35" s="1449"/>
      <c r="H35" s="1449"/>
      <c r="I35" s="1449"/>
      <c r="J35" s="250">
        <f>Maj!W40-Maj!O66</f>
        <v>0</v>
      </c>
    </row>
    <row r="36" spans="1:10">
      <c r="A36" s="1462"/>
      <c r="B36" s="1448" t="s">
        <v>288</v>
      </c>
      <c r="C36" s="1449"/>
      <c r="D36" s="1449"/>
      <c r="E36" s="1449"/>
      <c r="F36" s="1449"/>
      <c r="G36" s="1449"/>
      <c r="H36" s="1449"/>
      <c r="I36" s="1449"/>
      <c r="J36" s="250">
        <f>Juni!W39-Juni!O65</f>
        <v>0</v>
      </c>
    </row>
    <row r="37" spans="1:10" ht="17" thickBot="1">
      <c r="A37" s="1462"/>
      <c r="B37" s="1465" t="s">
        <v>289</v>
      </c>
      <c r="C37" s="1466"/>
      <c r="D37" s="1466"/>
      <c r="E37" s="1466"/>
      <c r="F37" s="1466"/>
      <c r="G37" s="1466"/>
      <c r="H37" s="1466"/>
      <c r="I37" s="1466"/>
      <c r="J37" s="332">
        <f>Juli!W40-Juli!O66</f>
        <v>0</v>
      </c>
    </row>
    <row r="38" spans="1:10" ht="17" thickBot="1">
      <c r="A38" s="1462"/>
      <c r="B38" s="1467" t="s">
        <v>290</v>
      </c>
      <c r="C38" s="1468"/>
      <c r="D38" s="1468"/>
      <c r="E38" s="1468"/>
      <c r="F38" s="1468"/>
      <c r="G38" s="1468"/>
      <c r="H38" s="1468"/>
      <c r="I38" s="1468"/>
      <c r="J38" s="269">
        <f>SUM(J26:J37)</f>
        <v>0</v>
      </c>
    </row>
    <row r="39" spans="1:10" ht="51" customHeight="1" thickBot="1">
      <c r="A39" s="1462"/>
      <c r="B39" s="1463" t="s">
        <v>351</v>
      </c>
      <c r="C39" s="1464"/>
      <c r="D39" s="1464"/>
      <c r="E39" s="1464"/>
      <c r="F39" s="1464"/>
      <c r="G39" s="1464"/>
      <c r="H39" s="1464"/>
      <c r="I39" s="1464"/>
      <c r="J39" s="268">
        <f>J24+J38</f>
        <v>0</v>
      </c>
    </row>
  </sheetData>
  <sheetProtection sheet="1" objects="1" scenarios="1"/>
  <mergeCells count="40">
    <mergeCell ref="A1:A39"/>
    <mergeCell ref="B39:I39"/>
    <mergeCell ref="B33:I33"/>
    <mergeCell ref="B34:I34"/>
    <mergeCell ref="B35:I35"/>
    <mergeCell ref="B36:I36"/>
    <mergeCell ref="B37:I37"/>
    <mergeCell ref="B38:I38"/>
    <mergeCell ref="B32:I32"/>
    <mergeCell ref="B20:I20"/>
    <mergeCell ref="B21:I21"/>
    <mergeCell ref="B22:I22"/>
    <mergeCell ref="B25:J25"/>
    <mergeCell ref="B26:I26"/>
    <mergeCell ref="B27:I27"/>
    <mergeCell ref="B12:I12"/>
    <mergeCell ref="B28:I28"/>
    <mergeCell ref="B29:I29"/>
    <mergeCell ref="B30:I30"/>
    <mergeCell ref="B31:I31"/>
    <mergeCell ref="B19:I19"/>
    <mergeCell ref="B23:I23"/>
    <mergeCell ref="B24:I24"/>
    <mergeCell ref="B18:I18"/>
    <mergeCell ref="B13:I13"/>
    <mergeCell ref="B14:I14"/>
    <mergeCell ref="B15:I15"/>
    <mergeCell ref="B16:I16"/>
    <mergeCell ref="B17:I17"/>
    <mergeCell ref="B1:J1"/>
    <mergeCell ref="B3:I3"/>
    <mergeCell ref="B4:I4"/>
    <mergeCell ref="B5:J5"/>
    <mergeCell ref="B6:I6"/>
    <mergeCell ref="B2:J2"/>
    <mergeCell ref="B8:I8"/>
    <mergeCell ref="B9:I9"/>
    <mergeCell ref="B10:I10"/>
    <mergeCell ref="B11:I11"/>
    <mergeCell ref="B7:I7"/>
  </mergeCells>
  <conditionalFormatting sqref="J6:J21">
    <cfRule type="expression" dxfId="367" priority="1">
      <formula>OR($B6&gt;0,)</formula>
    </cfRule>
  </conditionalFormatting>
  <pageMargins left="0.7" right="0.7" top="0.75" bottom="0.75" header="0.3" footer="0.3"/>
  <pageSetup paperSize="9" scale="76"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5"/>
  <sheetViews>
    <sheetView zoomScale="125" zoomScaleNormal="125" zoomScalePageLayoutView="125" workbookViewId="0">
      <selection activeCell="D39" sqref="D39"/>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46" t="s">
        <v>75</v>
      </c>
    </row>
    <row r="2" spans="1:4" ht="19">
      <c r="A2" s="46"/>
    </row>
    <row r="3" spans="1:4" ht="19">
      <c r="A3" s="46" t="s">
        <v>76</v>
      </c>
      <c r="C3" s="485" t="str">
        <f>IF(Stamoplysninger!E8&gt;0,Stamoplysninger!E8,"")</f>
        <v/>
      </c>
    </row>
    <row r="4" spans="1:4" ht="19">
      <c r="A4" s="46"/>
    </row>
    <row r="5" spans="1:4" ht="19">
      <c r="A5" s="46"/>
      <c r="C5" s="47" t="s">
        <v>26</v>
      </c>
      <c r="D5" s="486">
        <f>IF(Stamoplysninger!E15&gt;0,Stamoplysninger!E15,"")</f>
        <v>1</v>
      </c>
    </row>
    <row r="6" spans="1:4">
      <c r="A6" s="295" t="s">
        <v>77</v>
      </c>
      <c r="B6" s="48" t="s">
        <v>78</v>
      </c>
    </row>
    <row r="7" spans="1:4">
      <c r="A7" s="49">
        <v>1</v>
      </c>
      <c r="B7" s="50" t="s">
        <v>79</v>
      </c>
      <c r="C7" s="47"/>
      <c r="D7" s="51"/>
    </row>
    <row r="8" spans="1:4">
      <c r="A8" s="52">
        <v>2</v>
      </c>
      <c r="B8" s="53" t="s">
        <v>80</v>
      </c>
      <c r="C8" s="54"/>
      <c r="D8" s="51"/>
    </row>
    <row r="9" spans="1:4">
      <c r="A9" s="52">
        <v>3</v>
      </c>
      <c r="B9" s="53" t="s">
        <v>125</v>
      </c>
      <c r="C9" s="54"/>
      <c r="D9" s="51"/>
    </row>
    <row r="10" spans="1:4">
      <c r="A10" s="52">
        <v>4</v>
      </c>
      <c r="B10" s="53" t="s">
        <v>81</v>
      </c>
      <c r="C10" s="54"/>
      <c r="D10" s="51"/>
    </row>
    <row r="11" spans="1:4">
      <c r="A11" s="49">
        <v>5</v>
      </c>
      <c r="B11" s="53" t="s">
        <v>82</v>
      </c>
      <c r="C11" s="54"/>
      <c r="D11" s="51"/>
    </row>
    <row r="12" spans="1:4">
      <c r="A12" s="49">
        <v>6</v>
      </c>
      <c r="B12" s="53" t="s">
        <v>170</v>
      </c>
      <c r="C12" s="54"/>
      <c r="D12" s="51"/>
    </row>
    <row r="13" spans="1:4">
      <c r="A13" s="49">
        <v>7</v>
      </c>
      <c r="B13" s="53" t="s">
        <v>83</v>
      </c>
      <c r="C13" s="54"/>
      <c r="D13" s="51"/>
    </row>
    <row r="14" spans="1:4">
      <c r="A14" s="49">
        <v>8</v>
      </c>
      <c r="B14" s="1476" t="s">
        <v>551</v>
      </c>
      <c r="C14" s="1477"/>
      <c r="D14" s="51"/>
    </row>
    <row r="15" spans="1:4">
      <c r="A15" s="52">
        <v>9</v>
      </c>
      <c r="B15" s="53" t="s">
        <v>84</v>
      </c>
      <c r="C15" s="54"/>
      <c r="D15" s="51"/>
    </row>
    <row r="16" spans="1:4">
      <c r="A16" s="52">
        <v>10</v>
      </c>
      <c r="B16" s="53" t="s">
        <v>171</v>
      </c>
      <c r="C16" s="54"/>
      <c r="D16" s="51"/>
    </row>
    <row r="17" spans="1:4">
      <c r="A17" s="52">
        <v>11</v>
      </c>
      <c r="B17" s="53" t="s">
        <v>126</v>
      </c>
      <c r="C17" s="54"/>
      <c r="D17" s="51"/>
    </row>
    <row r="18" spans="1:4">
      <c r="A18" s="49">
        <v>12</v>
      </c>
      <c r="B18" s="53" t="s">
        <v>126</v>
      </c>
      <c r="C18" s="54"/>
      <c r="D18" s="51"/>
    </row>
    <row r="19" spans="1:4">
      <c r="A19" s="49">
        <v>13</v>
      </c>
      <c r="B19" s="53" t="s">
        <v>126</v>
      </c>
      <c r="C19" s="54"/>
      <c r="D19" s="51"/>
    </row>
    <row r="20" spans="1:4">
      <c r="A20" s="49">
        <v>14</v>
      </c>
      <c r="B20" s="53" t="s">
        <v>126</v>
      </c>
      <c r="C20" s="54"/>
      <c r="D20" s="51"/>
    </row>
    <row r="21" spans="1:4">
      <c r="A21" s="52">
        <v>15</v>
      </c>
      <c r="B21" s="53" t="s">
        <v>126</v>
      </c>
      <c r="C21" s="54"/>
      <c r="D21" s="51"/>
    </row>
    <row r="22" spans="1:4">
      <c r="A22" s="52">
        <v>16</v>
      </c>
      <c r="B22" t="s">
        <v>124</v>
      </c>
      <c r="D22" s="51"/>
    </row>
    <row r="23" spans="1:4">
      <c r="A23" s="52">
        <v>17</v>
      </c>
      <c r="B23" s="55" t="s">
        <v>122</v>
      </c>
      <c r="C23" s="55"/>
      <c r="D23" s="56">
        <f>SUM(D7:D22)</f>
        <v>0</v>
      </c>
    </row>
    <row r="25" spans="1:4">
      <c r="A25" s="49">
        <v>18</v>
      </c>
      <c r="B25" s="50" t="s">
        <v>85</v>
      </c>
      <c r="C25" s="47"/>
      <c r="D25" s="57">
        <f>IF(D5&gt;0,D23/D5,0)</f>
        <v>0</v>
      </c>
    </row>
    <row r="27" spans="1:4">
      <c r="A27" s="49">
        <v>19</v>
      </c>
      <c r="B27" s="50" t="s">
        <v>172</v>
      </c>
      <c r="C27" s="47"/>
      <c r="D27" s="56">
        <f>IF(D25&gt;0,D25/1924*12,0)</f>
        <v>0</v>
      </c>
    </row>
    <row r="28" spans="1:4">
      <c r="A28" s="295"/>
    </row>
    <row r="29" spans="1:4">
      <c r="A29" s="49">
        <v>20</v>
      </c>
      <c r="B29" s="50" t="s">
        <v>86</v>
      </c>
      <c r="C29" s="47"/>
      <c r="D29" s="57">
        <f>D$27*25%</f>
        <v>0</v>
      </c>
    </row>
    <row r="30" spans="1:4">
      <c r="A30" s="295"/>
      <c r="D30" s="58"/>
    </row>
    <row r="31" spans="1:4">
      <c r="A31" s="49">
        <v>21</v>
      </c>
      <c r="B31" s="50" t="s">
        <v>87</v>
      </c>
      <c r="C31" s="47"/>
      <c r="D31" s="57">
        <f>D$27*50%</f>
        <v>0</v>
      </c>
    </row>
    <row r="32" spans="1:4">
      <c r="A32" s="295"/>
      <c r="D32" s="58"/>
    </row>
    <row r="33" spans="1:4">
      <c r="A33" s="49">
        <v>22</v>
      </c>
      <c r="B33" s="50" t="s">
        <v>88</v>
      </c>
      <c r="C33" s="47"/>
      <c r="D33" s="57">
        <f>D$27</f>
        <v>0</v>
      </c>
    </row>
    <row r="35" spans="1:4">
      <c r="A35" s="49">
        <v>23</v>
      </c>
      <c r="B35" s="50" t="s">
        <v>89</v>
      </c>
      <c r="C35" s="47"/>
      <c r="D35" s="57">
        <f>SUM(D29:D33)</f>
        <v>0</v>
      </c>
    </row>
  </sheetData>
  <sheetProtection sheet="1" formatCells="0" formatColumns="0" formatRows="0"/>
  <mergeCells count="1">
    <mergeCell ref="B14:C14"/>
  </mergeCells>
  <pageMargins left="0.75" right="0.75" top="1" bottom="1" header="0.5" footer="0.5"/>
  <pageSetup paperSize="9" scale="84"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241" t="e">
        <f>_xlfn.SINGLE(Arbejdstidsoversigt!#REF!)</f>
        <v>#REF!</v>
      </c>
      <c r="D2" s="1242"/>
      <c r="E2" s="1243"/>
    </row>
    <row r="3" spans="2:8">
      <c r="B3" s="2" t="s">
        <v>2</v>
      </c>
      <c r="C3" s="1489" t="e">
        <f>_xlfn.SINGLE(Arbejdstidsoversigt!#REF!)</f>
        <v>#REF!</v>
      </c>
      <c r="D3" s="1489"/>
      <c r="E3" s="1489"/>
    </row>
    <row r="4" spans="2:8">
      <c r="B4" s="2" t="s">
        <v>3</v>
      </c>
      <c r="C4" s="1489" t="e">
        <f>Arbejdstidsoversigt!#REF!</f>
        <v>#REF!</v>
      </c>
      <c r="D4" s="1489"/>
      <c r="E4" s="1489"/>
    </row>
    <row r="5" spans="2:8" ht="34" customHeight="1">
      <c r="B5" s="1490" t="s">
        <v>23</v>
      </c>
      <c r="C5" s="1490"/>
      <c r="D5" s="1490"/>
      <c r="E5" s="1490"/>
    </row>
    <row r="6" spans="2:8" ht="15" customHeight="1">
      <c r="B6" s="3"/>
      <c r="C6" s="3"/>
      <c r="D6" s="3"/>
      <c r="E6" s="3"/>
    </row>
    <row r="7" spans="2:8" ht="21">
      <c r="B7" s="5" t="s">
        <v>0</v>
      </c>
    </row>
    <row r="8" spans="2:8" ht="31">
      <c r="B8" s="1493" t="s">
        <v>48</v>
      </c>
      <c r="C8" s="1494"/>
      <c r="D8" s="1494"/>
      <c r="E8" s="1494"/>
      <c r="F8" s="1494"/>
      <c r="G8" s="1494"/>
      <c r="H8" s="1495"/>
    </row>
    <row r="9" spans="2:8" ht="15" customHeight="1">
      <c r="B9" s="1496" t="s">
        <v>52</v>
      </c>
      <c r="C9" s="1497"/>
      <c r="D9" s="1497"/>
      <c r="E9" s="1497"/>
      <c r="F9" s="1497"/>
      <c r="G9" s="1497"/>
      <c r="H9" s="1498"/>
    </row>
    <row r="10" spans="2:8" ht="34">
      <c r="B10" s="26" t="s">
        <v>32</v>
      </c>
      <c r="C10" s="27" t="s">
        <v>33</v>
      </c>
      <c r="D10" s="28" t="s">
        <v>34</v>
      </c>
      <c r="E10" s="28" t="s">
        <v>35</v>
      </c>
      <c r="F10" s="28" t="s">
        <v>36</v>
      </c>
      <c r="G10" s="28" t="s">
        <v>37</v>
      </c>
      <c r="H10" s="28" t="s">
        <v>38</v>
      </c>
    </row>
    <row r="11" spans="2:8" ht="15" customHeight="1">
      <c r="B11" s="24">
        <v>1</v>
      </c>
      <c r="C11" s="29">
        <v>15</v>
      </c>
      <c r="D11" s="29" t="s">
        <v>43</v>
      </c>
      <c r="E11" s="31"/>
      <c r="F11" s="31" t="s">
        <v>43</v>
      </c>
      <c r="G11" s="31"/>
      <c r="H11" s="29" t="s">
        <v>43</v>
      </c>
    </row>
    <row r="12" spans="2:8" ht="15" customHeight="1">
      <c r="B12" s="24">
        <v>2</v>
      </c>
      <c r="C12" s="29">
        <v>60</v>
      </c>
      <c r="D12" s="29" t="s">
        <v>6</v>
      </c>
      <c r="E12" s="31" t="s">
        <v>5</v>
      </c>
      <c r="F12" s="31" t="s">
        <v>8</v>
      </c>
      <c r="G12" s="31" t="s">
        <v>41</v>
      </c>
      <c r="H12" s="31" t="s">
        <v>45</v>
      </c>
    </row>
    <row r="13" spans="2:8" ht="15" customHeight="1">
      <c r="B13" s="24">
        <v>3</v>
      </c>
      <c r="C13" s="29">
        <v>60</v>
      </c>
      <c r="D13" s="29" t="s">
        <v>39</v>
      </c>
      <c r="E13" s="31" t="s">
        <v>6</v>
      </c>
      <c r="F13" s="31" t="s">
        <v>5</v>
      </c>
      <c r="G13" s="31" t="s">
        <v>41</v>
      </c>
      <c r="H13" s="31" t="s">
        <v>7</v>
      </c>
    </row>
    <row r="14" spans="2:8" ht="15" customHeight="1">
      <c r="B14" s="24">
        <v>4</v>
      </c>
      <c r="C14" s="29">
        <v>60</v>
      </c>
      <c r="D14" s="29" t="s">
        <v>8</v>
      </c>
      <c r="E14" s="31" t="s">
        <v>6</v>
      </c>
      <c r="F14" s="31" t="s">
        <v>5</v>
      </c>
      <c r="G14" s="31" t="s">
        <v>5</v>
      </c>
      <c r="H14" s="31" t="s">
        <v>7</v>
      </c>
    </row>
    <row r="15" spans="2:8" ht="15" customHeight="1">
      <c r="B15" s="24">
        <v>5</v>
      </c>
      <c r="C15" s="29">
        <v>45</v>
      </c>
      <c r="D15" s="29"/>
      <c r="E15" s="31" t="s">
        <v>42</v>
      </c>
      <c r="F15" s="31" t="s">
        <v>44</v>
      </c>
      <c r="G15" s="31"/>
      <c r="H15" s="31" t="s">
        <v>5</v>
      </c>
    </row>
    <row r="16" spans="2:8" ht="15" customHeight="1">
      <c r="B16" s="32">
        <v>6</v>
      </c>
      <c r="C16" s="29">
        <v>45</v>
      </c>
      <c r="D16" s="31" t="s">
        <v>40</v>
      </c>
      <c r="E16" s="31" t="s">
        <v>42</v>
      </c>
      <c r="F16" s="31" t="s">
        <v>44</v>
      </c>
      <c r="G16" s="31"/>
      <c r="H16" s="29"/>
    </row>
    <row r="17" spans="1:8" ht="15" customHeight="1">
      <c r="B17" s="32">
        <v>7</v>
      </c>
      <c r="C17" s="29">
        <v>45</v>
      </c>
      <c r="D17" s="31" t="s">
        <v>40</v>
      </c>
      <c r="E17" s="31"/>
      <c r="F17" s="31"/>
      <c r="G17" s="31"/>
      <c r="H17" s="29"/>
    </row>
    <row r="18" spans="1:8" ht="15" customHeight="1">
      <c r="B18" s="32">
        <v>8</v>
      </c>
      <c r="C18" s="29">
        <v>45</v>
      </c>
      <c r="D18" s="31"/>
      <c r="E18" s="31"/>
      <c r="F18" s="31"/>
      <c r="G18" s="31"/>
      <c r="H18" s="30"/>
    </row>
    <row r="19" spans="1:8" ht="15" customHeight="1">
      <c r="B19" s="1499" t="s">
        <v>55</v>
      </c>
      <c r="C19" s="1500"/>
      <c r="D19" s="31">
        <v>38</v>
      </c>
      <c r="E19" s="31">
        <v>40</v>
      </c>
      <c r="F19" s="31">
        <v>39</v>
      </c>
      <c r="G19" s="31">
        <v>39</v>
      </c>
      <c r="H19" s="31">
        <v>38</v>
      </c>
    </row>
    <row r="20" spans="1:8" ht="15" customHeight="1">
      <c r="B20" s="818" t="s">
        <v>57</v>
      </c>
      <c r="C20" s="820"/>
      <c r="D20" s="28" t="e">
        <f>(IF(D11&lt;&gt;0,D19*$C$24)+IF(D12&lt;&gt;0,$C$25*D19)+IF(D13&lt;&gt;0,D19*$C$26)+IF(D14&lt;&gt;0,D19*$C$27)+IF(D15&lt;&gt;0,D19*$C$28)+IF(D16&lt;&gt;0,D19*$C$29)+IF(D17&lt;&gt;0,D19*$C$30)+IF(D18&lt;&gt;0,D19*$C$31))/60</f>
        <v>#VALUE!</v>
      </c>
      <c r="E20" s="28" t="e">
        <f>(IF(E11&lt;&gt;0,E19*$C$24)+IF(E12&lt;&gt;0,$C$25*E19)+IF(E13&lt;&gt;0,E19*$C$26)+IF(E14&lt;&gt;0,E19*$C$27)+IF(E15&lt;&gt;0,E19*$C$28)+IF(E16&lt;&gt;0,E19*$C$29)+IF(E17&lt;&gt;0,E19*$C$30)+IF(E18&lt;&gt;0,E19*$C$31))/60</f>
        <v>#VALUE!</v>
      </c>
      <c r="F20" s="28" t="e">
        <f>(IF(F11&lt;&gt;0,F19*$C$24)+IF(F12&lt;&gt;0,$C$25*F19)+IF(F13&lt;&gt;0,F19*$C$26)+IF(F14&lt;&gt;0,F19*$C$27)+IF(F15&lt;&gt;0,F19*$C$28)+IF(F16&lt;&gt;0,F19*$C$29)+IF(F17&lt;&gt;0,F19*$C$30)+IF(F18&lt;&gt;0,F19*$C$31))/60</f>
        <v>#VALUE!</v>
      </c>
      <c r="G20" s="28" t="e">
        <f>(IF(G11&lt;&gt;0,G19*$C$24)+IF(G12&lt;&gt;0,$C$25*G19)+IF(G13&lt;&gt;0,G19*$C$26)+IF(G14&lt;&gt;0,G19*$C$27)+IF(G15&lt;&gt;0,G19*$C$28)+IF(G16&lt;&gt;0,G19*$C$29)+IF(G17&lt;&gt;0,G19*$C$30)+IF(G18&lt;&gt;0,G19*$C$31))/60</f>
        <v>#VALUE!</v>
      </c>
      <c r="H20" s="28" t="e">
        <f>(IF(H11&lt;&gt;0,H19*$C$24)+IF(H12&lt;&gt;0,$C$25*H19)+IF(H13&lt;&gt;0,H19*$C$26)+IF(H14&lt;&gt;0,H19*$C$27)+IF(H15&lt;&gt;0,H19*$C$28)+IF(H16&lt;&gt;0,H19*$C$29)+IF(H17&lt;&gt;0,H19*$C$30)+IF(H18&lt;&gt;0,H19*$C$31))/60</f>
        <v>#VALUE!</v>
      </c>
    </row>
    <row r="21" spans="1:8" ht="15" customHeight="1">
      <c r="B21" s="1501" t="s">
        <v>54</v>
      </c>
      <c r="C21" s="832" t="s">
        <v>46</v>
      </c>
      <c r="D21" s="833"/>
      <c r="E21" s="833"/>
      <c r="F21" s="833"/>
      <c r="G21" s="1481"/>
      <c r="H21" s="28" t="e">
        <f>SUM(D20:H20)</f>
        <v>#VALUE!</v>
      </c>
    </row>
    <row r="22" spans="1:8" ht="15" customHeight="1">
      <c r="B22" s="1502"/>
      <c r="C22" s="1478" t="s">
        <v>49</v>
      </c>
      <c r="D22" s="1479"/>
      <c r="E22" s="1479"/>
      <c r="F22" s="1479"/>
      <c r="G22" s="1480"/>
      <c r="H22" s="31">
        <v>32</v>
      </c>
    </row>
    <row r="23" spans="1:8" ht="15" customHeight="1">
      <c r="B23" s="1502"/>
      <c r="C23" s="1478" t="s">
        <v>50</v>
      </c>
      <c r="D23" s="1479"/>
      <c r="E23" s="1479"/>
      <c r="F23" s="1479"/>
      <c r="G23" s="1480"/>
      <c r="H23" s="31">
        <v>12</v>
      </c>
    </row>
    <row r="24" spans="1:8" ht="15" customHeight="1">
      <c r="A24" s="1488"/>
      <c r="B24" s="1502"/>
      <c r="C24" s="1478" t="s">
        <v>51</v>
      </c>
      <c r="D24" s="1479"/>
      <c r="E24" s="1479"/>
      <c r="F24" s="1479"/>
      <c r="G24" s="1480"/>
      <c r="H24" s="31">
        <v>65</v>
      </c>
    </row>
    <row r="25" spans="1:8" ht="15" customHeight="1">
      <c r="A25" s="1488"/>
      <c r="B25" s="1503"/>
      <c r="C25" s="832" t="s">
        <v>47</v>
      </c>
      <c r="D25" s="833"/>
      <c r="E25" s="833"/>
      <c r="F25" s="833"/>
      <c r="G25" s="1481"/>
      <c r="H25" s="28" t="e">
        <f>SUM(H21:H24)</f>
        <v>#VALUE!</v>
      </c>
    </row>
    <row r="26" spans="1:8">
      <c r="A26" s="1488"/>
      <c r="B26" s="14" t="s">
        <v>12</v>
      </c>
      <c r="C26" s="15">
        <v>5</v>
      </c>
      <c r="D26" s="15">
        <v>8</v>
      </c>
      <c r="E26" s="18">
        <f>D26*C26</f>
        <v>40</v>
      </c>
    </row>
    <row r="27" spans="1:8" ht="17" thickBot="1">
      <c r="A27" s="1488"/>
      <c r="B27" s="20"/>
      <c r="C27" s="21"/>
      <c r="D27" s="21"/>
      <c r="E27" s="22"/>
    </row>
    <row r="28" spans="1:8" ht="17" thickBot="1">
      <c r="A28" s="1488"/>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488"/>
      <c r="B35" s="6" t="s">
        <v>15</v>
      </c>
    </row>
    <row r="36" spans="1:5" ht="17" thickBot="1">
      <c r="A36" s="1488"/>
      <c r="B36" s="1486" t="s">
        <v>15</v>
      </c>
      <c r="C36" s="1487"/>
      <c r="D36" s="12" t="s">
        <v>19</v>
      </c>
    </row>
    <row r="37" spans="1:5">
      <c r="A37" s="1488"/>
      <c r="B37" s="1491" t="s">
        <v>16</v>
      </c>
      <c r="C37" s="1492"/>
      <c r="D37" s="18"/>
      <c r="E37" s="4"/>
    </row>
    <row r="38" spans="1:5">
      <c r="A38" s="1488"/>
      <c r="B38" s="1482" t="s">
        <v>18</v>
      </c>
      <c r="C38" s="1483"/>
      <c r="D38" s="19"/>
      <c r="E38" s="4"/>
    </row>
    <row r="39" spans="1:5">
      <c r="B39" s="1482" t="s">
        <v>21</v>
      </c>
      <c r="C39" s="1483"/>
      <c r="D39" s="19"/>
      <c r="E39" s="4"/>
    </row>
    <row r="40" spans="1:5">
      <c r="B40" s="1482"/>
      <c r="C40" s="1483"/>
      <c r="D40" s="19"/>
      <c r="E40" s="4"/>
    </row>
    <row r="41" spans="1:5">
      <c r="B41" s="1482"/>
      <c r="C41" s="1483"/>
      <c r="D41" s="19"/>
      <c r="E41" s="4"/>
    </row>
    <row r="42" spans="1:5">
      <c r="B42" s="1482"/>
      <c r="C42" s="1483"/>
      <c r="D42" s="19"/>
      <c r="E42" s="4"/>
    </row>
    <row r="43" spans="1:5">
      <c r="B43" s="1482"/>
      <c r="C43" s="1483"/>
      <c r="D43" s="19"/>
      <c r="E43" s="4"/>
    </row>
    <row r="44" spans="1:5">
      <c r="B44" s="1482"/>
      <c r="C44" s="1483"/>
      <c r="D44" s="19"/>
      <c r="E44" s="4"/>
    </row>
    <row r="45" spans="1:5">
      <c r="B45" s="1482"/>
      <c r="C45" s="1483"/>
      <c r="D45" s="19"/>
      <c r="E45" s="4"/>
    </row>
    <row r="46" spans="1:5">
      <c r="B46" s="1482"/>
      <c r="C46" s="1483"/>
      <c r="D46" s="19"/>
      <c r="E46" s="4"/>
    </row>
    <row r="47" spans="1:5">
      <c r="B47" s="1482"/>
      <c r="C47" s="1483"/>
      <c r="D47" s="19"/>
      <c r="E47" s="4"/>
    </row>
    <row r="48" spans="1:5">
      <c r="B48" s="1482"/>
      <c r="C48" s="1483"/>
      <c r="D48" s="19"/>
      <c r="E48" s="4"/>
    </row>
    <row r="49" spans="2:5">
      <c r="B49" s="1482"/>
      <c r="C49" s="1483"/>
      <c r="D49" s="19"/>
      <c r="E49" s="4"/>
    </row>
    <row r="50" spans="2:5">
      <c r="B50" s="1482"/>
      <c r="C50" s="1483"/>
      <c r="D50" s="19"/>
      <c r="E50" s="4"/>
    </row>
    <row r="51" spans="2:5" ht="17" thickBot="1">
      <c r="B51" s="1484"/>
      <c r="C51" s="1485"/>
      <c r="D51" s="22"/>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1"/>
  <sheetViews>
    <sheetView showZeros="0" view="pageLayout" workbookViewId="0">
      <selection activeCell="G1" sqref="G1"/>
    </sheetView>
  </sheetViews>
  <sheetFormatPr baseColWidth="10" defaultRowHeight="12"/>
  <cols>
    <col min="1" max="1" width="3" style="62" customWidth="1"/>
    <col min="2" max="2" width="3.33203125" style="62" customWidth="1"/>
    <col min="3" max="3" width="12.1640625" style="62" customWidth="1"/>
    <col min="4" max="5" width="3" style="62" customWidth="1"/>
    <col min="6" max="6" width="3.33203125" style="62" customWidth="1"/>
    <col min="7" max="7" width="12.1640625" style="62" customWidth="1"/>
    <col min="8" max="8" width="2.5" style="62" customWidth="1"/>
    <col min="9" max="9" width="3" style="62" customWidth="1"/>
    <col min="10" max="10" width="3.33203125" style="62" customWidth="1"/>
    <col min="11" max="11" width="12.1640625" style="62" customWidth="1"/>
    <col min="12" max="12" width="2.5" style="62" customWidth="1"/>
    <col min="13" max="13" width="3" style="62" customWidth="1"/>
    <col min="14" max="14" width="3.33203125" style="62" customWidth="1"/>
    <col min="15" max="15" width="12.1640625" style="62" customWidth="1"/>
    <col min="16" max="16" width="2.5" style="62" customWidth="1"/>
    <col min="17" max="17" width="3" style="62" customWidth="1"/>
    <col min="18" max="18" width="3.33203125" style="62" customWidth="1"/>
    <col min="19" max="19" width="12.1640625" style="62" customWidth="1"/>
    <col min="20" max="20" width="2.5" style="62" customWidth="1"/>
    <col min="21" max="21" width="3" style="62" customWidth="1"/>
    <col min="22" max="22" width="3.33203125" style="62" customWidth="1"/>
    <col min="23" max="23" width="12.1640625" style="62" customWidth="1"/>
    <col min="24" max="24" width="2.5" style="62" customWidth="1"/>
    <col min="25" max="25" width="3" style="62" customWidth="1"/>
    <col min="26" max="26" width="3.33203125" style="62" customWidth="1"/>
    <col min="27" max="27" width="12.1640625" style="62" customWidth="1"/>
    <col min="28" max="28" width="2.5" style="62" customWidth="1"/>
    <col min="29" max="29" width="3" style="62" customWidth="1"/>
    <col min="30" max="30" width="3.33203125" style="62" customWidth="1"/>
    <col min="31" max="31" width="12.1640625" style="62" customWidth="1"/>
    <col min="32" max="32" width="2.5" style="62" customWidth="1"/>
    <col min="33" max="33" width="3" style="62" customWidth="1"/>
    <col min="34" max="34" width="3.33203125" style="62" customWidth="1"/>
    <col min="35" max="35" width="12.1640625" style="62" customWidth="1"/>
    <col min="36" max="36" width="2.5" style="62" customWidth="1"/>
    <col min="37" max="37" width="3" style="62" customWidth="1"/>
    <col min="38" max="38" width="3.33203125" style="62" customWidth="1"/>
    <col min="39" max="39" width="12.1640625" style="62" customWidth="1"/>
    <col min="40" max="40" width="2.5" style="62" customWidth="1"/>
    <col min="41" max="41" width="3" style="62" customWidth="1"/>
    <col min="42" max="42" width="3.33203125" style="62" customWidth="1"/>
    <col min="43" max="43" width="12.1640625" style="62" customWidth="1"/>
    <col min="44" max="44" width="2.5" style="62" customWidth="1"/>
    <col min="45" max="45" width="3" style="62" customWidth="1"/>
    <col min="46" max="46" width="3.6640625" style="62" customWidth="1"/>
    <col min="47" max="47" width="12.1640625" style="62" customWidth="1"/>
    <col min="48" max="48" width="4.33203125" style="62" customWidth="1"/>
    <col min="49" max="16384" width="10.83203125" style="62"/>
  </cols>
  <sheetData>
    <row r="1" spans="1:48" ht="30" customHeight="1" thickBot="1">
      <c r="A1" s="107" t="str">
        <f>"ÅRSKALENDER  for  "&amp;Stamoplysninger!E8&amp;" vedr. skoleåret "&amp;Stamoplysninger!F6&amp;""</f>
        <v>ÅRSKALENDER  for   vedr. skoleåret 2024-2025</v>
      </c>
      <c r="B1" s="105"/>
      <c r="C1" s="104"/>
      <c r="D1" s="106"/>
      <c r="E1" s="104"/>
      <c r="F1" s="105"/>
      <c r="G1" s="104"/>
      <c r="H1" s="106"/>
      <c r="I1" s="104"/>
      <c r="J1" s="105"/>
      <c r="K1" s="104"/>
      <c r="L1" s="106"/>
      <c r="M1" s="104"/>
      <c r="N1" s="105"/>
      <c r="O1" s="104"/>
      <c r="P1" s="106"/>
      <c r="Q1" s="104"/>
      <c r="R1" s="105"/>
      <c r="S1" s="104"/>
      <c r="T1" s="106"/>
      <c r="U1" s="104"/>
      <c r="V1" s="105"/>
      <c r="W1" s="104"/>
      <c r="X1" s="106"/>
      <c r="Y1" s="104"/>
      <c r="Z1" s="105"/>
      <c r="AA1" s="104"/>
      <c r="AB1" s="106"/>
      <c r="AC1" s="104"/>
      <c r="AD1" s="105"/>
      <c r="AE1" s="104"/>
      <c r="AF1" s="106"/>
      <c r="AG1" s="104"/>
      <c r="AH1" s="105"/>
      <c r="AI1" s="104"/>
      <c r="AJ1" s="106"/>
      <c r="AK1" s="104"/>
      <c r="AL1" s="105"/>
      <c r="AM1" s="104"/>
      <c r="AN1" s="106"/>
      <c r="AO1" s="104"/>
      <c r="AP1" s="105"/>
      <c r="AQ1" s="104"/>
      <c r="AR1" s="106"/>
      <c r="AS1" s="104"/>
      <c r="AT1" s="105"/>
      <c r="AU1" s="104"/>
      <c r="AV1" s="103"/>
    </row>
    <row r="2" spans="1:48" ht="24" customHeight="1">
      <c r="A2" s="550" t="s">
        <v>91</v>
      </c>
      <c r="B2" s="551"/>
      <c r="C2" s="552"/>
      <c r="D2" s="553"/>
      <c r="E2" s="549" t="s">
        <v>92</v>
      </c>
      <c r="F2" s="100"/>
      <c r="G2" s="99"/>
      <c r="H2" s="98"/>
      <c r="I2" s="102" t="s">
        <v>93</v>
      </c>
      <c r="J2" s="100"/>
      <c r="K2" s="99"/>
      <c r="L2" s="98"/>
      <c r="M2" s="101" t="s">
        <v>94</v>
      </c>
      <c r="N2" s="100"/>
      <c r="O2" s="99"/>
      <c r="P2" s="98"/>
      <c r="Q2" s="101" t="s">
        <v>95</v>
      </c>
      <c r="R2" s="100"/>
      <c r="S2" s="99"/>
      <c r="T2" s="98"/>
      <c r="U2" s="101" t="s">
        <v>96</v>
      </c>
      <c r="V2" s="100"/>
      <c r="W2" s="99"/>
      <c r="X2" s="98"/>
      <c r="Y2" s="102" t="s">
        <v>99</v>
      </c>
      <c r="Z2" s="100"/>
      <c r="AA2" s="99"/>
      <c r="AB2" s="98"/>
      <c r="AC2" s="101" t="s">
        <v>100</v>
      </c>
      <c r="AD2" s="100"/>
      <c r="AE2" s="99"/>
      <c r="AF2" s="98"/>
      <c r="AG2" s="101" t="s">
        <v>101</v>
      </c>
      <c r="AH2" s="100"/>
      <c r="AI2" s="99"/>
      <c r="AJ2" s="98"/>
      <c r="AK2" s="101" t="s">
        <v>102</v>
      </c>
      <c r="AL2" s="100"/>
      <c r="AM2" s="99"/>
      <c r="AN2" s="98"/>
      <c r="AO2" s="101" t="s">
        <v>103</v>
      </c>
      <c r="AP2" s="100"/>
      <c r="AQ2" s="99"/>
      <c r="AR2" s="98"/>
      <c r="AS2" s="101" t="s">
        <v>104</v>
      </c>
      <c r="AT2" s="100"/>
      <c r="AU2" s="99"/>
      <c r="AV2" s="98"/>
    </row>
    <row r="3" spans="1:48" ht="24" customHeight="1">
      <c r="A3" s="554">
        <f>August!A10</f>
        <v>1</v>
      </c>
      <c r="B3" s="555" t="str">
        <f>August!B10</f>
        <v>to</v>
      </c>
      <c r="C3" s="123" t="str">
        <f>August!C10</f>
        <v>Feriedag</v>
      </c>
      <c r="D3" s="126" t="str">
        <f>August!D10</f>
        <v/>
      </c>
      <c r="E3" s="554">
        <f>September!A9</f>
        <v>1</v>
      </c>
      <c r="F3" s="555" t="str">
        <f>September!B9</f>
        <v>sø</v>
      </c>
      <c r="G3" s="123" t="str">
        <f>September!C9</f>
        <v>Weekend</v>
      </c>
      <c r="H3" s="126" t="str">
        <f>September!D9</f>
        <v/>
      </c>
      <c r="I3" s="554">
        <f>Oktober!A9</f>
        <v>1</v>
      </c>
      <c r="J3" s="555" t="str">
        <f>Oktober!B9</f>
        <v>ti</v>
      </c>
      <c r="K3" s="123" t="str">
        <f>Oktober!C9</f>
        <v>Skema 1</v>
      </c>
      <c r="L3" s="126" t="str">
        <f>Oktober!D9</f>
        <v/>
      </c>
      <c r="M3" s="554">
        <f>November!A9</f>
        <v>1</v>
      </c>
      <c r="N3" s="555" t="str">
        <f>November!B9</f>
        <v>fr</v>
      </c>
      <c r="O3" s="123" t="str">
        <f>November!C9</f>
        <v>Skema 1</v>
      </c>
      <c r="P3" s="126" t="str">
        <f>November!D9</f>
        <v/>
      </c>
      <c r="Q3" s="554">
        <f>December!A9</f>
        <v>1</v>
      </c>
      <c r="R3" s="555" t="str">
        <f>December!B9</f>
        <v>sø</v>
      </c>
      <c r="S3" s="123" t="str">
        <f>December!C9</f>
        <v>Weekend</v>
      </c>
      <c r="T3" s="126" t="str">
        <f>December!D9</f>
        <v/>
      </c>
      <c r="U3" s="63">
        <f>Januar!A9</f>
        <v>1</v>
      </c>
      <c r="V3" s="63" t="str">
        <f>Januar!B9</f>
        <v>on</v>
      </c>
      <c r="W3" s="123" t="str">
        <f>Januar!C9</f>
        <v>SH-dag</v>
      </c>
      <c r="X3" s="125" t="str">
        <f>Januar!D9</f>
        <v/>
      </c>
      <c r="Y3" s="554">
        <f>Februar!A9</f>
        <v>1</v>
      </c>
      <c r="Z3" s="555" t="str">
        <f>Februar!B9</f>
        <v>lø</v>
      </c>
      <c r="AA3" s="123" t="str">
        <f>Februar!C9</f>
        <v>Weekend</v>
      </c>
      <c r="AB3" s="126" t="str">
        <f>Februar!D9</f>
        <v/>
      </c>
      <c r="AC3" s="63">
        <f>Marts!A9</f>
        <v>1</v>
      </c>
      <c r="AD3" s="63" t="str">
        <f>Marts!B9</f>
        <v>lø</v>
      </c>
      <c r="AE3" s="123" t="str">
        <f>Marts!C9</f>
        <v>Weekend</v>
      </c>
      <c r="AF3" s="125" t="str">
        <f>Marts!D9</f>
        <v/>
      </c>
      <c r="AG3" s="554">
        <f>April!A9</f>
        <v>1</v>
      </c>
      <c r="AH3" s="555" t="str">
        <f>April!B9</f>
        <v>ti</v>
      </c>
      <c r="AI3" s="123" t="str">
        <f>April!C9</f>
        <v>Skema 1</v>
      </c>
      <c r="AJ3" s="126" t="str">
        <f>April!D9</f>
        <v/>
      </c>
      <c r="AK3" s="562">
        <f>Maj!A9</f>
        <v>1</v>
      </c>
      <c r="AL3" s="466" t="str">
        <f>Maj!B9</f>
        <v>to</v>
      </c>
      <c r="AM3" s="123" t="str">
        <f>Maj!C9</f>
        <v>Skema 1</v>
      </c>
      <c r="AN3" s="563" t="str">
        <f>Maj!D9</f>
        <v/>
      </c>
      <c r="AO3" s="562">
        <f>Juni!A9</f>
        <v>1</v>
      </c>
      <c r="AP3" s="466" t="str">
        <f>Juni!B9</f>
        <v>sø</v>
      </c>
      <c r="AQ3" s="123" t="str">
        <f>Juni!C9</f>
        <v>Weekend</v>
      </c>
      <c r="AR3" s="563" t="str">
        <f>Juni!D9</f>
        <v/>
      </c>
      <c r="AS3" s="562">
        <f>Juli!A9</f>
        <v>1</v>
      </c>
      <c r="AT3" s="466" t="str">
        <f>Juli!B9</f>
        <v>ti</v>
      </c>
      <c r="AU3" s="123" t="str">
        <f>Juli!C9</f>
        <v>Nul-dag</v>
      </c>
      <c r="AV3" s="563" t="str">
        <f>Juli!D9</f>
        <v/>
      </c>
    </row>
    <row r="4" spans="1:48" ht="24" customHeight="1">
      <c r="A4" s="556">
        <f>August!A11</f>
        <v>2</v>
      </c>
      <c r="B4" s="63" t="str">
        <f>August!B11</f>
        <v>fr</v>
      </c>
      <c r="C4" s="124" t="str">
        <f>August!C11</f>
        <v>Feriedag</v>
      </c>
      <c r="D4" s="557" t="str">
        <f>August!D11</f>
        <v/>
      </c>
      <c r="E4" s="556">
        <f>September!A10</f>
        <v>2</v>
      </c>
      <c r="F4" s="63" t="str">
        <f>September!B10</f>
        <v>ma</v>
      </c>
      <c r="G4" s="123" t="str">
        <f>September!C10</f>
        <v>Skema 1</v>
      </c>
      <c r="H4" s="557">
        <f>September!D10</f>
        <v>36</v>
      </c>
      <c r="I4" s="556">
        <f>Oktober!A10</f>
        <v>2</v>
      </c>
      <c r="J4" s="63" t="str">
        <f>Oktober!B10</f>
        <v>on</v>
      </c>
      <c r="K4" s="124" t="str">
        <f>Oktober!C10</f>
        <v>Skema 1</v>
      </c>
      <c r="L4" s="557" t="str">
        <f>Oktober!D10</f>
        <v/>
      </c>
      <c r="M4" s="556">
        <f>November!A10</f>
        <v>2</v>
      </c>
      <c r="N4" s="63" t="str">
        <f>November!B10</f>
        <v>lø</v>
      </c>
      <c r="O4" s="124" t="str">
        <f>November!C10</f>
        <v>Weekend</v>
      </c>
      <c r="P4" s="557" t="str">
        <f>November!D10</f>
        <v/>
      </c>
      <c r="Q4" s="556">
        <f>December!A10</f>
        <v>2</v>
      </c>
      <c r="R4" s="63" t="str">
        <f>December!B10</f>
        <v>ma</v>
      </c>
      <c r="S4" s="124" t="str">
        <f>December!C10</f>
        <v>Skema 1</v>
      </c>
      <c r="T4" s="557">
        <f>December!D10</f>
        <v>49</v>
      </c>
      <c r="U4" s="63">
        <f>Januar!A10</f>
        <v>2</v>
      </c>
      <c r="V4" s="63" t="str">
        <f>Januar!B10</f>
        <v>to</v>
      </c>
      <c r="W4" s="124" t="str">
        <f>Januar!C10</f>
        <v>Nul-dag</v>
      </c>
      <c r="X4" s="125" t="str">
        <f>Januar!D10</f>
        <v/>
      </c>
      <c r="Y4" s="556">
        <f>Februar!A10</f>
        <v>2</v>
      </c>
      <c r="Z4" s="63" t="str">
        <f>Februar!B10</f>
        <v>sø</v>
      </c>
      <c r="AA4" s="124" t="str">
        <f>Februar!C10</f>
        <v>Weekend</v>
      </c>
      <c r="AB4" s="557" t="str">
        <f>Februar!D10</f>
        <v/>
      </c>
      <c r="AC4" s="63">
        <f>Marts!A10</f>
        <v>2</v>
      </c>
      <c r="AD4" s="63" t="str">
        <f>Marts!B10</f>
        <v>sø</v>
      </c>
      <c r="AE4" s="124" t="str">
        <f>Marts!C10</f>
        <v>Weekend</v>
      </c>
      <c r="AF4" s="125" t="str">
        <f>Marts!D10</f>
        <v/>
      </c>
      <c r="AG4" s="556">
        <f>April!A10</f>
        <v>2</v>
      </c>
      <c r="AH4" s="63" t="str">
        <f>April!B10</f>
        <v>on</v>
      </c>
      <c r="AI4" s="124" t="str">
        <f>April!C10</f>
        <v>Skema 1</v>
      </c>
      <c r="AJ4" s="557" t="str">
        <f>April!D10</f>
        <v/>
      </c>
      <c r="AK4" s="564">
        <f>Maj!A10</f>
        <v>2</v>
      </c>
      <c r="AL4" s="565" t="str">
        <f>Maj!B10</f>
        <v>fr</v>
      </c>
      <c r="AM4" s="124" t="str">
        <f>Maj!C10</f>
        <v>Skema 1</v>
      </c>
      <c r="AN4" s="566" t="str">
        <f>Maj!D10</f>
        <v/>
      </c>
      <c r="AO4" s="564">
        <f>Juni!A10</f>
        <v>2</v>
      </c>
      <c r="AP4" s="565" t="str">
        <f>Juni!B10</f>
        <v>ma</v>
      </c>
      <c r="AQ4" s="124" t="str">
        <f>Juni!C10</f>
        <v>Skema 1</v>
      </c>
      <c r="AR4" s="566">
        <f>Juni!D10</f>
        <v>22.714285714285715</v>
      </c>
      <c r="AS4" s="564">
        <f>Juli!A10</f>
        <v>2</v>
      </c>
      <c r="AT4" s="565" t="str">
        <f>Juli!B10</f>
        <v>on</v>
      </c>
      <c r="AU4" s="124" t="str">
        <f>Juli!C10</f>
        <v>Nul-dag</v>
      </c>
      <c r="AV4" s="566" t="str">
        <f>Juli!D10</f>
        <v/>
      </c>
    </row>
    <row r="5" spans="1:48" ht="24" customHeight="1">
      <c r="A5" s="556">
        <f>August!A12</f>
        <v>3</v>
      </c>
      <c r="B5" s="63" t="str">
        <f>August!B12</f>
        <v>lø</v>
      </c>
      <c r="C5" s="124" t="str">
        <f>August!C12</f>
        <v>Weekend</v>
      </c>
      <c r="D5" s="557" t="str">
        <f>August!D12</f>
        <v/>
      </c>
      <c r="E5" s="556">
        <f>September!A11</f>
        <v>3</v>
      </c>
      <c r="F5" s="63" t="str">
        <f>September!B11</f>
        <v>ti</v>
      </c>
      <c r="G5" s="123" t="str">
        <f>September!C11</f>
        <v>Skema 1</v>
      </c>
      <c r="H5" s="557" t="str">
        <f>September!D11</f>
        <v/>
      </c>
      <c r="I5" s="556">
        <f>Oktober!A11</f>
        <v>3</v>
      </c>
      <c r="J5" s="63" t="str">
        <f>Oktober!B11</f>
        <v>to</v>
      </c>
      <c r="K5" s="124" t="str">
        <f>Oktober!C11</f>
        <v>Skema 1</v>
      </c>
      <c r="L5" s="557" t="str">
        <f>Oktober!D11</f>
        <v/>
      </c>
      <c r="M5" s="556">
        <f>November!A11</f>
        <v>3</v>
      </c>
      <c r="N5" s="63" t="str">
        <f>November!B11</f>
        <v>sø</v>
      </c>
      <c r="O5" s="124" t="str">
        <f>November!C11</f>
        <v>Weekend</v>
      </c>
      <c r="P5" s="557" t="str">
        <f>November!D11</f>
        <v/>
      </c>
      <c r="Q5" s="556">
        <f>December!A11</f>
        <v>3</v>
      </c>
      <c r="R5" s="63" t="str">
        <f>December!B11</f>
        <v>ti</v>
      </c>
      <c r="S5" s="124" t="str">
        <f>December!C11</f>
        <v>Skema 1</v>
      </c>
      <c r="T5" s="557" t="str">
        <f>December!D11</f>
        <v/>
      </c>
      <c r="U5" s="63">
        <f>Januar!A11</f>
        <v>3</v>
      </c>
      <c r="V5" s="63" t="str">
        <f>Januar!B11</f>
        <v>fr</v>
      </c>
      <c r="W5" s="124" t="str">
        <f>Januar!C11</f>
        <v>Nul-dag</v>
      </c>
      <c r="X5" s="125" t="str">
        <f>Januar!D11</f>
        <v/>
      </c>
      <c r="Y5" s="556">
        <f>Februar!A11</f>
        <v>3</v>
      </c>
      <c r="Z5" s="63" t="str">
        <f>Februar!B11</f>
        <v>ma</v>
      </c>
      <c r="AA5" s="124" t="str">
        <f>Februar!C11</f>
        <v>Skema 1</v>
      </c>
      <c r="AB5" s="557">
        <f>Februar!D11</f>
        <v>5.7142857142857144</v>
      </c>
      <c r="AC5" s="63">
        <f>Marts!A11</f>
        <v>3</v>
      </c>
      <c r="AD5" s="63" t="str">
        <f>Marts!B11</f>
        <v>ma</v>
      </c>
      <c r="AE5" s="124" t="str">
        <f>Marts!C11</f>
        <v>Skema 1</v>
      </c>
      <c r="AF5" s="125">
        <f>Marts!D11</f>
        <v>9.7142857142857135</v>
      </c>
      <c r="AG5" s="556">
        <f>April!A11</f>
        <v>3</v>
      </c>
      <c r="AH5" s="63" t="str">
        <f>April!B11</f>
        <v>to</v>
      </c>
      <c r="AI5" s="124" t="str">
        <f>April!C11</f>
        <v>Skema 1</v>
      </c>
      <c r="AJ5" s="557" t="str">
        <f>April!D11</f>
        <v/>
      </c>
      <c r="AK5" s="564">
        <f>Maj!A11</f>
        <v>3</v>
      </c>
      <c r="AL5" s="565" t="str">
        <f>Maj!B11</f>
        <v>lø</v>
      </c>
      <c r="AM5" s="124" t="str">
        <f>Maj!C11</f>
        <v>Weekend</v>
      </c>
      <c r="AN5" s="566" t="str">
        <f>Maj!D11</f>
        <v/>
      </c>
      <c r="AO5" s="564">
        <f>Juni!A11</f>
        <v>3</v>
      </c>
      <c r="AP5" s="565" t="str">
        <f>Juni!B11</f>
        <v>ti</v>
      </c>
      <c r="AQ5" s="124" t="str">
        <f>Juni!C11</f>
        <v>Skema 1</v>
      </c>
      <c r="AR5" s="566" t="str">
        <f>Juni!D11</f>
        <v/>
      </c>
      <c r="AS5" s="564">
        <f>Juli!A11</f>
        <v>3</v>
      </c>
      <c r="AT5" s="565" t="str">
        <f>Juli!B11</f>
        <v>to</v>
      </c>
      <c r="AU5" s="124" t="str">
        <f>Juli!C11</f>
        <v>Nul-dag</v>
      </c>
      <c r="AV5" s="566" t="str">
        <f>Juli!D11</f>
        <v/>
      </c>
    </row>
    <row r="6" spans="1:48" ht="24" customHeight="1">
      <c r="A6" s="556">
        <f>August!A13</f>
        <v>4</v>
      </c>
      <c r="B6" s="63" t="str">
        <f>August!B13</f>
        <v>sø</v>
      </c>
      <c r="C6" s="124" t="str">
        <f>August!C13</f>
        <v>Weekend</v>
      </c>
      <c r="D6" s="557" t="str">
        <f>August!D13</f>
        <v/>
      </c>
      <c r="E6" s="556">
        <f>September!A12</f>
        <v>4</v>
      </c>
      <c r="F6" s="63" t="str">
        <f>September!B12</f>
        <v>on</v>
      </c>
      <c r="G6" s="123" t="str">
        <f>September!C12</f>
        <v>Skema 1</v>
      </c>
      <c r="H6" s="557" t="str">
        <f>September!D12</f>
        <v/>
      </c>
      <c r="I6" s="556">
        <f>Oktober!A12</f>
        <v>4</v>
      </c>
      <c r="J6" s="63" t="str">
        <f>Oktober!B12</f>
        <v>fr</v>
      </c>
      <c r="K6" s="124" t="str">
        <f>Oktober!C12</f>
        <v>Skema 1</v>
      </c>
      <c r="L6" s="557" t="str">
        <f>Oktober!D12</f>
        <v/>
      </c>
      <c r="M6" s="556">
        <f>November!A12</f>
        <v>4</v>
      </c>
      <c r="N6" s="63" t="str">
        <f>November!B12</f>
        <v>ma</v>
      </c>
      <c r="O6" s="124" t="str">
        <f>November!C12</f>
        <v>Skema 1</v>
      </c>
      <c r="P6" s="557">
        <f>November!D12</f>
        <v>45</v>
      </c>
      <c r="Q6" s="556">
        <f>December!A12</f>
        <v>4</v>
      </c>
      <c r="R6" s="63" t="str">
        <f>December!B12</f>
        <v>on</v>
      </c>
      <c r="S6" s="124" t="str">
        <f>December!C12</f>
        <v>Skema 1</v>
      </c>
      <c r="T6" s="557" t="str">
        <f>December!D12</f>
        <v/>
      </c>
      <c r="U6" s="63">
        <f>Januar!A12</f>
        <v>4</v>
      </c>
      <c r="V6" s="63" t="str">
        <f>Januar!B12</f>
        <v>lø</v>
      </c>
      <c r="W6" s="124" t="str">
        <f>Januar!C12</f>
        <v>Weekend</v>
      </c>
      <c r="X6" s="125" t="str">
        <f>Januar!D12</f>
        <v/>
      </c>
      <c r="Y6" s="556">
        <f>Februar!A12</f>
        <v>4</v>
      </c>
      <c r="Z6" s="63" t="str">
        <f>Februar!B12</f>
        <v>ti</v>
      </c>
      <c r="AA6" s="124" t="str">
        <f>Februar!C12</f>
        <v>Skema 1</v>
      </c>
      <c r="AB6" s="557" t="str">
        <f>Februar!D12</f>
        <v/>
      </c>
      <c r="AC6" s="63">
        <f>Marts!A12</f>
        <v>4</v>
      </c>
      <c r="AD6" s="63" t="str">
        <f>Marts!B12</f>
        <v>ti</v>
      </c>
      <c r="AE6" s="124" t="str">
        <f>Marts!C12</f>
        <v>Skema 1</v>
      </c>
      <c r="AF6" s="125" t="str">
        <f>Marts!D12</f>
        <v/>
      </c>
      <c r="AG6" s="556">
        <f>April!A12</f>
        <v>4</v>
      </c>
      <c r="AH6" s="63" t="str">
        <f>April!B12</f>
        <v>fr</v>
      </c>
      <c r="AI6" s="124" t="str">
        <f>April!C12</f>
        <v>Skema 1</v>
      </c>
      <c r="AJ6" s="557" t="str">
        <f>April!D12</f>
        <v/>
      </c>
      <c r="AK6" s="564">
        <f>Maj!A12</f>
        <v>4</v>
      </c>
      <c r="AL6" s="565" t="str">
        <f>Maj!B12</f>
        <v>sø</v>
      </c>
      <c r="AM6" s="124" t="str">
        <f>Maj!C12</f>
        <v>Weekend</v>
      </c>
      <c r="AN6" s="566" t="str">
        <f>Maj!D12</f>
        <v/>
      </c>
      <c r="AO6" s="564">
        <f>Juni!A12</f>
        <v>4</v>
      </c>
      <c r="AP6" s="565" t="str">
        <f>Juni!B12</f>
        <v>on</v>
      </c>
      <c r="AQ6" s="124" t="str">
        <f>Juni!C12</f>
        <v>Skema 1</v>
      </c>
      <c r="AR6" s="566" t="str">
        <f>Juni!D12</f>
        <v/>
      </c>
      <c r="AS6" s="564">
        <f>Juli!A12</f>
        <v>4</v>
      </c>
      <c r="AT6" s="565" t="str">
        <f>Juli!B12</f>
        <v>fr</v>
      </c>
      <c r="AU6" s="124" t="str">
        <f>Juli!C12</f>
        <v>Nul-dag</v>
      </c>
      <c r="AV6" s="566" t="str">
        <f>Juli!D12</f>
        <v/>
      </c>
    </row>
    <row r="7" spans="1:48" ht="24" customHeight="1">
      <c r="A7" s="556">
        <f>August!A14</f>
        <v>5</v>
      </c>
      <c r="B7" s="63" t="str">
        <f>August!B14</f>
        <v>ma</v>
      </c>
      <c r="C7" s="124" t="str">
        <f>August!C14</f>
        <v>Nul-dag</v>
      </c>
      <c r="D7" s="557">
        <f>August!D14</f>
        <v>32</v>
      </c>
      <c r="E7" s="556">
        <f>September!A13</f>
        <v>5</v>
      </c>
      <c r="F7" s="63" t="str">
        <f>September!B13</f>
        <v>to</v>
      </c>
      <c r="G7" s="123" t="str">
        <f>September!C13</f>
        <v>Skema 1</v>
      </c>
      <c r="H7" s="557" t="str">
        <f>September!D13</f>
        <v/>
      </c>
      <c r="I7" s="556">
        <f>Oktober!A13</f>
        <v>5</v>
      </c>
      <c r="J7" s="63" t="str">
        <f>Oktober!B13</f>
        <v>lø</v>
      </c>
      <c r="K7" s="124" t="str">
        <f>Oktober!C13</f>
        <v>Weekend</v>
      </c>
      <c r="L7" s="557" t="str">
        <f>Oktober!D13</f>
        <v/>
      </c>
      <c r="M7" s="556">
        <f>November!A13</f>
        <v>5</v>
      </c>
      <c r="N7" s="63" t="str">
        <f>November!B13</f>
        <v>ti</v>
      </c>
      <c r="O7" s="124" t="str">
        <f>November!C13</f>
        <v>Skema 1</v>
      </c>
      <c r="P7" s="557" t="str">
        <f>November!D13</f>
        <v/>
      </c>
      <c r="Q7" s="556">
        <f>December!A13</f>
        <v>5</v>
      </c>
      <c r="R7" s="63" t="str">
        <f>December!B13</f>
        <v>to</v>
      </c>
      <c r="S7" s="124" t="str">
        <f>December!C13</f>
        <v>Skema 1</v>
      </c>
      <c r="T7" s="557" t="str">
        <f>December!D13</f>
        <v/>
      </c>
      <c r="U7" s="63">
        <f>Januar!A13</f>
        <v>5</v>
      </c>
      <c r="V7" s="63" t="str">
        <f>Januar!B13</f>
        <v>sø</v>
      </c>
      <c r="W7" s="124" t="str">
        <f>Januar!C13</f>
        <v>Weekend</v>
      </c>
      <c r="X7" s="125" t="str">
        <f>Januar!D13</f>
        <v/>
      </c>
      <c r="Y7" s="556">
        <f>Februar!A13</f>
        <v>5</v>
      </c>
      <c r="Z7" s="63" t="str">
        <f>Februar!B13</f>
        <v>on</v>
      </c>
      <c r="AA7" s="124" t="str">
        <f>Februar!C13</f>
        <v>Skema 1</v>
      </c>
      <c r="AB7" s="557" t="str">
        <f>Februar!D13</f>
        <v/>
      </c>
      <c r="AC7" s="63">
        <f>Marts!A13</f>
        <v>5</v>
      </c>
      <c r="AD7" s="63" t="str">
        <f>Marts!B13</f>
        <v>on</v>
      </c>
      <c r="AE7" s="124" t="str">
        <f>Marts!C13</f>
        <v>Skema 1</v>
      </c>
      <c r="AF7" s="125" t="str">
        <f>Marts!D13</f>
        <v/>
      </c>
      <c r="AG7" s="556">
        <f>April!A13</f>
        <v>5</v>
      </c>
      <c r="AH7" s="63" t="str">
        <f>April!B13</f>
        <v>lø</v>
      </c>
      <c r="AI7" s="124" t="str">
        <f>April!C13</f>
        <v>Weekend</v>
      </c>
      <c r="AJ7" s="557" t="str">
        <f>April!D13</f>
        <v/>
      </c>
      <c r="AK7" s="564">
        <f>Maj!A13</f>
        <v>5</v>
      </c>
      <c r="AL7" s="565" t="str">
        <f>Maj!B13</f>
        <v>ma</v>
      </c>
      <c r="AM7" s="124" t="str">
        <f>Maj!C13</f>
        <v>Skema 1</v>
      </c>
      <c r="AN7" s="566">
        <f>Maj!D13</f>
        <v>18.714285714285715</v>
      </c>
      <c r="AO7" s="564">
        <f>Juni!A13</f>
        <v>5</v>
      </c>
      <c r="AP7" s="565" t="str">
        <f>Juni!B13</f>
        <v>to</v>
      </c>
      <c r="AQ7" s="124" t="str">
        <f>Juni!C13</f>
        <v>Nul-dag</v>
      </c>
      <c r="AR7" s="566" t="str">
        <f>Juni!D13</f>
        <v/>
      </c>
      <c r="AS7" s="564">
        <f>Juli!A13</f>
        <v>5</v>
      </c>
      <c r="AT7" s="565" t="str">
        <f>Juli!B13</f>
        <v>lø</v>
      </c>
      <c r="AU7" s="124" t="str">
        <f>Juli!C13</f>
        <v>Weekend</v>
      </c>
      <c r="AV7" s="566" t="str">
        <f>Juli!D13</f>
        <v/>
      </c>
    </row>
    <row r="8" spans="1:48" ht="24" customHeight="1">
      <c r="A8" s="556">
        <f>August!A15</f>
        <v>6</v>
      </c>
      <c r="B8" s="63" t="str">
        <f>August!B15</f>
        <v>ti</v>
      </c>
      <c r="C8" s="124" t="str">
        <f>August!C15</f>
        <v>Nul-dag</v>
      </c>
      <c r="D8" s="557" t="str">
        <f>August!D15</f>
        <v/>
      </c>
      <c r="E8" s="556">
        <f>September!A14</f>
        <v>6</v>
      </c>
      <c r="F8" s="63" t="str">
        <f>September!B14</f>
        <v>fr</v>
      </c>
      <c r="G8" s="124" t="str">
        <f>September!C14</f>
        <v>Skema 1</v>
      </c>
      <c r="H8" s="557" t="str">
        <f>September!D14</f>
        <v/>
      </c>
      <c r="I8" s="556">
        <f>Oktober!A14</f>
        <v>6</v>
      </c>
      <c r="J8" s="63" t="str">
        <f>Oktober!B14</f>
        <v>sø</v>
      </c>
      <c r="K8" s="124" t="str">
        <f>Oktober!C14</f>
        <v>Weekend</v>
      </c>
      <c r="L8" s="557" t="str">
        <f>Oktober!D14</f>
        <v/>
      </c>
      <c r="M8" s="556">
        <f>November!A14</f>
        <v>6</v>
      </c>
      <c r="N8" s="63" t="str">
        <f>November!B14</f>
        <v>on</v>
      </c>
      <c r="O8" s="124" t="str">
        <f>November!C14</f>
        <v>Skema 1</v>
      </c>
      <c r="P8" s="557" t="str">
        <f>November!D14</f>
        <v/>
      </c>
      <c r="Q8" s="556">
        <f>December!A14</f>
        <v>6</v>
      </c>
      <c r="R8" s="63" t="str">
        <f>December!B14</f>
        <v>fr</v>
      </c>
      <c r="S8" s="124" t="str">
        <f>December!C14</f>
        <v>Skema 1</v>
      </c>
      <c r="T8" s="557" t="str">
        <f>December!D14</f>
        <v/>
      </c>
      <c r="U8" s="63">
        <f>Januar!A14</f>
        <v>6</v>
      </c>
      <c r="V8" s="63" t="str">
        <f>Januar!B14</f>
        <v>ma</v>
      </c>
      <c r="W8" s="124" t="str">
        <f>Januar!C14</f>
        <v>Skema 1</v>
      </c>
      <c r="X8" s="125">
        <f>Januar!D14</f>
        <v>1.7142857142857142</v>
      </c>
      <c r="Y8" s="556">
        <f>Februar!A14</f>
        <v>6</v>
      </c>
      <c r="Z8" s="63" t="str">
        <f>Februar!B14</f>
        <v>to</v>
      </c>
      <c r="AA8" s="124" t="str">
        <f>Februar!C14</f>
        <v>Skema 1</v>
      </c>
      <c r="AB8" s="557" t="str">
        <f>Februar!D14</f>
        <v/>
      </c>
      <c r="AC8" s="63">
        <f>Marts!A14</f>
        <v>6</v>
      </c>
      <c r="AD8" s="63" t="str">
        <f>Marts!B14</f>
        <v>to</v>
      </c>
      <c r="AE8" s="124" t="str">
        <f>Marts!C14</f>
        <v>Skema 1</v>
      </c>
      <c r="AF8" s="125" t="str">
        <f>Marts!D14</f>
        <v/>
      </c>
      <c r="AG8" s="556">
        <f>April!A14</f>
        <v>6</v>
      </c>
      <c r="AH8" s="63" t="str">
        <f>April!B14</f>
        <v>sø</v>
      </c>
      <c r="AI8" s="124" t="str">
        <f>April!C14</f>
        <v>Weekend</v>
      </c>
      <c r="AJ8" s="557" t="str">
        <f>April!D14</f>
        <v/>
      </c>
      <c r="AK8" s="564">
        <f>Maj!A14</f>
        <v>6</v>
      </c>
      <c r="AL8" s="565" t="str">
        <f>Maj!B14</f>
        <v>ti</v>
      </c>
      <c r="AM8" s="124" t="str">
        <f>Maj!C14</f>
        <v>Skema 1</v>
      </c>
      <c r="AN8" s="566" t="str">
        <f>Maj!D14</f>
        <v/>
      </c>
      <c r="AO8" s="564">
        <f>Juni!A14</f>
        <v>6</v>
      </c>
      <c r="AP8" s="565" t="str">
        <f>Juni!B14</f>
        <v>fr</v>
      </c>
      <c r="AQ8" s="124" t="str">
        <f>Juni!C14</f>
        <v>Skema 1</v>
      </c>
      <c r="AR8" s="566" t="str">
        <f>Juni!D14</f>
        <v/>
      </c>
      <c r="AS8" s="564">
        <f>Juli!A14</f>
        <v>6</v>
      </c>
      <c r="AT8" s="565" t="str">
        <f>Juli!B14</f>
        <v>sø</v>
      </c>
      <c r="AU8" s="124" t="str">
        <f>Juli!C14</f>
        <v>Weekend</v>
      </c>
      <c r="AV8" s="566" t="str">
        <f>Juli!D14</f>
        <v/>
      </c>
    </row>
    <row r="9" spans="1:48" ht="24" customHeight="1">
      <c r="A9" s="556">
        <f>August!A16</f>
        <v>7</v>
      </c>
      <c r="B9" s="63" t="str">
        <f>August!B16</f>
        <v>on</v>
      </c>
      <c r="C9" s="124" t="str">
        <f>August!C16</f>
        <v>Nul-dag</v>
      </c>
      <c r="D9" s="557" t="str">
        <f>August!D16</f>
        <v/>
      </c>
      <c r="E9" s="556">
        <f>September!A15</f>
        <v>7</v>
      </c>
      <c r="F9" s="63" t="str">
        <f>September!B15</f>
        <v>lø</v>
      </c>
      <c r="G9" s="124" t="str">
        <f>September!C15</f>
        <v>Weekend</v>
      </c>
      <c r="H9" s="557" t="str">
        <f>September!D15</f>
        <v/>
      </c>
      <c r="I9" s="556">
        <f>Oktober!A15</f>
        <v>7</v>
      </c>
      <c r="J9" s="63" t="str">
        <f>Oktober!B15</f>
        <v>ma</v>
      </c>
      <c r="K9" s="124" t="str">
        <f>Oktober!C15</f>
        <v>Skema 1</v>
      </c>
      <c r="L9" s="557">
        <f>Oktober!D15</f>
        <v>41</v>
      </c>
      <c r="M9" s="556">
        <f>November!A15</f>
        <v>7</v>
      </c>
      <c r="N9" s="63" t="str">
        <f>November!B15</f>
        <v>to</v>
      </c>
      <c r="O9" s="124" t="str">
        <f>November!C15</f>
        <v>Skema 1</v>
      </c>
      <c r="P9" s="557" t="str">
        <f>November!D15</f>
        <v/>
      </c>
      <c r="Q9" s="556">
        <f>December!A15</f>
        <v>7</v>
      </c>
      <c r="R9" s="63" t="str">
        <f>December!B15</f>
        <v>lø</v>
      </c>
      <c r="S9" s="124" t="str">
        <f>December!C15</f>
        <v>Weekend</v>
      </c>
      <c r="T9" s="557" t="str">
        <f>December!D15</f>
        <v/>
      </c>
      <c r="U9" s="63">
        <f>Januar!A15</f>
        <v>7</v>
      </c>
      <c r="V9" s="63" t="str">
        <f>Januar!B15</f>
        <v>ti</v>
      </c>
      <c r="W9" s="124" t="str">
        <f>Januar!C15</f>
        <v>Skema 1</v>
      </c>
      <c r="X9" s="125" t="str">
        <f>Januar!D15</f>
        <v/>
      </c>
      <c r="Y9" s="556">
        <f>Februar!A15</f>
        <v>7</v>
      </c>
      <c r="Z9" s="63" t="str">
        <f>Februar!B15</f>
        <v>fr</v>
      </c>
      <c r="AA9" s="124" t="str">
        <f>Februar!C15</f>
        <v>Skema 1</v>
      </c>
      <c r="AB9" s="557" t="str">
        <f>Februar!D15</f>
        <v/>
      </c>
      <c r="AC9" s="63">
        <f>Marts!A15</f>
        <v>7</v>
      </c>
      <c r="AD9" s="63" t="str">
        <f>Marts!B15</f>
        <v>fr</v>
      </c>
      <c r="AE9" s="124" t="str">
        <f>Marts!C15</f>
        <v>Skema 1</v>
      </c>
      <c r="AF9" s="125" t="str">
        <f>Marts!D15</f>
        <v/>
      </c>
      <c r="AG9" s="556">
        <f>April!A15</f>
        <v>7</v>
      </c>
      <c r="AH9" s="63" t="str">
        <f>April!B15</f>
        <v>ma</v>
      </c>
      <c r="AI9" s="124" t="str">
        <f>April!C15</f>
        <v>Skema 1</v>
      </c>
      <c r="AJ9" s="557">
        <f>April!D15</f>
        <v>14.714285714285714</v>
      </c>
      <c r="AK9" s="564">
        <f>Maj!A15</f>
        <v>7</v>
      </c>
      <c r="AL9" s="565" t="str">
        <f>Maj!B15</f>
        <v>on</v>
      </c>
      <c r="AM9" s="124" t="str">
        <f>Maj!C15</f>
        <v>Skema 1</v>
      </c>
      <c r="AN9" s="566" t="str">
        <f>Maj!D15</f>
        <v/>
      </c>
      <c r="AO9" s="564">
        <f>Juni!A15</f>
        <v>7</v>
      </c>
      <c r="AP9" s="565" t="str">
        <f>Juni!B15</f>
        <v>lø</v>
      </c>
      <c r="AQ9" s="124" t="str">
        <f>Juni!C15</f>
        <v>Weekend</v>
      </c>
      <c r="AR9" s="566" t="str">
        <f>Juni!D15</f>
        <v/>
      </c>
      <c r="AS9" s="564">
        <f>Juli!A15</f>
        <v>7</v>
      </c>
      <c r="AT9" s="565" t="str">
        <f>Juli!B15</f>
        <v>ma</v>
      </c>
      <c r="AU9" s="124" t="str">
        <f>Juli!C15</f>
        <v>Nul-dag</v>
      </c>
      <c r="AV9" s="566">
        <f>Juli!D15</f>
        <v>27.714285714285715</v>
      </c>
    </row>
    <row r="10" spans="1:48" ht="24" customHeight="1">
      <c r="A10" s="556">
        <f>August!A17</f>
        <v>8</v>
      </c>
      <c r="B10" s="63" t="str">
        <f>August!B17</f>
        <v>to</v>
      </c>
      <c r="C10" s="124" t="str">
        <f>August!C17</f>
        <v>Nul-dag</v>
      </c>
      <c r="D10" s="557" t="str">
        <f>August!D17</f>
        <v/>
      </c>
      <c r="E10" s="556">
        <f>September!A16</f>
        <v>8</v>
      </c>
      <c r="F10" s="63" t="str">
        <f>September!B16</f>
        <v>sø</v>
      </c>
      <c r="G10" s="124" t="str">
        <f>September!C16</f>
        <v>Weekend</v>
      </c>
      <c r="H10" s="557" t="str">
        <f>September!D16</f>
        <v/>
      </c>
      <c r="I10" s="556">
        <f>Oktober!A16</f>
        <v>8</v>
      </c>
      <c r="J10" s="63" t="str">
        <f>Oktober!B16</f>
        <v>ti</v>
      </c>
      <c r="K10" s="124" t="str">
        <f>Oktober!C16</f>
        <v>Skema 1</v>
      </c>
      <c r="L10" s="557" t="str">
        <f>Oktober!D16</f>
        <v/>
      </c>
      <c r="M10" s="556">
        <f>November!A16</f>
        <v>8</v>
      </c>
      <c r="N10" s="63" t="str">
        <f>November!B16</f>
        <v>fr</v>
      </c>
      <c r="O10" s="124" t="str">
        <f>November!C16</f>
        <v>Skema 1</v>
      </c>
      <c r="P10" s="557" t="str">
        <f>November!D16</f>
        <v/>
      </c>
      <c r="Q10" s="556">
        <f>December!A16</f>
        <v>8</v>
      </c>
      <c r="R10" s="63" t="str">
        <f>December!B16</f>
        <v>sø</v>
      </c>
      <c r="S10" s="124" t="str">
        <f>December!C16</f>
        <v>Weekend</v>
      </c>
      <c r="T10" s="557" t="str">
        <f>December!D16</f>
        <v/>
      </c>
      <c r="U10" s="63">
        <f>Januar!A16</f>
        <v>8</v>
      </c>
      <c r="V10" s="63" t="str">
        <f>Januar!B16</f>
        <v>on</v>
      </c>
      <c r="W10" s="124" t="str">
        <f>Januar!C16</f>
        <v>Skema 1</v>
      </c>
      <c r="X10" s="125" t="str">
        <f>Januar!D16</f>
        <v/>
      </c>
      <c r="Y10" s="556">
        <f>Februar!A16</f>
        <v>8</v>
      </c>
      <c r="Z10" s="63" t="str">
        <f>Februar!B16</f>
        <v>lø</v>
      </c>
      <c r="AA10" s="124" t="str">
        <f>Februar!C16</f>
        <v>Weekend</v>
      </c>
      <c r="AB10" s="557" t="str">
        <f>Februar!D16</f>
        <v/>
      </c>
      <c r="AC10" s="63">
        <f>Marts!A16</f>
        <v>8</v>
      </c>
      <c r="AD10" s="63" t="str">
        <f>Marts!B16</f>
        <v>lø</v>
      </c>
      <c r="AE10" s="124" t="str">
        <f>Marts!C16</f>
        <v>Weekend</v>
      </c>
      <c r="AF10" s="125" t="str">
        <f>Marts!D16</f>
        <v/>
      </c>
      <c r="AG10" s="556">
        <f>April!A16</f>
        <v>8</v>
      </c>
      <c r="AH10" s="63" t="str">
        <f>April!B16</f>
        <v>ti</v>
      </c>
      <c r="AI10" s="124" t="str">
        <f>April!C16</f>
        <v>Skema 1</v>
      </c>
      <c r="AJ10" s="557" t="str">
        <f>April!D16</f>
        <v/>
      </c>
      <c r="AK10" s="564">
        <f>Maj!A16</f>
        <v>8</v>
      </c>
      <c r="AL10" s="565" t="str">
        <f>Maj!B16</f>
        <v>to</v>
      </c>
      <c r="AM10" s="124" t="str">
        <f>Maj!C16</f>
        <v>Skema 1</v>
      </c>
      <c r="AN10" s="566" t="str">
        <f>Maj!D16</f>
        <v/>
      </c>
      <c r="AO10" s="564">
        <f>Juni!A16</f>
        <v>8</v>
      </c>
      <c r="AP10" s="565" t="str">
        <f>Juni!B16</f>
        <v>sø</v>
      </c>
      <c r="AQ10" s="124" t="str">
        <f>Juni!C16</f>
        <v>Weekend</v>
      </c>
      <c r="AR10" s="566" t="str">
        <f>Juni!D16</f>
        <v/>
      </c>
      <c r="AS10" s="564">
        <f>Juli!A16</f>
        <v>8</v>
      </c>
      <c r="AT10" s="565" t="str">
        <f>Juli!B16</f>
        <v>ti</v>
      </c>
      <c r="AU10" s="124" t="str">
        <f>Juli!C16</f>
        <v>Feriedag</v>
      </c>
      <c r="AV10" s="566" t="str">
        <f>Juli!D16</f>
        <v/>
      </c>
    </row>
    <row r="11" spans="1:48" ht="24" customHeight="1">
      <c r="A11" s="556">
        <f>August!A18</f>
        <v>9</v>
      </c>
      <c r="B11" s="63" t="str">
        <f>August!B18</f>
        <v>fr</v>
      </c>
      <c r="C11" s="124" t="str">
        <f>August!C18</f>
        <v>Nul-dag</v>
      </c>
      <c r="D11" s="557" t="str">
        <f>August!D18</f>
        <v/>
      </c>
      <c r="E11" s="556">
        <f>September!A17</f>
        <v>9</v>
      </c>
      <c r="F11" s="63" t="str">
        <f>September!B17</f>
        <v>ma</v>
      </c>
      <c r="G11" s="124" t="str">
        <f>September!C17</f>
        <v>Skema 1</v>
      </c>
      <c r="H11" s="557">
        <f>September!D17</f>
        <v>37</v>
      </c>
      <c r="I11" s="556">
        <f>Oktober!A17</f>
        <v>9</v>
      </c>
      <c r="J11" s="63" t="str">
        <f>Oktober!B17</f>
        <v>on</v>
      </c>
      <c r="K11" s="124" t="str">
        <f>Oktober!C17</f>
        <v>Skema 1</v>
      </c>
      <c r="L11" s="557" t="str">
        <f>Oktober!D17</f>
        <v/>
      </c>
      <c r="M11" s="556">
        <f>November!A17</f>
        <v>9</v>
      </c>
      <c r="N11" s="63" t="str">
        <f>November!B17</f>
        <v>lø</v>
      </c>
      <c r="O11" s="124" t="str">
        <f>November!C17</f>
        <v>Weekend</v>
      </c>
      <c r="P11" s="557" t="str">
        <f>November!D17</f>
        <v/>
      </c>
      <c r="Q11" s="556">
        <f>December!A17</f>
        <v>9</v>
      </c>
      <c r="R11" s="63" t="str">
        <f>December!B17</f>
        <v>ma</v>
      </c>
      <c r="S11" s="124" t="str">
        <f>December!C17</f>
        <v>Skema 1</v>
      </c>
      <c r="T11" s="557">
        <f>December!D17</f>
        <v>50</v>
      </c>
      <c r="U11" s="63">
        <f>Januar!A17</f>
        <v>9</v>
      </c>
      <c r="V11" s="63" t="str">
        <f>Januar!B17</f>
        <v>to</v>
      </c>
      <c r="W11" s="124" t="str">
        <f>Januar!C17</f>
        <v>Skema 1</v>
      </c>
      <c r="X11" s="125" t="str">
        <f>Januar!D17</f>
        <v/>
      </c>
      <c r="Y11" s="556">
        <f>Februar!A17</f>
        <v>9</v>
      </c>
      <c r="Z11" s="63" t="str">
        <f>Februar!B17</f>
        <v>sø</v>
      </c>
      <c r="AA11" s="124" t="str">
        <f>Februar!C17</f>
        <v>Weekend</v>
      </c>
      <c r="AB11" s="557" t="str">
        <f>Februar!D17</f>
        <v/>
      </c>
      <c r="AC11" s="63">
        <f>Marts!A17</f>
        <v>9</v>
      </c>
      <c r="AD11" s="63" t="str">
        <f>Marts!B17</f>
        <v>sø</v>
      </c>
      <c r="AE11" s="124" t="str">
        <f>Marts!C17</f>
        <v>Weekend</v>
      </c>
      <c r="AF11" s="125" t="str">
        <f>Marts!D17</f>
        <v/>
      </c>
      <c r="AG11" s="556">
        <f>April!A17</f>
        <v>9</v>
      </c>
      <c r="AH11" s="63" t="str">
        <f>April!B17</f>
        <v>on</v>
      </c>
      <c r="AI11" s="124" t="str">
        <f>April!C17</f>
        <v>Skema 1</v>
      </c>
      <c r="AJ11" s="557" t="str">
        <f>April!D17</f>
        <v/>
      </c>
      <c r="AK11" s="564">
        <f>Maj!A17</f>
        <v>9</v>
      </c>
      <c r="AL11" s="565" t="str">
        <f>Maj!B17</f>
        <v>fr</v>
      </c>
      <c r="AM11" s="124" t="str">
        <f>Maj!C17</f>
        <v>Skema 1</v>
      </c>
      <c r="AN11" s="566" t="str">
        <f>Maj!D17</f>
        <v/>
      </c>
      <c r="AO11" s="564">
        <f>Juni!A17</f>
        <v>9</v>
      </c>
      <c r="AP11" s="565" t="str">
        <f>Juni!B17</f>
        <v>ma</v>
      </c>
      <c r="AQ11" s="124" t="str">
        <f>Juni!C17</f>
        <v>SH-dag</v>
      </c>
      <c r="AR11" s="566">
        <f>Juni!D17</f>
        <v>23.714285714285715</v>
      </c>
      <c r="AS11" s="564">
        <f>Juli!A17</f>
        <v>9</v>
      </c>
      <c r="AT11" s="565" t="str">
        <f>Juli!B17</f>
        <v>on</v>
      </c>
      <c r="AU11" s="124" t="str">
        <f>Juli!C17</f>
        <v>Feriedag</v>
      </c>
      <c r="AV11" s="566" t="str">
        <f>Juli!D17</f>
        <v/>
      </c>
    </row>
    <row r="12" spans="1:48" ht="24" customHeight="1">
      <c r="A12" s="556">
        <f>August!A19</f>
        <v>10</v>
      </c>
      <c r="B12" s="63" t="str">
        <f>August!B19</f>
        <v>lø</v>
      </c>
      <c r="C12" s="124" t="str">
        <f>August!C19</f>
        <v>Weekend</v>
      </c>
      <c r="D12" s="557" t="str">
        <f>August!D19</f>
        <v/>
      </c>
      <c r="E12" s="556">
        <f>September!A18</f>
        <v>10</v>
      </c>
      <c r="F12" s="63" t="str">
        <f>September!B18</f>
        <v>ti</v>
      </c>
      <c r="G12" s="124" t="str">
        <f>September!C18</f>
        <v>Skema 1</v>
      </c>
      <c r="H12" s="557" t="str">
        <f>September!D18</f>
        <v/>
      </c>
      <c r="I12" s="556">
        <f>Oktober!A18</f>
        <v>10</v>
      </c>
      <c r="J12" s="63" t="str">
        <f>Oktober!B18</f>
        <v>to</v>
      </c>
      <c r="K12" s="124" t="str">
        <f>Oktober!C18</f>
        <v>Skema 1</v>
      </c>
      <c r="L12" s="557" t="str">
        <f>Oktober!D18</f>
        <v/>
      </c>
      <c r="M12" s="556">
        <f>November!A18</f>
        <v>10</v>
      </c>
      <c r="N12" s="63" t="str">
        <f>November!B18</f>
        <v>sø</v>
      </c>
      <c r="O12" s="124" t="str">
        <f>November!C18</f>
        <v>Weekend</v>
      </c>
      <c r="P12" s="557" t="str">
        <f>November!D18</f>
        <v/>
      </c>
      <c r="Q12" s="556">
        <f>December!A18</f>
        <v>10</v>
      </c>
      <c r="R12" s="63" t="str">
        <f>December!B18</f>
        <v>ti</v>
      </c>
      <c r="S12" s="124" t="str">
        <f>December!C18</f>
        <v>Skema 1</v>
      </c>
      <c r="T12" s="557" t="str">
        <f>December!D18</f>
        <v/>
      </c>
      <c r="U12" s="63">
        <f>Januar!A18</f>
        <v>10</v>
      </c>
      <c r="V12" s="63" t="str">
        <f>Januar!B18</f>
        <v>fr</v>
      </c>
      <c r="W12" s="124" t="str">
        <f>Januar!C18</f>
        <v>Skema 1</v>
      </c>
      <c r="X12" s="125" t="str">
        <f>Januar!D18</f>
        <v/>
      </c>
      <c r="Y12" s="556">
        <f>Februar!A18</f>
        <v>10</v>
      </c>
      <c r="Z12" s="63" t="str">
        <f>Februar!B18</f>
        <v>ma</v>
      </c>
      <c r="AA12" s="124" t="str">
        <f>Februar!C18</f>
        <v>Nul-dag</v>
      </c>
      <c r="AB12" s="557">
        <f>Februar!D18</f>
        <v>6.7142857142857144</v>
      </c>
      <c r="AC12" s="63">
        <f>Marts!A18</f>
        <v>10</v>
      </c>
      <c r="AD12" s="63" t="str">
        <f>Marts!B18</f>
        <v>ma</v>
      </c>
      <c r="AE12" s="124" t="str">
        <f>Marts!C18</f>
        <v>Skema 1</v>
      </c>
      <c r="AF12" s="125">
        <f>Marts!D18</f>
        <v>10.714285714285714</v>
      </c>
      <c r="AG12" s="556">
        <f>April!A18</f>
        <v>10</v>
      </c>
      <c r="AH12" s="63" t="str">
        <f>April!B18</f>
        <v>to</v>
      </c>
      <c r="AI12" s="124" t="str">
        <f>April!C18</f>
        <v>Skema 1</v>
      </c>
      <c r="AJ12" s="557" t="str">
        <f>April!D18</f>
        <v/>
      </c>
      <c r="AK12" s="564">
        <f>Maj!A18</f>
        <v>10</v>
      </c>
      <c r="AL12" s="565" t="str">
        <f>Maj!B18</f>
        <v>lø</v>
      </c>
      <c r="AM12" s="124" t="str">
        <f>Maj!C18</f>
        <v>Weekend</v>
      </c>
      <c r="AN12" s="566" t="str">
        <f>Maj!D18</f>
        <v/>
      </c>
      <c r="AO12" s="564">
        <f>Juni!A18</f>
        <v>10</v>
      </c>
      <c r="AP12" s="565" t="str">
        <f>Juni!B18</f>
        <v>ti</v>
      </c>
      <c r="AQ12" s="124" t="str">
        <f>Juni!C18</f>
        <v>Skema 1</v>
      </c>
      <c r="AR12" s="566" t="str">
        <f>Juni!D18</f>
        <v/>
      </c>
      <c r="AS12" s="564">
        <f>Juli!A18</f>
        <v>10</v>
      </c>
      <c r="AT12" s="565" t="str">
        <f>Juli!B18</f>
        <v>to</v>
      </c>
      <c r="AU12" s="124" t="str">
        <f>Juli!C18</f>
        <v>Feriedag</v>
      </c>
      <c r="AV12" s="566" t="str">
        <f>Juli!D18</f>
        <v/>
      </c>
    </row>
    <row r="13" spans="1:48" ht="24" customHeight="1">
      <c r="A13" s="556">
        <f>August!A20</f>
        <v>11</v>
      </c>
      <c r="B13" s="63" t="str">
        <f>August!B20</f>
        <v>sø</v>
      </c>
      <c r="C13" s="124" t="str">
        <f>August!C20</f>
        <v>Weekend</v>
      </c>
      <c r="D13" s="557" t="str">
        <f>August!D20</f>
        <v/>
      </c>
      <c r="E13" s="556">
        <f>September!A19</f>
        <v>11</v>
      </c>
      <c r="F13" s="63" t="str">
        <f>September!B19</f>
        <v>on</v>
      </c>
      <c r="G13" s="124" t="str">
        <f>September!C19</f>
        <v>Skema 1</v>
      </c>
      <c r="H13" s="557" t="str">
        <f>September!D19</f>
        <v/>
      </c>
      <c r="I13" s="556">
        <f>Oktober!A19</f>
        <v>11</v>
      </c>
      <c r="J13" s="63" t="str">
        <f>Oktober!B19</f>
        <v>fr</v>
      </c>
      <c r="K13" s="124" t="str">
        <f>Oktober!C19</f>
        <v>Skema 1</v>
      </c>
      <c r="L13" s="557" t="str">
        <f>Oktober!D19</f>
        <v/>
      </c>
      <c r="M13" s="556">
        <f>November!A19</f>
        <v>11</v>
      </c>
      <c r="N13" s="63" t="str">
        <f>November!B19</f>
        <v>ma</v>
      </c>
      <c r="O13" s="124" t="str">
        <f>November!C19</f>
        <v>Skema 1</v>
      </c>
      <c r="P13" s="557">
        <f>November!D19</f>
        <v>46</v>
      </c>
      <c r="Q13" s="556">
        <f>December!A19</f>
        <v>11</v>
      </c>
      <c r="R13" s="63" t="str">
        <f>December!B19</f>
        <v>on</v>
      </c>
      <c r="S13" s="124" t="str">
        <f>December!C19</f>
        <v>Skema 1</v>
      </c>
      <c r="T13" s="557" t="str">
        <f>December!D19</f>
        <v/>
      </c>
      <c r="U13" s="63">
        <f>Januar!A19</f>
        <v>11</v>
      </c>
      <c r="V13" s="63" t="str">
        <f>Januar!B19</f>
        <v>lø</v>
      </c>
      <c r="W13" s="124" t="str">
        <f>Januar!C19</f>
        <v>Weekend</v>
      </c>
      <c r="X13" s="125" t="str">
        <f>Januar!D19</f>
        <v/>
      </c>
      <c r="Y13" s="556">
        <f>Februar!A19</f>
        <v>11</v>
      </c>
      <c r="Z13" s="63" t="str">
        <f>Februar!B19</f>
        <v>ti</v>
      </c>
      <c r="AA13" s="124" t="str">
        <f>Februar!C19</f>
        <v>Nul-dag</v>
      </c>
      <c r="AB13" s="557" t="str">
        <f>Februar!D19</f>
        <v/>
      </c>
      <c r="AC13" s="63">
        <f>Marts!A19</f>
        <v>11</v>
      </c>
      <c r="AD13" s="63" t="str">
        <f>Marts!B19</f>
        <v>ti</v>
      </c>
      <c r="AE13" s="124" t="str">
        <f>Marts!C19</f>
        <v>Skema 1</v>
      </c>
      <c r="AF13" s="125" t="str">
        <f>Marts!D19</f>
        <v/>
      </c>
      <c r="AG13" s="556">
        <f>April!A19</f>
        <v>11</v>
      </c>
      <c r="AH13" s="63" t="str">
        <f>April!B19</f>
        <v>fr</v>
      </c>
      <c r="AI13" s="124" t="str">
        <f>April!C19</f>
        <v>Skema 1</v>
      </c>
      <c r="AJ13" s="557" t="str">
        <f>April!D19</f>
        <v/>
      </c>
      <c r="AK13" s="564">
        <f>Maj!A19</f>
        <v>11</v>
      </c>
      <c r="AL13" s="565" t="str">
        <f>Maj!B19</f>
        <v>sø</v>
      </c>
      <c r="AM13" s="124" t="str">
        <f>Maj!C19</f>
        <v>Weekend</v>
      </c>
      <c r="AN13" s="566" t="str">
        <f>Maj!D19</f>
        <v/>
      </c>
      <c r="AO13" s="564">
        <f>Juni!A19</f>
        <v>11</v>
      </c>
      <c r="AP13" s="565" t="str">
        <f>Juni!B19</f>
        <v>on</v>
      </c>
      <c r="AQ13" s="124" t="str">
        <f>Juni!C19</f>
        <v>Skema 1</v>
      </c>
      <c r="AR13" s="566" t="str">
        <f>Juni!D19</f>
        <v/>
      </c>
      <c r="AS13" s="564">
        <f>Juli!A19</f>
        <v>11</v>
      </c>
      <c r="AT13" s="565" t="str">
        <f>Juli!B19</f>
        <v>fr</v>
      </c>
      <c r="AU13" s="124" t="str">
        <f>Juli!C19</f>
        <v>Feriedag</v>
      </c>
      <c r="AV13" s="566" t="str">
        <f>Juli!D19</f>
        <v/>
      </c>
    </row>
    <row r="14" spans="1:48" ht="24" customHeight="1">
      <c r="A14" s="556">
        <f>August!A21</f>
        <v>12</v>
      </c>
      <c r="B14" s="63" t="str">
        <f>August!B21</f>
        <v>ma</v>
      </c>
      <c r="C14" s="124" t="str">
        <f>August!C21</f>
        <v>Skema 1</v>
      </c>
      <c r="D14" s="557">
        <f>August!D21</f>
        <v>33</v>
      </c>
      <c r="E14" s="556">
        <f>September!A20</f>
        <v>12</v>
      </c>
      <c r="F14" s="63" t="str">
        <f>September!B20</f>
        <v>to</v>
      </c>
      <c r="G14" s="124" t="str">
        <f>September!C20</f>
        <v>Skema 1</v>
      </c>
      <c r="H14" s="557" t="str">
        <f>September!D20</f>
        <v/>
      </c>
      <c r="I14" s="556">
        <f>Oktober!A20</f>
        <v>12</v>
      </c>
      <c r="J14" s="63" t="str">
        <f>Oktober!B20</f>
        <v>lø</v>
      </c>
      <c r="K14" s="124" t="str">
        <f>Oktober!C20</f>
        <v>Weekend</v>
      </c>
      <c r="L14" s="557" t="str">
        <f>Oktober!D20</f>
        <v/>
      </c>
      <c r="M14" s="556">
        <f>November!A20</f>
        <v>12</v>
      </c>
      <c r="N14" s="63" t="str">
        <f>November!B20</f>
        <v>ti</v>
      </c>
      <c r="O14" s="124" t="str">
        <f>November!C20</f>
        <v>Skema 1</v>
      </c>
      <c r="P14" s="557" t="str">
        <f>November!D20</f>
        <v/>
      </c>
      <c r="Q14" s="556">
        <f>December!A20</f>
        <v>12</v>
      </c>
      <c r="R14" s="63" t="str">
        <f>December!B20</f>
        <v>to</v>
      </c>
      <c r="S14" s="124" t="str">
        <f>December!C20</f>
        <v>Skema 1</v>
      </c>
      <c r="T14" s="557" t="str">
        <f>December!D20</f>
        <v/>
      </c>
      <c r="U14" s="63">
        <f>Januar!A20</f>
        <v>12</v>
      </c>
      <c r="V14" s="63" t="str">
        <f>Januar!B20</f>
        <v>sø</v>
      </c>
      <c r="W14" s="124" t="str">
        <f>Januar!C20</f>
        <v>Weekend</v>
      </c>
      <c r="X14" s="125" t="str">
        <f>Januar!D20</f>
        <v/>
      </c>
      <c r="Y14" s="556">
        <f>Februar!A20</f>
        <v>12</v>
      </c>
      <c r="Z14" s="63" t="str">
        <f>Februar!B20</f>
        <v>on</v>
      </c>
      <c r="AA14" s="124" t="str">
        <f>Februar!C20</f>
        <v>Nul-dag</v>
      </c>
      <c r="AB14" s="557" t="str">
        <f>Februar!D20</f>
        <v/>
      </c>
      <c r="AC14" s="63">
        <f>Marts!A20</f>
        <v>12</v>
      </c>
      <c r="AD14" s="63" t="str">
        <f>Marts!B20</f>
        <v>on</v>
      </c>
      <c r="AE14" s="124" t="str">
        <f>Marts!C20</f>
        <v>Skema 1</v>
      </c>
      <c r="AF14" s="125" t="str">
        <f>Marts!D20</f>
        <v/>
      </c>
      <c r="AG14" s="556">
        <f>April!A20</f>
        <v>12</v>
      </c>
      <c r="AH14" s="63" t="str">
        <f>April!B20</f>
        <v>lø</v>
      </c>
      <c r="AI14" s="124" t="str">
        <f>April!C20</f>
        <v>Weekend</v>
      </c>
      <c r="AJ14" s="557" t="str">
        <f>April!D20</f>
        <v/>
      </c>
      <c r="AK14" s="564">
        <f>Maj!A20</f>
        <v>12</v>
      </c>
      <c r="AL14" s="565" t="str">
        <f>Maj!B20</f>
        <v>ma</v>
      </c>
      <c r="AM14" s="124" t="str">
        <f>Maj!C20</f>
        <v>Skema 1</v>
      </c>
      <c r="AN14" s="566">
        <f>Maj!D20</f>
        <v>19.714285714285715</v>
      </c>
      <c r="AO14" s="564">
        <f>Juni!A20</f>
        <v>12</v>
      </c>
      <c r="AP14" s="565" t="str">
        <f>Juni!B20</f>
        <v>to</v>
      </c>
      <c r="AQ14" s="124" t="str">
        <f>Juni!C20</f>
        <v>Skema 1</v>
      </c>
      <c r="AR14" s="566" t="str">
        <f>Juni!D20</f>
        <v/>
      </c>
      <c r="AS14" s="564">
        <f>Juli!A20</f>
        <v>12</v>
      </c>
      <c r="AT14" s="565" t="str">
        <f>Juli!B20</f>
        <v>lø</v>
      </c>
      <c r="AU14" s="124" t="str">
        <f>Juli!C20</f>
        <v>Weekend</v>
      </c>
      <c r="AV14" s="566" t="str">
        <f>Juli!D20</f>
        <v/>
      </c>
    </row>
    <row r="15" spans="1:48" ht="24" customHeight="1">
      <c r="A15" s="556">
        <f>August!A22</f>
        <v>13</v>
      </c>
      <c r="B15" s="63" t="str">
        <f>August!B22</f>
        <v>ti</v>
      </c>
      <c r="C15" s="124" t="str">
        <f>August!C22</f>
        <v>Skema 1</v>
      </c>
      <c r="D15" s="557" t="str">
        <f>August!D22</f>
        <v/>
      </c>
      <c r="E15" s="556">
        <f>September!A21</f>
        <v>13</v>
      </c>
      <c r="F15" s="63" t="str">
        <f>September!B21</f>
        <v>fr</v>
      </c>
      <c r="G15" s="124" t="str">
        <f>September!C21</f>
        <v>Skema 1</v>
      </c>
      <c r="H15" s="557" t="str">
        <f>September!D21</f>
        <v/>
      </c>
      <c r="I15" s="556">
        <f>Oktober!A21</f>
        <v>13</v>
      </c>
      <c r="J15" s="63" t="str">
        <f>Oktober!B21</f>
        <v>sø</v>
      </c>
      <c r="K15" s="124" t="str">
        <f>Oktober!C21</f>
        <v>Weekend</v>
      </c>
      <c r="L15" s="557" t="str">
        <f>Oktober!D21</f>
        <v/>
      </c>
      <c r="M15" s="556">
        <f>November!A21</f>
        <v>13</v>
      </c>
      <c r="N15" s="63" t="str">
        <f>November!B21</f>
        <v>on</v>
      </c>
      <c r="O15" s="124" t="str">
        <f>November!C21</f>
        <v>Skema 1</v>
      </c>
      <c r="P15" s="557" t="str">
        <f>November!D21</f>
        <v/>
      </c>
      <c r="Q15" s="556">
        <f>December!A21</f>
        <v>13</v>
      </c>
      <c r="R15" s="63" t="str">
        <f>December!B21</f>
        <v>fr</v>
      </c>
      <c r="S15" s="124" t="str">
        <f>December!C21</f>
        <v>Skema 1</v>
      </c>
      <c r="T15" s="557" t="str">
        <f>December!D21</f>
        <v/>
      </c>
      <c r="U15" s="63">
        <f>Januar!A21</f>
        <v>13</v>
      </c>
      <c r="V15" s="63" t="str">
        <f>Januar!B21</f>
        <v>ma</v>
      </c>
      <c r="W15" s="124" t="str">
        <f>Januar!C21</f>
        <v>Skema 1</v>
      </c>
      <c r="X15" s="125">
        <f>Januar!D21</f>
        <v>2.7142857142857144</v>
      </c>
      <c r="Y15" s="556">
        <f>Februar!A21</f>
        <v>13</v>
      </c>
      <c r="Z15" s="63" t="str">
        <f>Februar!B21</f>
        <v>to</v>
      </c>
      <c r="AA15" s="124" t="str">
        <f>Februar!C21</f>
        <v>Nul-dag</v>
      </c>
      <c r="AB15" s="557" t="str">
        <f>Februar!D21</f>
        <v/>
      </c>
      <c r="AC15" s="63">
        <f>Marts!A21</f>
        <v>13</v>
      </c>
      <c r="AD15" s="63" t="str">
        <f>Marts!B21</f>
        <v>to</v>
      </c>
      <c r="AE15" s="124" t="str">
        <f>Marts!C21</f>
        <v>Skema 1</v>
      </c>
      <c r="AF15" s="125" t="str">
        <f>Marts!D21</f>
        <v/>
      </c>
      <c r="AG15" s="556">
        <f>April!A21</f>
        <v>13</v>
      </c>
      <c r="AH15" s="63" t="str">
        <f>April!B21</f>
        <v>sø</v>
      </c>
      <c r="AI15" s="124" t="str">
        <f>April!C21</f>
        <v>Weekend</v>
      </c>
      <c r="AJ15" s="557" t="str">
        <f>April!D21</f>
        <v/>
      </c>
      <c r="AK15" s="564">
        <f>Maj!A21</f>
        <v>13</v>
      </c>
      <c r="AL15" s="565" t="str">
        <f>Maj!B21</f>
        <v>ti</v>
      </c>
      <c r="AM15" s="124" t="str">
        <f>Maj!C21</f>
        <v>Skema 1</v>
      </c>
      <c r="AN15" s="566" t="str">
        <f>Maj!D21</f>
        <v/>
      </c>
      <c r="AO15" s="564">
        <f>Juni!A21</f>
        <v>13</v>
      </c>
      <c r="AP15" s="565" t="str">
        <f>Juni!B21</f>
        <v>fr</v>
      </c>
      <c r="AQ15" s="124" t="str">
        <f>Juni!C21</f>
        <v>Skema 1</v>
      </c>
      <c r="AR15" s="566" t="str">
        <f>Juni!D21</f>
        <v/>
      </c>
      <c r="AS15" s="564">
        <f>Juli!A21</f>
        <v>13</v>
      </c>
      <c r="AT15" s="565" t="str">
        <f>Juli!B21</f>
        <v>sø</v>
      </c>
      <c r="AU15" s="124" t="str">
        <f>Juli!C21</f>
        <v>Weekend</v>
      </c>
      <c r="AV15" s="566" t="str">
        <f>Juli!D21</f>
        <v/>
      </c>
    </row>
    <row r="16" spans="1:48" ht="24" customHeight="1">
      <c r="A16" s="556">
        <f>August!A23</f>
        <v>14</v>
      </c>
      <c r="B16" s="63" t="str">
        <f>August!B23</f>
        <v>on</v>
      </c>
      <c r="C16" s="124" t="str">
        <f>August!C23</f>
        <v>Skema 1</v>
      </c>
      <c r="D16" s="557" t="str">
        <f>August!D23</f>
        <v/>
      </c>
      <c r="E16" s="556">
        <f>September!A22</f>
        <v>14</v>
      </c>
      <c r="F16" s="63" t="str">
        <f>September!B22</f>
        <v>lø</v>
      </c>
      <c r="G16" s="124" t="str">
        <f>September!C22</f>
        <v>Weekend</v>
      </c>
      <c r="H16" s="557" t="str">
        <f>September!D22</f>
        <v/>
      </c>
      <c r="I16" s="556">
        <f>Oktober!A22</f>
        <v>14</v>
      </c>
      <c r="J16" s="63" t="str">
        <f>Oktober!B22</f>
        <v>ma</v>
      </c>
      <c r="K16" s="124" t="str">
        <f>Oktober!C22</f>
        <v>Feriedag</v>
      </c>
      <c r="L16" s="557">
        <f>Oktober!D22</f>
        <v>42</v>
      </c>
      <c r="M16" s="556">
        <f>November!A22</f>
        <v>14</v>
      </c>
      <c r="N16" s="63" t="str">
        <f>November!B22</f>
        <v>to</v>
      </c>
      <c r="O16" s="124" t="str">
        <f>November!C22</f>
        <v>Skema 1</v>
      </c>
      <c r="P16" s="557" t="str">
        <f>November!D22</f>
        <v/>
      </c>
      <c r="Q16" s="556">
        <f>December!A22</f>
        <v>14</v>
      </c>
      <c r="R16" s="63" t="str">
        <f>December!B22</f>
        <v>lø</v>
      </c>
      <c r="S16" s="124" t="str">
        <f>December!C22</f>
        <v>Weekend</v>
      </c>
      <c r="T16" s="557" t="str">
        <f>December!D22</f>
        <v/>
      </c>
      <c r="U16" s="63">
        <f>Januar!A22</f>
        <v>14</v>
      </c>
      <c r="V16" s="63" t="str">
        <f>Januar!B22</f>
        <v>ti</v>
      </c>
      <c r="W16" s="124" t="str">
        <f>Januar!C22</f>
        <v>Skema 1</v>
      </c>
      <c r="X16" s="125" t="str">
        <f>Januar!D22</f>
        <v/>
      </c>
      <c r="Y16" s="556">
        <f>Februar!A22</f>
        <v>14</v>
      </c>
      <c r="Z16" s="63" t="str">
        <f>Februar!B22</f>
        <v>fr</v>
      </c>
      <c r="AA16" s="124" t="str">
        <f>Februar!C22</f>
        <v>Nul-dag</v>
      </c>
      <c r="AB16" s="557" t="str">
        <f>Februar!D22</f>
        <v/>
      </c>
      <c r="AC16" s="63">
        <f>Marts!A22</f>
        <v>14</v>
      </c>
      <c r="AD16" s="63" t="str">
        <f>Marts!B22</f>
        <v>fr</v>
      </c>
      <c r="AE16" s="124" t="str">
        <f>Marts!C22</f>
        <v>Skema 1</v>
      </c>
      <c r="AF16" s="125" t="str">
        <f>Marts!D22</f>
        <v/>
      </c>
      <c r="AG16" s="556">
        <f>April!A22</f>
        <v>14</v>
      </c>
      <c r="AH16" s="63" t="str">
        <f>April!B22</f>
        <v>ma</v>
      </c>
      <c r="AI16" s="124" t="str">
        <f>April!C22</f>
        <v>Nul-dag</v>
      </c>
      <c r="AJ16" s="557">
        <f>April!D22</f>
        <v>15.714285714285714</v>
      </c>
      <c r="AK16" s="564">
        <f>Maj!A22</f>
        <v>14</v>
      </c>
      <c r="AL16" s="565" t="str">
        <f>Maj!B22</f>
        <v>on</v>
      </c>
      <c r="AM16" s="124" t="str">
        <f>Maj!C22</f>
        <v>Skema 1</v>
      </c>
      <c r="AN16" s="566" t="str">
        <f>Maj!D22</f>
        <v/>
      </c>
      <c r="AO16" s="564">
        <f>Juni!A22</f>
        <v>14</v>
      </c>
      <c r="AP16" s="565" t="str">
        <f>Juni!B22</f>
        <v>lø</v>
      </c>
      <c r="AQ16" s="124" t="str">
        <f>Juni!C22</f>
        <v>Weekend</v>
      </c>
      <c r="AR16" s="566" t="str">
        <f>Juni!D22</f>
        <v/>
      </c>
      <c r="AS16" s="564">
        <f>Juli!A22</f>
        <v>14</v>
      </c>
      <c r="AT16" s="565" t="str">
        <f>Juli!B22</f>
        <v>ma</v>
      </c>
      <c r="AU16" s="124" t="str">
        <f>Juli!C22</f>
        <v>Feriedag</v>
      </c>
      <c r="AV16" s="566">
        <f>Juli!D22</f>
        <v>28.714285714285715</v>
      </c>
    </row>
    <row r="17" spans="1:48" ht="24" customHeight="1">
      <c r="A17" s="556">
        <f>August!A24</f>
        <v>15</v>
      </c>
      <c r="B17" s="63" t="str">
        <f>August!B24</f>
        <v>to</v>
      </c>
      <c r="C17" s="124" t="str">
        <f>August!C24</f>
        <v>Skema 1</v>
      </c>
      <c r="D17" s="557" t="str">
        <f>August!D24</f>
        <v/>
      </c>
      <c r="E17" s="556">
        <f>September!A23</f>
        <v>15</v>
      </c>
      <c r="F17" s="63" t="str">
        <f>September!B23</f>
        <v>sø</v>
      </c>
      <c r="G17" s="124" t="str">
        <f>September!C23</f>
        <v>Weekend</v>
      </c>
      <c r="H17" s="557" t="str">
        <f>September!D23</f>
        <v/>
      </c>
      <c r="I17" s="556">
        <f>Oktober!A23</f>
        <v>15</v>
      </c>
      <c r="J17" s="63" t="str">
        <f>Oktober!B23</f>
        <v>ti</v>
      </c>
      <c r="K17" s="124" t="str">
        <f>Oktober!C23</f>
        <v>Feriedag</v>
      </c>
      <c r="L17" s="557" t="str">
        <f>Oktober!D23</f>
        <v/>
      </c>
      <c r="M17" s="556">
        <f>November!A23</f>
        <v>15</v>
      </c>
      <c r="N17" s="63" t="str">
        <f>November!B23</f>
        <v>fr</v>
      </c>
      <c r="O17" s="124" t="str">
        <f>November!C23</f>
        <v>Skema 1</v>
      </c>
      <c r="P17" s="557" t="str">
        <f>November!D23</f>
        <v/>
      </c>
      <c r="Q17" s="556">
        <f>December!A23</f>
        <v>15</v>
      </c>
      <c r="R17" s="63" t="str">
        <f>December!B23</f>
        <v>sø</v>
      </c>
      <c r="S17" s="124" t="str">
        <f>December!C23</f>
        <v>Weekend</v>
      </c>
      <c r="T17" s="557" t="str">
        <f>December!D23</f>
        <v/>
      </c>
      <c r="U17" s="63">
        <f>Januar!A23</f>
        <v>15</v>
      </c>
      <c r="V17" s="63" t="str">
        <f>Januar!B23</f>
        <v>on</v>
      </c>
      <c r="W17" s="124" t="str">
        <f>Januar!C23</f>
        <v>Skema 1</v>
      </c>
      <c r="X17" s="125" t="str">
        <f>Januar!D23</f>
        <v/>
      </c>
      <c r="Y17" s="556">
        <f>Februar!A23</f>
        <v>15</v>
      </c>
      <c r="Z17" s="63" t="str">
        <f>Februar!B23</f>
        <v>lø</v>
      </c>
      <c r="AA17" s="124" t="str">
        <f>Februar!C23</f>
        <v>Weekend</v>
      </c>
      <c r="AB17" s="557" t="str">
        <f>Februar!D23</f>
        <v/>
      </c>
      <c r="AC17" s="63">
        <f>Marts!A23</f>
        <v>15</v>
      </c>
      <c r="AD17" s="63" t="str">
        <f>Marts!B23</f>
        <v>lø</v>
      </c>
      <c r="AE17" s="124" t="str">
        <f>Marts!C23</f>
        <v>Weekend</v>
      </c>
      <c r="AF17" s="125" t="str">
        <f>Marts!D23</f>
        <v/>
      </c>
      <c r="AG17" s="556">
        <f>April!A23</f>
        <v>15</v>
      </c>
      <c r="AH17" s="63" t="str">
        <f>April!B23</f>
        <v>ti</v>
      </c>
      <c r="AI17" s="124" t="str">
        <f>April!C23</f>
        <v>Nul-dag</v>
      </c>
      <c r="AJ17" s="557" t="str">
        <f>April!D23</f>
        <v/>
      </c>
      <c r="AK17" s="564">
        <f>Maj!A23</f>
        <v>15</v>
      </c>
      <c r="AL17" s="565" t="str">
        <f>Maj!B23</f>
        <v>to</v>
      </c>
      <c r="AM17" s="124" t="str">
        <f>Maj!C23</f>
        <v>Skema 1</v>
      </c>
      <c r="AN17" s="566" t="str">
        <f>Maj!D23</f>
        <v/>
      </c>
      <c r="AO17" s="564">
        <f>Juni!A23</f>
        <v>15</v>
      </c>
      <c r="AP17" s="565" t="str">
        <f>Juni!B23</f>
        <v>sø</v>
      </c>
      <c r="AQ17" s="124" t="str">
        <f>Juni!C23</f>
        <v>Weekend</v>
      </c>
      <c r="AR17" s="566" t="str">
        <f>Juni!D23</f>
        <v/>
      </c>
      <c r="AS17" s="564">
        <f>Juli!A23</f>
        <v>15</v>
      </c>
      <c r="AT17" s="565" t="str">
        <f>Juli!B23</f>
        <v>ti</v>
      </c>
      <c r="AU17" s="124" t="str">
        <f>Juli!C23</f>
        <v>Feriedag</v>
      </c>
      <c r="AV17" s="566" t="str">
        <f>Juli!D23</f>
        <v/>
      </c>
    </row>
    <row r="18" spans="1:48" ht="24" customHeight="1">
      <c r="A18" s="556">
        <f>August!A25</f>
        <v>16</v>
      </c>
      <c r="B18" s="63" t="str">
        <f>August!B25</f>
        <v>fr</v>
      </c>
      <c r="C18" s="124" t="str">
        <f>August!C25</f>
        <v>Skema 1</v>
      </c>
      <c r="D18" s="557" t="str">
        <f>August!D25</f>
        <v/>
      </c>
      <c r="E18" s="556">
        <f>September!A24</f>
        <v>16</v>
      </c>
      <c r="F18" s="63" t="str">
        <f>September!B24</f>
        <v>ma</v>
      </c>
      <c r="G18" s="124" t="str">
        <f>September!C24</f>
        <v>Skema 1</v>
      </c>
      <c r="H18" s="557">
        <f>September!D24</f>
        <v>38</v>
      </c>
      <c r="I18" s="556">
        <f>Oktober!A24</f>
        <v>16</v>
      </c>
      <c r="J18" s="63" t="str">
        <f>Oktober!B24</f>
        <v>on</v>
      </c>
      <c r="K18" s="124" t="str">
        <f>Oktober!C24</f>
        <v>Feriedag</v>
      </c>
      <c r="L18" s="557" t="str">
        <f>Oktober!D24</f>
        <v/>
      </c>
      <c r="M18" s="556">
        <f>November!A24</f>
        <v>16</v>
      </c>
      <c r="N18" s="63" t="str">
        <f>November!B24</f>
        <v>lø</v>
      </c>
      <c r="O18" s="124" t="str">
        <f>November!C24</f>
        <v>Weekend</v>
      </c>
      <c r="P18" s="557" t="str">
        <f>November!D24</f>
        <v/>
      </c>
      <c r="Q18" s="556">
        <f>December!A24</f>
        <v>16</v>
      </c>
      <c r="R18" s="63" t="str">
        <f>December!B24</f>
        <v>ma</v>
      </c>
      <c r="S18" s="124" t="str">
        <f>December!C24</f>
        <v>Skema 1</v>
      </c>
      <c r="T18" s="557">
        <f>December!D24</f>
        <v>51</v>
      </c>
      <c r="U18" s="63">
        <f>Januar!A24</f>
        <v>16</v>
      </c>
      <c r="V18" s="63" t="str">
        <f>Januar!B24</f>
        <v>to</v>
      </c>
      <c r="W18" s="124" t="str">
        <f>Januar!C24</f>
        <v>Skema 1</v>
      </c>
      <c r="X18" s="125" t="str">
        <f>Januar!D24</f>
        <v/>
      </c>
      <c r="Y18" s="556">
        <f>Februar!A24</f>
        <v>16</v>
      </c>
      <c r="Z18" s="63" t="str">
        <f>Februar!B24</f>
        <v>sø</v>
      </c>
      <c r="AA18" s="124" t="str">
        <f>Februar!C24</f>
        <v>Weekend</v>
      </c>
      <c r="AB18" s="557" t="str">
        <f>Februar!D24</f>
        <v/>
      </c>
      <c r="AC18" s="63">
        <f>Marts!A24</f>
        <v>16</v>
      </c>
      <c r="AD18" s="63" t="str">
        <f>Marts!B24</f>
        <v>sø</v>
      </c>
      <c r="AE18" s="124" t="str">
        <f>Marts!C24</f>
        <v>Weekend</v>
      </c>
      <c r="AF18" s="125" t="str">
        <f>Marts!D24</f>
        <v/>
      </c>
      <c r="AG18" s="556">
        <f>April!A24</f>
        <v>16</v>
      </c>
      <c r="AH18" s="63" t="str">
        <f>April!B24</f>
        <v>on</v>
      </c>
      <c r="AI18" s="124" t="str">
        <f>April!C24</f>
        <v>Nul-dag</v>
      </c>
      <c r="AJ18" s="557" t="str">
        <f>April!D24</f>
        <v/>
      </c>
      <c r="AK18" s="564">
        <f>Maj!A24</f>
        <v>16</v>
      </c>
      <c r="AL18" s="565" t="str">
        <f>Maj!B24</f>
        <v>fr</v>
      </c>
      <c r="AM18" s="124" t="str">
        <f>Maj!C24</f>
        <v>Skema 1</v>
      </c>
      <c r="AN18" s="566" t="str">
        <f>Maj!D24</f>
        <v/>
      </c>
      <c r="AO18" s="564">
        <f>Juni!A24</f>
        <v>16</v>
      </c>
      <c r="AP18" s="565" t="str">
        <f>Juni!B24</f>
        <v>ma</v>
      </c>
      <c r="AQ18" s="124" t="str">
        <f>Juni!C24</f>
        <v>Skema 1</v>
      </c>
      <c r="AR18" s="566">
        <f>Juni!D24</f>
        <v>24.714285714285715</v>
      </c>
      <c r="AS18" s="564">
        <f>Juli!A24</f>
        <v>16</v>
      </c>
      <c r="AT18" s="565" t="str">
        <f>Juli!B24</f>
        <v>on</v>
      </c>
      <c r="AU18" s="124" t="str">
        <f>Juli!C24</f>
        <v>Feriedag</v>
      </c>
      <c r="AV18" s="566" t="str">
        <f>Juli!D24</f>
        <v/>
      </c>
    </row>
    <row r="19" spans="1:48" ht="24" customHeight="1">
      <c r="A19" s="556">
        <f>August!A26</f>
        <v>17</v>
      </c>
      <c r="B19" s="63" t="str">
        <f>August!B26</f>
        <v>lø</v>
      </c>
      <c r="C19" s="124" t="str">
        <f>August!C26</f>
        <v>Weekend</v>
      </c>
      <c r="D19" s="557" t="str">
        <f>August!D26</f>
        <v/>
      </c>
      <c r="E19" s="556">
        <f>September!A25</f>
        <v>17</v>
      </c>
      <c r="F19" s="63" t="str">
        <f>September!B25</f>
        <v>ti</v>
      </c>
      <c r="G19" s="124" t="str">
        <f>September!C25</f>
        <v>Skema 1</v>
      </c>
      <c r="H19" s="557" t="str">
        <f>September!D25</f>
        <v/>
      </c>
      <c r="I19" s="556">
        <f>Oktober!A25</f>
        <v>17</v>
      </c>
      <c r="J19" s="63" t="str">
        <f>Oktober!B25</f>
        <v>to</v>
      </c>
      <c r="K19" s="124" t="str">
        <f>Oktober!C25</f>
        <v>Feriedag</v>
      </c>
      <c r="L19" s="557" t="str">
        <f>Oktober!D25</f>
        <v/>
      </c>
      <c r="M19" s="556">
        <f>November!A25</f>
        <v>17</v>
      </c>
      <c r="N19" s="63" t="str">
        <f>November!B25</f>
        <v>sø</v>
      </c>
      <c r="O19" s="124" t="str">
        <f>November!C25</f>
        <v>Weekend</v>
      </c>
      <c r="P19" s="557" t="str">
        <f>November!D25</f>
        <v/>
      </c>
      <c r="Q19" s="556">
        <f>December!A25</f>
        <v>17</v>
      </c>
      <c r="R19" s="63" t="str">
        <f>December!B25</f>
        <v>ti</v>
      </c>
      <c r="S19" s="124" t="str">
        <f>December!C25</f>
        <v>Skema 1</v>
      </c>
      <c r="T19" s="557" t="str">
        <f>December!D25</f>
        <v/>
      </c>
      <c r="U19" s="63">
        <f>Januar!A25</f>
        <v>17</v>
      </c>
      <c r="V19" s="63" t="str">
        <f>Januar!B25</f>
        <v>fr</v>
      </c>
      <c r="W19" s="124" t="str">
        <f>Januar!C25</f>
        <v>Skema 1</v>
      </c>
      <c r="X19" s="125" t="str">
        <f>Januar!D25</f>
        <v/>
      </c>
      <c r="Y19" s="556">
        <f>Februar!A25</f>
        <v>17</v>
      </c>
      <c r="Z19" s="63" t="str">
        <f>Februar!B25</f>
        <v>ma</v>
      </c>
      <c r="AA19" s="124" t="str">
        <f>Februar!C25</f>
        <v>Skema 1</v>
      </c>
      <c r="AB19" s="557">
        <f>Februar!D25</f>
        <v>7.7142857142857144</v>
      </c>
      <c r="AC19" s="63">
        <f>Marts!A25</f>
        <v>17</v>
      </c>
      <c r="AD19" s="63" t="str">
        <f>Marts!B25</f>
        <v>ma</v>
      </c>
      <c r="AE19" s="124" t="str">
        <f>Marts!C25</f>
        <v>Skema 1</v>
      </c>
      <c r="AF19" s="125">
        <f>Marts!D25</f>
        <v>11.714285714285714</v>
      </c>
      <c r="AG19" s="556">
        <f>April!A25</f>
        <v>17</v>
      </c>
      <c r="AH19" s="63" t="str">
        <f>April!B25</f>
        <v>to</v>
      </c>
      <c r="AI19" s="124" t="str">
        <f>April!C25</f>
        <v>SH-dag</v>
      </c>
      <c r="AJ19" s="557" t="str">
        <f>April!D25</f>
        <v/>
      </c>
      <c r="AK19" s="564">
        <f>Maj!A25</f>
        <v>17</v>
      </c>
      <c r="AL19" s="565" t="str">
        <f>Maj!B25</f>
        <v>lø</v>
      </c>
      <c r="AM19" s="124" t="str">
        <f>Maj!C25</f>
        <v>Weekend</v>
      </c>
      <c r="AN19" s="566" t="str">
        <f>Maj!D25</f>
        <v/>
      </c>
      <c r="AO19" s="564">
        <f>Juni!A25</f>
        <v>17</v>
      </c>
      <c r="AP19" s="565" t="str">
        <f>Juni!B25</f>
        <v>ti</v>
      </c>
      <c r="AQ19" s="124" t="str">
        <f>Juni!C25</f>
        <v>Skema 1</v>
      </c>
      <c r="AR19" s="566" t="str">
        <f>Juni!D25</f>
        <v/>
      </c>
      <c r="AS19" s="564">
        <f>Juli!A25</f>
        <v>17</v>
      </c>
      <c r="AT19" s="565" t="str">
        <f>Juli!B25</f>
        <v>to</v>
      </c>
      <c r="AU19" s="124" t="str">
        <f>Juli!C25</f>
        <v>Feriedag</v>
      </c>
      <c r="AV19" s="566" t="str">
        <f>Juli!D25</f>
        <v/>
      </c>
    </row>
    <row r="20" spans="1:48" ht="24" customHeight="1">
      <c r="A20" s="556">
        <f>August!A27</f>
        <v>18</v>
      </c>
      <c r="B20" s="63" t="str">
        <f>August!B27</f>
        <v>sø</v>
      </c>
      <c r="C20" s="124" t="str">
        <f>August!C27</f>
        <v>Weekend</v>
      </c>
      <c r="D20" s="557" t="str">
        <f>August!D27</f>
        <v/>
      </c>
      <c r="E20" s="556">
        <f>September!A26</f>
        <v>18</v>
      </c>
      <c r="F20" s="63" t="str">
        <f>September!B26</f>
        <v>on</v>
      </c>
      <c r="G20" s="124" t="str">
        <f>September!C26</f>
        <v>Skema 1</v>
      </c>
      <c r="H20" s="557" t="str">
        <f>September!D26</f>
        <v/>
      </c>
      <c r="I20" s="556">
        <f>Oktober!A26</f>
        <v>18</v>
      </c>
      <c r="J20" s="63" t="str">
        <f>Oktober!B26</f>
        <v>fr</v>
      </c>
      <c r="K20" s="124" t="str">
        <f>Oktober!C26</f>
        <v>Feriedag</v>
      </c>
      <c r="L20" s="557" t="str">
        <f>Oktober!D26</f>
        <v/>
      </c>
      <c r="M20" s="556">
        <f>November!A26</f>
        <v>18</v>
      </c>
      <c r="N20" s="63" t="str">
        <f>November!B26</f>
        <v>ma</v>
      </c>
      <c r="O20" s="124" t="str">
        <f>November!C26</f>
        <v>Skema 1</v>
      </c>
      <c r="P20" s="557">
        <f>November!D26</f>
        <v>47</v>
      </c>
      <c r="Q20" s="556">
        <f>December!A26</f>
        <v>18</v>
      </c>
      <c r="R20" s="63" t="str">
        <f>December!B26</f>
        <v>on</v>
      </c>
      <c r="S20" s="124" t="str">
        <f>December!C26</f>
        <v>Skema 1</v>
      </c>
      <c r="T20" s="557" t="str">
        <f>December!D26</f>
        <v/>
      </c>
      <c r="U20" s="63">
        <f>Januar!A26</f>
        <v>18</v>
      </c>
      <c r="V20" s="63" t="str">
        <f>Januar!B26</f>
        <v>lø</v>
      </c>
      <c r="W20" s="124" t="str">
        <f>Januar!C26</f>
        <v>Weekend</v>
      </c>
      <c r="X20" s="125" t="str">
        <f>Januar!D26</f>
        <v/>
      </c>
      <c r="Y20" s="556">
        <f>Februar!A26</f>
        <v>18</v>
      </c>
      <c r="Z20" s="63" t="str">
        <f>Februar!B26</f>
        <v>ti</v>
      </c>
      <c r="AA20" s="124" t="str">
        <f>Februar!C26</f>
        <v>Skema 1</v>
      </c>
      <c r="AB20" s="557" t="str">
        <f>Februar!D26</f>
        <v/>
      </c>
      <c r="AC20" s="63">
        <f>Marts!A26</f>
        <v>18</v>
      </c>
      <c r="AD20" s="63" t="str">
        <f>Marts!B26</f>
        <v>ti</v>
      </c>
      <c r="AE20" s="124" t="str">
        <f>Marts!C26</f>
        <v>Skema 1</v>
      </c>
      <c r="AF20" s="125" t="str">
        <f>Marts!D26</f>
        <v/>
      </c>
      <c r="AG20" s="556">
        <f>April!A26</f>
        <v>18</v>
      </c>
      <c r="AH20" s="63" t="str">
        <f>April!B26</f>
        <v>fr</v>
      </c>
      <c r="AI20" s="124" t="str">
        <f>April!C26</f>
        <v>SH-dag</v>
      </c>
      <c r="AJ20" s="557" t="str">
        <f>April!D26</f>
        <v/>
      </c>
      <c r="AK20" s="564">
        <f>Maj!A26</f>
        <v>18</v>
      </c>
      <c r="AL20" s="565" t="str">
        <f>Maj!B26</f>
        <v>sø</v>
      </c>
      <c r="AM20" s="124" t="str">
        <f>Maj!C26</f>
        <v>Weekend</v>
      </c>
      <c r="AN20" s="566" t="str">
        <f>Maj!D26</f>
        <v/>
      </c>
      <c r="AO20" s="564">
        <f>Juni!A26</f>
        <v>18</v>
      </c>
      <c r="AP20" s="565" t="str">
        <f>Juni!B26</f>
        <v>on</v>
      </c>
      <c r="AQ20" s="124" t="str">
        <f>Juni!C26</f>
        <v>Skema 1</v>
      </c>
      <c r="AR20" s="566" t="str">
        <f>Juni!D26</f>
        <v/>
      </c>
      <c r="AS20" s="564">
        <f>Juli!A26</f>
        <v>18</v>
      </c>
      <c r="AT20" s="565" t="str">
        <f>Juli!B26</f>
        <v>fr</v>
      </c>
      <c r="AU20" s="124" t="str">
        <f>Juli!C26</f>
        <v>Feriedag</v>
      </c>
      <c r="AV20" s="566" t="str">
        <f>Juli!D26</f>
        <v/>
      </c>
    </row>
    <row r="21" spans="1:48" ht="24" customHeight="1">
      <c r="A21" s="556">
        <f>August!A28</f>
        <v>19</v>
      </c>
      <c r="B21" s="63" t="str">
        <f>August!B28</f>
        <v>ma</v>
      </c>
      <c r="C21" s="124" t="str">
        <f>August!C28</f>
        <v>Skema 1</v>
      </c>
      <c r="D21" s="557">
        <f>August!D28</f>
        <v>34</v>
      </c>
      <c r="E21" s="556">
        <f>September!A27</f>
        <v>19</v>
      </c>
      <c r="F21" s="63" t="str">
        <f>September!B27</f>
        <v>to</v>
      </c>
      <c r="G21" s="124" t="str">
        <f>September!C27</f>
        <v>Skema 1</v>
      </c>
      <c r="H21" s="557" t="str">
        <f>September!D27</f>
        <v/>
      </c>
      <c r="I21" s="556">
        <f>Oktober!A27</f>
        <v>19</v>
      </c>
      <c r="J21" s="63" t="str">
        <f>Oktober!B27</f>
        <v>lø</v>
      </c>
      <c r="K21" s="124" t="str">
        <f>Oktober!C27</f>
        <v>Weekend</v>
      </c>
      <c r="L21" s="557" t="str">
        <f>Oktober!D27</f>
        <v/>
      </c>
      <c r="M21" s="556">
        <f>November!A27</f>
        <v>19</v>
      </c>
      <c r="N21" s="63" t="str">
        <f>November!B27</f>
        <v>ti</v>
      </c>
      <c r="O21" s="124" t="str">
        <f>November!C27</f>
        <v>Skema 1</v>
      </c>
      <c r="P21" s="557" t="str">
        <f>November!D27</f>
        <v/>
      </c>
      <c r="Q21" s="556">
        <f>December!A27</f>
        <v>19</v>
      </c>
      <c r="R21" s="63" t="str">
        <f>December!B27</f>
        <v>to</v>
      </c>
      <c r="S21" s="124" t="str">
        <f>December!C27</f>
        <v>Skema 1</v>
      </c>
      <c r="T21" s="557" t="str">
        <f>December!D27</f>
        <v/>
      </c>
      <c r="U21" s="63">
        <f>Januar!A27</f>
        <v>19</v>
      </c>
      <c r="V21" s="63" t="str">
        <f>Januar!B27</f>
        <v>sø</v>
      </c>
      <c r="W21" s="124" t="str">
        <f>Januar!C27</f>
        <v>Weekend</v>
      </c>
      <c r="X21" s="125" t="str">
        <f>Januar!D27</f>
        <v/>
      </c>
      <c r="Y21" s="556">
        <f>Februar!A27</f>
        <v>19</v>
      </c>
      <c r="Z21" s="63" t="str">
        <f>Februar!B27</f>
        <v>on</v>
      </c>
      <c r="AA21" s="124" t="str">
        <f>Februar!C27</f>
        <v>Skema 1</v>
      </c>
      <c r="AB21" s="557" t="str">
        <f>Februar!D27</f>
        <v/>
      </c>
      <c r="AC21" s="63">
        <f>Marts!A27</f>
        <v>19</v>
      </c>
      <c r="AD21" s="63" t="str">
        <f>Marts!B27</f>
        <v>on</v>
      </c>
      <c r="AE21" s="124" t="str">
        <f>Marts!C27</f>
        <v>Skema 1</v>
      </c>
      <c r="AF21" s="125" t="str">
        <f>Marts!D27</f>
        <v/>
      </c>
      <c r="AG21" s="556">
        <f>April!A27</f>
        <v>19</v>
      </c>
      <c r="AH21" s="63" t="str">
        <f>April!B27</f>
        <v>lø</v>
      </c>
      <c r="AI21" s="124" t="str">
        <f>April!C27</f>
        <v>Weekend</v>
      </c>
      <c r="AJ21" s="557" t="str">
        <f>April!D27</f>
        <v/>
      </c>
      <c r="AK21" s="564">
        <f>Maj!A27</f>
        <v>19</v>
      </c>
      <c r="AL21" s="565" t="str">
        <f>Maj!B27</f>
        <v>ma</v>
      </c>
      <c r="AM21" s="124" t="str">
        <f>Maj!C27</f>
        <v>Skema 1</v>
      </c>
      <c r="AN21" s="566">
        <f>Maj!D27</f>
        <v>20.714285714285715</v>
      </c>
      <c r="AO21" s="564">
        <f>Juni!A27</f>
        <v>19</v>
      </c>
      <c r="AP21" s="565" t="str">
        <f>Juni!B27</f>
        <v>to</v>
      </c>
      <c r="AQ21" s="124" t="str">
        <f>Juni!C27</f>
        <v>Skema 1</v>
      </c>
      <c r="AR21" s="566" t="str">
        <f>Juni!D27</f>
        <v/>
      </c>
      <c r="AS21" s="564">
        <f>Juli!A27</f>
        <v>19</v>
      </c>
      <c r="AT21" s="565" t="str">
        <f>Juli!B27</f>
        <v>lø</v>
      </c>
      <c r="AU21" s="124" t="str">
        <f>Juli!C27</f>
        <v>Weekend</v>
      </c>
      <c r="AV21" s="566" t="str">
        <f>Juli!D27</f>
        <v/>
      </c>
    </row>
    <row r="22" spans="1:48" ht="24" customHeight="1">
      <c r="A22" s="556">
        <f>August!A29</f>
        <v>20</v>
      </c>
      <c r="B22" s="63" t="str">
        <f>August!B29</f>
        <v>ti</v>
      </c>
      <c r="C22" s="124" t="str">
        <f>August!C29</f>
        <v>Skema 1</v>
      </c>
      <c r="D22" s="557" t="str">
        <f>August!D29</f>
        <v/>
      </c>
      <c r="E22" s="556">
        <f>September!A28</f>
        <v>20</v>
      </c>
      <c r="F22" s="63" t="str">
        <f>September!B28</f>
        <v>fr</v>
      </c>
      <c r="G22" s="124" t="str">
        <f>September!C28</f>
        <v>Skema 1</v>
      </c>
      <c r="H22" s="557" t="str">
        <f>September!D28</f>
        <v/>
      </c>
      <c r="I22" s="556">
        <f>Oktober!A28</f>
        <v>20</v>
      </c>
      <c r="J22" s="63" t="str">
        <f>Oktober!B28</f>
        <v>sø</v>
      </c>
      <c r="K22" s="124" t="str">
        <f>Oktober!C28</f>
        <v>Weekend</v>
      </c>
      <c r="L22" s="557" t="str">
        <f>Oktober!D28</f>
        <v/>
      </c>
      <c r="M22" s="556">
        <f>November!A28</f>
        <v>20</v>
      </c>
      <c r="N22" s="63" t="str">
        <f>November!B28</f>
        <v>on</v>
      </c>
      <c r="O22" s="124" t="str">
        <f>November!C28</f>
        <v>Skema 1</v>
      </c>
      <c r="P22" s="557" t="str">
        <f>November!D28</f>
        <v/>
      </c>
      <c r="Q22" s="556">
        <f>December!A28</f>
        <v>20</v>
      </c>
      <c r="R22" s="63" t="str">
        <f>December!B28</f>
        <v>fr</v>
      </c>
      <c r="S22" s="124" t="str">
        <f>December!C28</f>
        <v>Skema 1</v>
      </c>
      <c r="T22" s="557" t="str">
        <f>December!D28</f>
        <v/>
      </c>
      <c r="U22" s="63">
        <f>Januar!A28</f>
        <v>20</v>
      </c>
      <c r="V22" s="63" t="str">
        <f>Januar!B28</f>
        <v>ma</v>
      </c>
      <c r="W22" s="124" t="str">
        <f>Januar!C28</f>
        <v>Skema 1</v>
      </c>
      <c r="X22" s="125">
        <f>Januar!D28</f>
        <v>3.7142857142857144</v>
      </c>
      <c r="Y22" s="556">
        <f>Februar!A28</f>
        <v>20</v>
      </c>
      <c r="Z22" s="63" t="str">
        <f>Februar!B28</f>
        <v>to</v>
      </c>
      <c r="AA22" s="124" t="str">
        <f>Februar!C28</f>
        <v>Skema 1</v>
      </c>
      <c r="AB22" s="557" t="str">
        <f>Februar!D28</f>
        <v/>
      </c>
      <c r="AC22" s="63">
        <f>Marts!A28</f>
        <v>20</v>
      </c>
      <c r="AD22" s="63" t="str">
        <f>Marts!B28</f>
        <v>to</v>
      </c>
      <c r="AE22" s="124" t="str">
        <f>Marts!C28</f>
        <v>Skema 1</v>
      </c>
      <c r="AF22" s="125" t="str">
        <f>Marts!D28</f>
        <v/>
      </c>
      <c r="AG22" s="556">
        <f>April!A28</f>
        <v>20</v>
      </c>
      <c r="AH22" s="63" t="str">
        <f>April!B28</f>
        <v>sø</v>
      </c>
      <c r="AI22" s="124" t="str">
        <f>April!C28</f>
        <v>Weekend</v>
      </c>
      <c r="AJ22" s="557" t="str">
        <f>April!D28</f>
        <v/>
      </c>
      <c r="AK22" s="564">
        <f>Maj!A28</f>
        <v>20</v>
      </c>
      <c r="AL22" s="565" t="str">
        <f>Maj!B28</f>
        <v>ti</v>
      </c>
      <c r="AM22" s="124" t="str">
        <f>Maj!C28</f>
        <v>Skema 1</v>
      </c>
      <c r="AN22" s="566" t="str">
        <f>Maj!D28</f>
        <v/>
      </c>
      <c r="AO22" s="564">
        <f>Juni!A28</f>
        <v>20</v>
      </c>
      <c r="AP22" s="565" t="str">
        <f>Juni!B28</f>
        <v>fr</v>
      </c>
      <c r="AQ22" s="124" t="str">
        <f>Juni!C28</f>
        <v>Skema 1</v>
      </c>
      <c r="AR22" s="566" t="str">
        <f>Juni!D28</f>
        <v/>
      </c>
      <c r="AS22" s="564">
        <f>Juli!A28</f>
        <v>20</v>
      </c>
      <c r="AT22" s="565" t="str">
        <f>Juli!B28</f>
        <v>sø</v>
      </c>
      <c r="AU22" s="124" t="str">
        <f>Juli!C28</f>
        <v>Weekend</v>
      </c>
      <c r="AV22" s="566" t="str">
        <f>Juli!D28</f>
        <v/>
      </c>
    </row>
    <row r="23" spans="1:48" ht="24" customHeight="1">
      <c r="A23" s="556">
        <f>August!A30</f>
        <v>21</v>
      </c>
      <c r="B23" s="63" t="str">
        <f>August!B30</f>
        <v>on</v>
      </c>
      <c r="C23" s="124" t="str">
        <f>August!C30</f>
        <v>Skema 1</v>
      </c>
      <c r="D23" s="557" t="str">
        <f>August!D30</f>
        <v/>
      </c>
      <c r="E23" s="556">
        <f>September!A29</f>
        <v>21</v>
      </c>
      <c r="F23" s="63" t="str">
        <f>September!B29</f>
        <v>lø</v>
      </c>
      <c r="G23" s="124" t="str">
        <f>September!C29</f>
        <v>Weekend</v>
      </c>
      <c r="H23" s="557" t="str">
        <f>September!D29</f>
        <v/>
      </c>
      <c r="I23" s="556">
        <f>Oktober!A29</f>
        <v>21</v>
      </c>
      <c r="J23" s="63" t="str">
        <f>Oktober!B29</f>
        <v>ma</v>
      </c>
      <c r="K23" s="124" t="str">
        <f>Oktober!C29</f>
        <v>Skema 1</v>
      </c>
      <c r="L23" s="557">
        <f>Oktober!D29</f>
        <v>43</v>
      </c>
      <c r="M23" s="556">
        <f>November!A29</f>
        <v>21</v>
      </c>
      <c r="N23" s="63" t="str">
        <f>November!B29</f>
        <v>to</v>
      </c>
      <c r="O23" s="124" t="str">
        <f>November!C29</f>
        <v>Skema 1</v>
      </c>
      <c r="P23" s="557" t="str">
        <f>November!D29</f>
        <v/>
      </c>
      <c r="Q23" s="556">
        <f>December!A29</f>
        <v>21</v>
      </c>
      <c r="R23" s="63" t="str">
        <f>December!B29</f>
        <v>lø</v>
      </c>
      <c r="S23" s="124" t="str">
        <f>December!C29</f>
        <v>Weekend</v>
      </c>
      <c r="T23" s="557" t="str">
        <f>December!D29</f>
        <v/>
      </c>
      <c r="U23" s="63">
        <f>Januar!A29</f>
        <v>21</v>
      </c>
      <c r="V23" s="63" t="str">
        <f>Januar!B29</f>
        <v>ti</v>
      </c>
      <c r="W23" s="124" t="str">
        <f>Januar!C29</f>
        <v>Skema 1</v>
      </c>
      <c r="X23" s="125" t="str">
        <f>Januar!D29</f>
        <v/>
      </c>
      <c r="Y23" s="556">
        <f>Februar!A29</f>
        <v>21</v>
      </c>
      <c r="Z23" s="63" t="str">
        <f>Februar!B29</f>
        <v>fr</v>
      </c>
      <c r="AA23" s="124" t="str">
        <f>Februar!C29</f>
        <v>Skema 1</v>
      </c>
      <c r="AB23" s="557" t="str">
        <f>Februar!D29</f>
        <v/>
      </c>
      <c r="AC23" s="63">
        <f>Marts!A29</f>
        <v>21</v>
      </c>
      <c r="AD23" s="63" t="str">
        <f>Marts!B29</f>
        <v>fr</v>
      </c>
      <c r="AE23" s="124" t="str">
        <f>Marts!C29</f>
        <v>Skema 1</v>
      </c>
      <c r="AF23" s="125" t="str">
        <f>Marts!D29</f>
        <v/>
      </c>
      <c r="AG23" s="556">
        <f>April!A29</f>
        <v>21</v>
      </c>
      <c r="AH23" s="63" t="str">
        <f>April!B29</f>
        <v>ma</v>
      </c>
      <c r="AI23" s="124" t="str">
        <f>April!C29</f>
        <v>SH-dag</v>
      </c>
      <c r="AJ23" s="557">
        <f>April!D29</f>
        <v>16.714285714285715</v>
      </c>
      <c r="AK23" s="564">
        <f>Maj!A29</f>
        <v>21</v>
      </c>
      <c r="AL23" s="565" t="str">
        <f>Maj!B29</f>
        <v>on</v>
      </c>
      <c r="AM23" s="124" t="str">
        <f>Maj!C29</f>
        <v>Skema 1</v>
      </c>
      <c r="AN23" s="566" t="str">
        <f>Maj!D29</f>
        <v/>
      </c>
      <c r="AO23" s="564">
        <f>Juni!A29</f>
        <v>21</v>
      </c>
      <c r="AP23" s="565" t="str">
        <f>Juni!B29</f>
        <v>lø</v>
      </c>
      <c r="AQ23" s="124" t="str">
        <f>Juni!C29</f>
        <v>Weekend</v>
      </c>
      <c r="AR23" s="566" t="str">
        <f>Juni!D29</f>
        <v/>
      </c>
      <c r="AS23" s="564">
        <f>Juli!A29</f>
        <v>21</v>
      </c>
      <c r="AT23" s="565" t="str">
        <f>Juli!B29</f>
        <v>ma</v>
      </c>
      <c r="AU23" s="124" t="str">
        <f>Juli!C29</f>
        <v>Feriedag</v>
      </c>
      <c r="AV23" s="566">
        <f>Juli!D29</f>
        <v>29.714285714285715</v>
      </c>
    </row>
    <row r="24" spans="1:48" ht="24" customHeight="1">
      <c r="A24" s="556">
        <f>August!A31</f>
        <v>22</v>
      </c>
      <c r="B24" s="63" t="str">
        <f>August!B31</f>
        <v>to</v>
      </c>
      <c r="C24" s="124" t="str">
        <f>August!C31</f>
        <v>Skema 1</v>
      </c>
      <c r="D24" s="557" t="str">
        <f>August!D31</f>
        <v/>
      </c>
      <c r="E24" s="556">
        <f>September!A30</f>
        <v>22</v>
      </c>
      <c r="F24" s="63" t="str">
        <f>September!B30</f>
        <v>sø</v>
      </c>
      <c r="G24" s="124" t="str">
        <f>September!C30</f>
        <v>Weekend</v>
      </c>
      <c r="H24" s="557" t="str">
        <f>September!D30</f>
        <v/>
      </c>
      <c r="I24" s="556">
        <f>Oktober!A30</f>
        <v>22</v>
      </c>
      <c r="J24" s="63" t="str">
        <f>Oktober!B30</f>
        <v>ti</v>
      </c>
      <c r="K24" s="124" t="str">
        <f>Oktober!C30</f>
        <v>Skema 1</v>
      </c>
      <c r="L24" s="557" t="str">
        <f>Oktober!D30</f>
        <v/>
      </c>
      <c r="M24" s="556">
        <f>November!A30</f>
        <v>22</v>
      </c>
      <c r="N24" s="63" t="str">
        <f>November!B30</f>
        <v>fr</v>
      </c>
      <c r="O24" s="124" t="str">
        <f>November!C30</f>
        <v>Skema 1</v>
      </c>
      <c r="P24" s="557" t="str">
        <f>November!D30</f>
        <v/>
      </c>
      <c r="Q24" s="556">
        <f>December!A30</f>
        <v>22</v>
      </c>
      <c r="R24" s="63" t="str">
        <f>December!B30</f>
        <v>sø</v>
      </c>
      <c r="S24" s="124" t="str">
        <f>December!C30</f>
        <v>Weekend</v>
      </c>
      <c r="T24" s="557" t="str">
        <f>December!D30</f>
        <v/>
      </c>
      <c r="U24" s="63">
        <f>Januar!A30</f>
        <v>22</v>
      </c>
      <c r="V24" s="63" t="str">
        <f>Januar!B30</f>
        <v>on</v>
      </c>
      <c r="W24" s="124" t="str">
        <f>Januar!C30</f>
        <v>Skema 1</v>
      </c>
      <c r="X24" s="125" t="str">
        <f>Januar!D30</f>
        <v/>
      </c>
      <c r="Y24" s="556">
        <f>Februar!A30</f>
        <v>22</v>
      </c>
      <c r="Z24" s="63" t="str">
        <f>Februar!B30</f>
        <v>lø</v>
      </c>
      <c r="AA24" s="124" t="str">
        <f>Februar!C30</f>
        <v>Weekend</v>
      </c>
      <c r="AB24" s="557" t="str">
        <f>Februar!D30</f>
        <v/>
      </c>
      <c r="AC24" s="63">
        <f>Marts!A30</f>
        <v>22</v>
      </c>
      <c r="AD24" s="63" t="str">
        <f>Marts!B30</f>
        <v>lø</v>
      </c>
      <c r="AE24" s="124" t="str">
        <f>Marts!C30</f>
        <v>Weekend</v>
      </c>
      <c r="AF24" s="125" t="str">
        <f>Marts!D30</f>
        <v/>
      </c>
      <c r="AG24" s="556">
        <f>April!A30</f>
        <v>22</v>
      </c>
      <c r="AH24" s="63" t="str">
        <f>April!B30</f>
        <v>ti</v>
      </c>
      <c r="AI24" s="124" t="str">
        <f>April!C30</f>
        <v>Skema 1</v>
      </c>
      <c r="AJ24" s="557" t="str">
        <f>April!D30</f>
        <v/>
      </c>
      <c r="AK24" s="564">
        <f>Maj!A30</f>
        <v>22</v>
      </c>
      <c r="AL24" s="565" t="str">
        <f>Maj!B30</f>
        <v>to</v>
      </c>
      <c r="AM24" s="124" t="str">
        <f>Maj!C30</f>
        <v>Skema 1</v>
      </c>
      <c r="AN24" s="566" t="str">
        <f>Maj!D30</f>
        <v/>
      </c>
      <c r="AO24" s="564">
        <f>Juni!A30</f>
        <v>22</v>
      </c>
      <c r="AP24" s="565" t="str">
        <f>Juni!B30</f>
        <v>sø</v>
      </c>
      <c r="AQ24" s="124" t="str">
        <f>Juni!C30</f>
        <v>Weekend</v>
      </c>
      <c r="AR24" s="566" t="str">
        <f>Juni!D30</f>
        <v/>
      </c>
      <c r="AS24" s="564">
        <f>Juli!A30</f>
        <v>22</v>
      </c>
      <c r="AT24" s="565" t="str">
        <f>Juli!B30</f>
        <v>ti</v>
      </c>
      <c r="AU24" s="124" t="str">
        <f>Juli!C30</f>
        <v>Feriedag</v>
      </c>
      <c r="AV24" s="566" t="str">
        <f>Juli!D30</f>
        <v/>
      </c>
    </row>
    <row r="25" spans="1:48" ht="24" customHeight="1">
      <c r="A25" s="556">
        <f>August!A32</f>
        <v>23</v>
      </c>
      <c r="B25" s="63" t="str">
        <f>August!B32</f>
        <v>fr</v>
      </c>
      <c r="C25" s="124" t="str">
        <f>August!C32</f>
        <v>Skema 1</v>
      </c>
      <c r="D25" s="557" t="str">
        <f>August!D32</f>
        <v/>
      </c>
      <c r="E25" s="556">
        <f>September!A31</f>
        <v>23</v>
      </c>
      <c r="F25" s="63" t="str">
        <f>September!B31</f>
        <v>ma</v>
      </c>
      <c r="G25" s="124" t="str">
        <f>September!C31</f>
        <v>Skema 1</v>
      </c>
      <c r="H25" s="557">
        <f>September!D31</f>
        <v>39</v>
      </c>
      <c r="I25" s="556">
        <f>Oktober!A31</f>
        <v>23</v>
      </c>
      <c r="J25" s="63" t="str">
        <f>Oktober!B31</f>
        <v>on</v>
      </c>
      <c r="K25" s="124" t="str">
        <f>Oktober!C31</f>
        <v>Skema 1</v>
      </c>
      <c r="L25" s="557" t="str">
        <f>Oktober!D31</f>
        <v/>
      </c>
      <c r="M25" s="556">
        <f>November!A31</f>
        <v>23</v>
      </c>
      <c r="N25" s="63" t="str">
        <f>November!B31</f>
        <v>lø</v>
      </c>
      <c r="O25" s="124" t="str">
        <f>November!C31</f>
        <v>Weekend</v>
      </c>
      <c r="P25" s="557" t="str">
        <f>November!D31</f>
        <v/>
      </c>
      <c r="Q25" s="556">
        <f>December!A31</f>
        <v>23</v>
      </c>
      <c r="R25" s="63" t="str">
        <f>December!B31</f>
        <v>ma</v>
      </c>
      <c r="S25" s="124" t="str">
        <f>December!C31</f>
        <v>Nul-dag</v>
      </c>
      <c r="T25" s="557">
        <f>December!D31</f>
        <v>52</v>
      </c>
      <c r="U25" s="63">
        <f>Januar!A31</f>
        <v>23</v>
      </c>
      <c r="V25" s="63" t="str">
        <f>Januar!B31</f>
        <v>to</v>
      </c>
      <c r="W25" s="124" t="str">
        <f>Januar!C31</f>
        <v>Skema 1</v>
      </c>
      <c r="X25" s="125" t="str">
        <f>Januar!D31</f>
        <v/>
      </c>
      <c r="Y25" s="556">
        <f>Februar!A31</f>
        <v>23</v>
      </c>
      <c r="Z25" s="63" t="str">
        <f>Februar!B31</f>
        <v>sø</v>
      </c>
      <c r="AA25" s="124" t="str">
        <f>Februar!C31</f>
        <v>Weekend</v>
      </c>
      <c r="AB25" s="557" t="str">
        <f>Februar!D31</f>
        <v/>
      </c>
      <c r="AC25" s="63">
        <f>Marts!A31</f>
        <v>23</v>
      </c>
      <c r="AD25" s="63" t="str">
        <f>Marts!B31</f>
        <v>sø</v>
      </c>
      <c r="AE25" s="124" t="str">
        <f>Marts!C31</f>
        <v>Weekend</v>
      </c>
      <c r="AF25" s="125" t="str">
        <f>Marts!D31</f>
        <v/>
      </c>
      <c r="AG25" s="556">
        <f>April!A31</f>
        <v>23</v>
      </c>
      <c r="AH25" s="63" t="str">
        <f>April!B31</f>
        <v>on</v>
      </c>
      <c r="AI25" s="124" t="str">
        <f>April!C31</f>
        <v>Skema 1</v>
      </c>
      <c r="AJ25" s="557" t="str">
        <f>April!D31</f>
        <v/>
      </c>
      <c r="AK25" s="564">
        <f>Maj!A31</f>
        <v>23</v>
      </c>
      <c r="AL25" s="565" t="str">
        <f>Maj!B31</f>
        <v>fr</v>
      </c>
      <c r="AM25" s="124" t="str">
        <f>Maj!C31</f>
        <v>Skema 1</v>
      </c>
      <c r="AN25" s="566" t="str">
        <f>Maj!D31</f>
        <v/>
      </c>
      <c r="AO25" s="564">
        <f>Juni!A31</f>
        <v>23</v>
      </c>
      <c r="AP25" s="565" t="str">
        <f>Juni!B31</f>
        <v>ma</v>
      </c>
      <c r="AQ25" s="124" t="str">
        <f>Juni!C31</f>
        <v>Skema 1</v>
      </c>
      <c r="AR25" s="566">
        <f>Juni!D31</f>
        <v>25.714285714285715</v>
      </c>
      <c r="AS25" s="564">
        <f>Juli!A31</f>
        <v>23</v>
      </c>
      <c r="AT25" s="565" t="str">
        <f>Juli!B31</f>
        <v>on</v>
      </c>
      <c r="AU25" s="124" t="str">
        <f>Juli!C31</f>
        <v>Feriedag</v>
      </c>
      <c r="AV25" s="566" t="str">
        <f>Juli!D31</f>
        <v/>
      </c>
    </row>
    <row r="26" spans="1:48" ht="24" customHeight="1">
      <c r="A26" s="556">
        <f>August!A33</f>
        <v>24</v>
      </c>
      <c r="B26" s="63" t="str">
        <f>August!B33</f>
        <v>lø</v>
      </c>
      <c r="C26" s="124" t="str">
        <f>August!C33</f>
        <v>Weekend</v>
      </c>
      <c r="D26" s="557" t="str">
        <f>August!D33</f>
        <v/>
      </c>
      <c r="E26" s="556">
        <f>September!A32</f>
        <v>24</v>
      </c>
      <c r="F26" s="63" t="str">
        <f>September!B32</f>
        <v>ti</v>
      </c>
      <c r="G26" s="124" t="str">
        <f>September!C32</f>
        <v>Skema 1</v>
      </c>
      <c r="H26" s="557" t="str">
        <f>September!D32</f>
        <v/>
      </c>
      <c r="I26" s="556">
        <f>Oktober!A32</f>
        <v>24</v>
      </c>
      <c r="J26" s="63" t="str">
        <f>Oktober!B32</f>
        <v>to</v>
      </c>
      <c r="K26" s="124" t="str">
        <f>Oktober!C32</f>
        <v>Skema 1</v>
      </c>
      <c r="L26" s="557" t="str">
        <f>Oktober!D32</f>
        <v/>
      </c>
      <c r="M26" s="556">
        <f>November!A32</f>
        <v>24</v>
      </c>
      <c r="N26" s="63" t="str">
        <f>November!B32</f>
        <v>sø</v>
      </c>
      <c r="O26" s="124" t="str">
        <f>November!C32</f>
        <v>Weekend</v>
      </c>
      <c r="P26" s="557" t="str">
        <f>November!D32</f>
        <v/>
      </c>
      <c r="Q26" s="556">
        <f>December!A32</f>
        <v>24</v>
      </c>
      <c r="R26" s="63" t="str">
        <f>December!B32</f>
        <v>ti</v>
      </c>
      <c r="S26" s="124" t="str">
        <f>December!C32</f>
        <v>Nul-dag</v>
      </c>
      <c r="T26" s="557" t="str">
        <f>December!D32</f>
        <v/>
      </c>
      <c r="U26" s="63">
        <f>Januar!A32</f>
        <v>24</v>
      </c>
      <c r="V26" s="63" t="str">
        <f>Januar!B32</f>
        <v>fr</v>
      </c>
      <c r="W26" s="124" t="str">
        <f>Januar!C32</f>
        <v>Skema 1</v>
      </c>
      <c r="X26" s="125" t="str">
        <f>Januar!D32</f>
        <v/>
      </c>
      <c r="Y26" s="556">
        <f>Februar!A32</f>
        <v>24</v>
      </c>
      <c r="Z26" s="63" t="str">
        <f>Februar!B32</f>
        <v>ma</v>
      </c>
      <c r="AA26" s="124" t="str">
        <f>Februar!C32</f>
        <v>Skema 1</v>
      </c>
      <c r="AB26" s="557">
        <f>Februar!D32</f>
        <v>8.7142857142857135</v>
      </c>
      <c r="AC26" s="63">
        <f>Marts!A32</f>
        <v>24</v>
      </c>
      <c r="AD26" s="63" t="str">
        <f>Marts!B32</f>
        <v>ma</v>
      </c>
      <c r="AE26" s="124" t="str">
        <f>Marts!C32</f>
        <v>Skema 1</v>
      </c>
      <c r="AF26" s="125">
        <f>Marts!D32</f>
        <v>12.714285714285714</v>
      </c>
      <c r="AG26" s="556">
        <f>April!A32</f>
        <v>24</v>
      </c>
      <c r="AH26" s="63" t="str">
        <f>April!B32</f>
        <v>to</v>
      </c>
      <c r="AI26" s="124" t="str">
        <f>April!C32</f>
        <v>Skema 1</v>
      </c>
      <c r="AJ26" s="557" t="str">
        <f>April!D32</f>
        <v/>
      </c>
      <c r="AK26" s="564">
        <f>Maj!A32</f>
        <v>24</v>
      </c>
      <c r="AL26" s="565" t="str">
        <f>Maj!B32</f>
        <v>lø</v>
      </c>
      <c r="AM26" s="124" t="str">
        <f>Maj!C32</f>
        <v>Weekend</v>
      </c>
      <c r="AN26" s="566" t="str">
        <f>Maj!D32</f>
        <v/>
      </c>
      <c r="AO26" s="564">
        <f>Juni!A32</f>
        <v>24</v>
      </c>
      <c r="AP26" s="565" t="str">
        <f>Juni!B32</f>
        <v>ti</v>
      </c>
      <c r="AQ26" s="124" t="str">
        <f>Juni!C32</f>
        <v>Skema 1</v>
      </c>
      <c r="AR26" s="566" t="str">
        <f>Juni!D32</f>
        <v/>
      </c>
      <c r="AS26" s="564">
        <f>Juli!A32</f>
        <v>24</v>
      </c>
      <c r="AT26" s="565" t="str">
        <f>Juli!B32</f>
        <v>to</v>
      </c>
      <c r="AU26" s="124" t="str">
        <f>Juli!C32</f>
        <v>Feriedag</v>
      </c>
      <c r="AV26" s="566" t="str">
        <f>Juli!D32</f>
        <v/>
      </c>
    </row>
    <row r="27" spans="1:48" ht="24" customHeight="1">
      <c r="A27" s="556">
        <f>August!A34</f>
        <v>25</v>
      </c>
      <c r="B27" s="63" t="str">
        <f>August!B34</f>
        <v>sø</v>
      </c>
      <c r="C27" s="124" t="str">
        <f>August!C34</f>
        <v>Weekend</v>
      </c>
      <c r="D27" s="557" t="str">
        <f>August!D34</f>
        <v/>
      </c>
      <c r="E27" s="556">
        <f>September!A33</f>
        <v>25</v>
      </c>
      <c r="F27" s="63" t="str">
        <f>September!B33</f>
        <v>on</v>
      </c>
      <c r="G27" s="124" t="str">
        <f>September!C33</f>
        <v>Skema 1</v>
      </c>
      <c r="H27" s="557" t="str">
        <f>September!D33</f>
        <v/>
      </c>
      <c r="I27" s="556">
        <f>Oktober!A33</f>
        <v>25</v>
      </c>
      <c r="J27" s="63" t="str">
        <f>Oktober!B33</f>
        <v>fr</v>
      </c>
      <c r="K27" s="124" t="str">
        <f>Oktober!C33</f>
        <v>Skema 1</v>
      </c>
      <c r="L27" s="557" t="str">
        <f>Oktober!D33</f>
        <v/>
      </c>
      <c r="M27" s="556">
        <f>November!A33</f>
        <v>25</v>
      </c>
      <c r="N27" s="63" t="str">
        <f>November!B33</f>
        <v>ma</v>
      </c>
      <c r="O27" s="124" t="str">
        <f>November!C33</f>
        <v>Skema 1</v>
      </c>
      <c r="P27" s="557">
        <f>November!D33</f>
        <v>48</v>
      </c>
      <c r="Q27" s="556">
        <f>December!A33</f>
        <v>25</v>
      </c>
      <c r="R27" s="63" t="str">
        <f>December!B33</f>
        <v>on</v>
      </c>
      <c r="S27" s="124" t="str">
        <f>December!C33</f>
        <v>SH-dag</v>
      </c>
      <c r="T27" s="557" t="str">
        <f>December!D33</f>
        <v/>
      </c>
      <c r="U27" s="63">
        <f>Januar!A33</f>
        <v>25</v>
      </c>
      <c r="V27" s="63" t="str">
        <f>Januar!B33</f>
        <v>lø</v>
      </c>
      <c r="W27" s="124" t="str">
        <f>Januar!C33</f>
        <v>Weekend</v>
      </c>
      <c r="X27" s="125" t="str">
        <f>Januar!D33</f>
        <v/>
      </c>
      <c r="Y27" s="556">
        <f>Februar!A33</f>
        <v>25</v>
      </c>
      <c r="Z27" s="63" t="str">
        <f>Februar!B33</f>
        <v>ti</v>
      </c>
      <c r="AA27" s="124" t="str">
        <f>Februar!C33</f>
        <v>Skema 1</v>
      </c>
      <c r="AB27" s="557" t="str">
        <f>Februar!D33</f>
        <v/>
      </c>
      <c r="AC27" s="63">
        <f>Marts!A33</f>
        <v>25</v>
      </c>
      <c r="AD27" s="63" t="str">
        <f>Marts!B33</f>
        <v>ti</v>
      </c>
      <c r="AE27" s="124" t="str">
        <f>Marts!C33</f>
        <v>Skema 1</v>
      </c>
      <c r="AF27" s="125" t="str">
        <f>Marts!D33</f>
        <v/>
      </c>
      <c r="AG27" s="556">
        <f>April!A33</f>
        <v>25</v>
      </c>
      <c r="AH27" s="63" t="str">
        <f>April!B33</f>
        <v>fr</v>
      </c>
      <c r="AI27" s="124" t="str">
        <f>April!C33</f>
        <v>Skema 1</v>
      </c>
      <c r="AJ27" s="557" t="str">
        <f>April!D33</f>
        <v/>
      </c>
      <c r="AK27" s="564">
        <f>Maj!A33</f>
        <v>25</v>
      </c>
      <c r="AL27" s="565" t="str">
        <f>Maj!B33</f>
        <v>sø</v>
      </c>
      <c r="AM27" s="124" t="str">
        <f>Maj!C33</f>
        <v>Weekend</v>
      </c>
      <c r="AN27" s="566" t="str">
        <f>Maj!D33</f>
        <v/>
      </c>
      <c r="AO27" s="564">
        <f>Juni!A33</f>
        <v>25</v>
      </c>
      <c r="AP27" s="565" t="str">
        <f>Juni!B33</f>
        <v>on</v>
      </c>
      <c r="AQ27" s="124" t="str">
        <f>Juni!C33</f>
        <v>Skema 1</v>
      </c>
      <c r="AR27" s="566" t="str">
        <f>Juni!D33</f>
        <v/>
      </c>
      <c r="AS27" s="564">
        <f>Juli!A33</f>
        <v>25</v>
      </c>
      <c r="AT27" s="565" t="str">
        <f>Juli!B33</f>
        <v>fr</v>
      </c>
      <c r="AU27" s="124" t="str">
        <f>Juli!C33</f>
        <v>Feriedag</v>
      </c>
      <c r="AV27" s="566" t="str">
        <f>Juli!D33</f>
        <v/>
      </c>
    </row>
    <row r="28" spans="1:48" ht="24" customHeight="1">
      <c r="A28" s="556">
        <f>August!A35</f>
        <v>26</v>
      </c>
      <c r="B28" s="63" t="str">
        <f>August!B35</f>
        <v>ma</v>
      </c>
      <c r="C28" s="124" t="str">
        <f>August!C35</f>
        <v>Skema 1</v>
      </c>
      <c r="D28" s="557">
        <f>August!D35</f>
        <v>35</v>
      </c>
      <c r="E28" s="556">
        <f>September!A34</f>
        <v>26</v>
      </c>
      <c r="F28" s="63" t="str">
        <f>September!B34</f>
        <v>to</v>
      </c>
      <c r="G28" s="124" t="str">
        <f>September!C34</f>
        <v>Skema 1</v>
      </c>
      <c r="H28" s="557" t="str">
        <f>September!D34</f>
        <v/>
      </c>
      <c r="I28" s="556">
        <f>Oktober!A34</f>
        <v>26</v>
      </c>
      <c r="J28" s="63" t="str">
        <f>Oktober!B34</f>
        <v>lø</v>
      </c>
      <c r="K28" s="124" t="str">
        <f>Oktober!C34</f>
        <v>Weekend</v>
      </c>
      <c r="L28" s="557" t="str">
        <f>Oktober!D34</f>
        <v/>
      </c>
      <c r="M28" s="556">
        <f>November!A34</f>
        <v>26</v>
      </c>
      <c r="N28" s="63" t="str">
        <f>November!B34</f>
        <v>ti</v>
      </c>
      <c r="O28" s="124" t="str">
        <f>November!C34</f>
        <v>Skema 1</v>
      </c>
      <c r="P28" s="557" t="str">
        <f>November!D34</f>
        <v/>
      </c>
      <c r="Q28" s="556">
        <f>December!A34</f>
        <v>26</v>
      </c>
      <c r="R28" s="63" t="str">
        <f>December!B34</f>
        <v>to</v>
      </c>
      <c r="S28" s="124" t="str">
        <f>December!C34</f>
        <v>SH-dag</v>
      </c>
      <c r="T28" s="557" t="str">
        <f>December!D34</f>
        <v/>
      </c>
      <c r="U28" s="63">
        <f>Januar!A34</f>
        <v>26</v>
      </c>
      <c r="V28" s="63" t="str">
        <f>Januar!B34</f>
        <v>sø</v>
      </c>
      <c r="W28" s="124" t="str">
        <f>Januar!C34</f>
        <v>Weekend</v>
      </c>
      <c r="X28" s="125" t="str">
        <f>Januar!D34</f>
        <v/>
      </c>
      <c r="Y28" s="556">
        <f>Februar!A34</f>
        <v>26</v>
      </c>
      <c r="Z28" s="63" t="str">
        <f>Februar!B34</f>
        <v>on</v>
      </c>
      <c r="AA28" s="124" t="str">
        <f>Februar!C34</f>
        <v>Skema 1</v>
      </c>
      <c r="AB28" s="557" t="str">
        <f>Februar!D34</f>
        <v/>
      </c>
      <c r="AC28" s="63">
        <f>Marts!A34</f>
        <v>26</v>
      </c>
      <c r="AD28" s="63" t="str">
        <f>Marts!B34</f>
        <v>on</v>
      </c>
      <c r="AE28" s="124" t="str">
        <f>Marts!C34</f>
        <v>Skema 1</v>
      </c>
      <c r="AF28" s="125" t="str">
        <f>Marts!D34</f>
        <v/>
      </c>
      <c r="AG28" s="556">
        <f>April!A34</f>
        <v>26</v>
      </c>
      <c r="AH28" s="63" t="str">
        <f>April!B34</f>
        <v>lø</v>
      </c>
      <c r="AI28" s="124" t="str">
        <f>April!C34</f>
        <v>Weekend</v>
      </c>
      <c r="AJ28" s="557" t="str">
        <f>April!D34</f>
        <v/>
      </c>
      <c r="AK28" s="564">
        <f>Maj!A34</f>
        <v>26</v>
      </c>
      <c r="AL28" s="565" t="str">
        <f>Maj!B34</f>
        <v>ma</v>
      </c>
      <c r="AM28" s="124" t="str">
        <f>Maj!C34</f>
        <v>Skema 1</v>
      </c>
      <c r="AN28" s="566">
        <f>Maj!D34</f>
        <v>21.714285714285715</v>
      </c>
      <c r="AO28" s="564">
        <f>Juni!A34</f>
        <v>26</v>
      </c>
      <c r="AP28" s="565" t="str">
        <f>Juni!B34</f>
        <v>to</v>
      </c>
      <c r="AQ28" s="124" t="str">
        <f>Juni!C34</f>
        <v>Skema 1</v>
      </c>
      <c r="AR28" s="566" t="str">
        <f>Juni!D34</f>
        <v/>
      </c>
      <c r="AS28" s="564">
        <f>Juli!A34</f>
        <v>26</v>
      </c>
      <c r="AT28" s="565" t="str">
        <f>Juli!B34</f>
        <v>lø</v>
      </c>
      <c r="AU28" s="124" t="str">
        <f>Juli!C34</f>
        <v>Weekend</v>
      </c>
      <c r="AV28" s="566" t="str">
        <f>Juli!D34</f>
        <v/>
      </c>
    </row>
    <row r="29" spans="1:48" ht="24" customHeight="1">
      <c r="A29" s="556">
        <f>August!A36</f>
        <v>27</v>
      </c>
      <c r="B29" s="63" t="str">
        <f>August!B36</f>
        <v>ti</v>
      </c>
      <c r="C29" s="124" t="str">
        <f>August!C36</f>
        <v>Skema 1</v>
      </c>
      <c r="D29" s="557" t="str">
        <f>August!D36</f>
        <v/>
      </c>
      <c r="E29" s="556">
        <f>September!A35</f>
        <v>27</v>
      </c>
      <c r="F29" s="63" t="str">
        <f>September!B35</f>
        <v>fr</v>
      </c>
      <c r="G29" s="124" t="str">
        <f>September!C35</f>
        <v>Skema 1</v>
      </c>
      <c r="H29" s="557" t="str">
        <f>September!D35</f>
        <v/>
      </c>
      <c r="I29" s="556">
        <f>Oktober!A35</f>
        <v>27</v>
      </c>
      <c r="J29" s="63" t="str">
        <f>Oktober!B35</f>
        <v>sø</v>
      </c>
      <c r="K29" s="124" t="str">
        <f>Oktober!C35</f>
        <v>Weekend</v>
      </c>
      <c r="L29" s="557" t="str">
        <f>Oktober!D35</f>
        <v/>
      </c>
      <c r="M29" s="556">
        <f>November!A35</f>
        <v>27</v>
      </c>
      <c r="N29" s="63" t="str">
        <f>November!B35</f>
        <v>on</v>
      </c>
      <c r="O29" s="124" t="str">
        <f>November!C35</f>
        <v>Skema 1</v>
      </c>
      <c r="P29" s="557" t="str">
        <f>November!D35</f>
        <v/>
      </c>
      <c r="Q29" s="556">
        <f>December!A35</f>
        <v>27</v>
      </c>
      <c r="R29" s="63" t="str">
        <f>December!B35</f>
        <v>fr</v>
      </c>
      <c r="S29" s="124" t="str">
        <f>December!C35</f>
        <v>Nul-dag</v>
      </c>
      <c r="T29" s="557" t="str">
        <f>December!D35</f>
        <v/>
      </c>
      <c r="U29" s="63">
        <f>Januar!A35</f>
        <v>27</v>
      </c>
      <c r="V29" s="63" t="str">
        <f>Januar!B35</f>
        <v>ma</v>
      </c>
      <c r="W29" s="124" t="str">
        <f>Januar!C35</f>
        <v>Skema 1</v>
      </c>
      <c r="X29" s="125">
        <f>Januar!D35</f>
        <v>4.7142857142857144</v>
      </c>
      <c r="Y29" s="556">
        <f>Februar!A35</f>
        <v>27</v>
      </c>
      <c r="Z29" s="63" t="str">
        <f>Februar!B35</f>
        <v>to</v>
      </c>
      <c r="AA29" s="124" t="str">
        <f>Februar!C35</f>
        <v>Skema 1</v>
      </c>
      <c r="AB29" s="557" t="str">
        <f>Februar!D35</f>
        <v/>
      </c>
      <c r="AC29" s="63">
        <f>Marts!A35</f>
        <v>27</v>
      </c>
      <c r="AD29" s="63" t="str">
        <f>Marts!B35</f>
        <v>to</v>
      </c>
      <c r="AE29" s="124" t="str">
        <f>Marts!C35</f>
        <v>Skema 1</v>
      </c>
      <c r="AF29" s="125" t="str">
        <f>Marts!D35</f>
        <v/>
      </c>
      <c r="AG29" s="556">
        <f>April!A35</f>
        <v>27</v>
      </c>
      <c r="AH29" s="63" t="str">
        <f>April!B35</f>
        <v>sø</v>
      </c>
      <c r="AI29" s="124" t="str">
        <f>April!C35</f>
        <v>Weekend</v>
      </c>
      <c r="AJ29" s="557" t="str">
        <f>April!D35</f>
        <v/>
      </c>
      <c r="AK29" s="564">
        <f>Maj!A35</f>
        <v>27</v>
      </c>
      <c r="AL29" s="565" t="str">
        <f>Maj!B35</f>
        <v>ti</v>
      </c>
      <c r="AM29" s="124" t="str">
        <f>Maj!C35</f>
        <v>Skema 1</v>
      </c>
      <c r="AN29" s="566" t="str">
        <f>Maj!D35</f>
        <v/>
      </c>
      <c r="AO29" s="564">
        <f>Juni!A35</f>
        <v>27</v>
      </c>
      <c r="AP29" s="565" t="str">
        <f>Juni!B35</f>
        <v>fr</v>
      </c>
      <c r="AQ29" s="124" t="str">
        <f>Juni!C35</f>
        <v>Skema 1</v>
      </c>
      <c r="AR29" s="566" t="str">
        <f>Juni!D35</f>
        <v/>
      </c>
      <c r="AS29" s="564">
        <f>Juli!A35</f>
        <v>27</v>
      </c>
      <c r="AT29" s="565" t="str">
        <f>Juli!B35</f>
        <v>sø</v>
      </c>
      <c r="AU29" s="124" t="str">
        <f>Juli!C35</f>
        <v>Weekend</v>
      </c>
      <c r="AV29" s="566" t="str">
        <f>Juli!D35</f>
        <v/>
      </c>
    </row>
    <row r="30" spans="1:48" ht="24" customHeight="1">
      <c r="A30" s="556">
        <f>August!A37</f>
        <v>28</v>
      </c>
      <c r="B30" s="63" t="str">
        <f>August!B37</f>
        <v>on</v>
      </c>
      <c r="C30" s="124" t="str">
        <f>August!C37</f>
        <v>Skema 1</v>
      </c>
      <c r="D30" s="557" t="str">
        <f>August!D37</f>
        <v/>
      </c>
      <c r="E30" s="556">
        <f>September!A36</f>
        <v>28</v>
      </c>
      <c r="F30" s="63" t="str">
        <f>September!B36</f>
        <v>lø</v>
      </c>
      <c r="G30" s="124" t="str">
        <f>September!C36</f>
        <v>Weekend</v>
      </c>
      <c r="H30" s="557" t="str">
        <f>September!D36</f>
        <v/>
      </c>
      <c r="I30" s="556">
        <f>Oktober!A36</f>
        <v>28</v>
      </c>
      <c r="J30" s="63" t="str">
        <f>Oktober!B36</f>
        <v>ma</v>
      </c>
      <c r="K30" s="124" t="str">
        <f>Oktober!C36</f>
        <v>Skema 1</v>
      </c>
      <c r="L30" s="557">
        <f>Oktober!D36</f>
        <v>44</v>
      </c>
      <c r="M30" s="556">
        <f>November!A36</f>
        <v>28</v>
      </c>
      <c r="N30" s="63" t="str">
        <f>November!B36</f>
        <v>to</v>
      </c>
      <c r="O30" s="124" t="str">
        <f>November!C36</f>
        <v>Skema 1</v>
      </c>
      <c r="P30" s="557" t="str">
        <f>November!D36</f>
        <v/>
      </c>
      <c r="Q30" s="556">
        <f>December!A36</f>
        <v>28</v>
      </c>
      <c r="R30" s="63" t="str">
        <f>December!B36</f>
        <v>lø</v>
      </c>
      <c r="S30" s="124" t="str">
        <f>December!C36</f>
        <v>Weekend</v>
      </c>
      <c r="T30" s="557" t="str">
        <f>December!D36</f>
        <v/>
      </c>
      <c r="U30" s="63">
        <f>Januar!A36</f>
        <v>28</v>
      </c>
      <c r="V30" s="63" t="str">
        <f>Januar!B36</f>
        <v>ti</v>
      </c>
      <c r="W30" s="124" t="str">
        <f>Januar!C36</f>
        <v>Skema 1</v>
      </c>
      <c r="X30" s="125" t="str">
        <f>Januar!D36</f>
        <v/>
      </c>
      <c r="Y30" s="558">
        <f>Februar!A36</f>
        <v>28</v>
      </c>
      <c r="Z30" s="559" t="str">
        <f>Februar!B36</f>
        <v>fr</v>
      </c>
      <c r="AA30" s="110" t="str">
        <f>Februar!C36</f>
        <v>Skema 1</v>
      </c>
      <c r="AB30" s="560" t="str">
        <f>Februar!D36</f>
        <v/>
      </c>
      <c r="AC30" s="63">
        <f>Marts!A36</f>
        <v>28</v>
      </c>
      <c r="AD30" s="63" t="str">
        <f>Marts!B36</f>
        <v>fr</v>
      </c>
      <c r="AE30" s="124" t="str">
        <f>Marts!C36</f>
        <v>Skema 1</v>
      </c>
      <c r="AF30" s="125" t="str">
        <f>Marts!D36</f>
        <v/>
      </c>
      <c r="AG30" s="556">
        <f>April!A36</f>
        <v>28</v>
      </c>
      <c r="AH30" s="63" t="str">
        <f>April!B36</f>
        <v>ma</v>
      </c>
      <c r="AI30" s="124" t="str">
        <f>April!C36</f>
        <v>Skema 1</v>
      </c>
      <c r="AJ30" s="557">
        <f>April!D36</f>
        <v>17.714285714285715</v>
      </c>
      <c r="AK30" s="564">
        <f>Maj!A36</f>
        <v>28</v>
      </c>
      <c r="AL30" s="565" t="str">
        <f>Maj!B36</f>
        <v>on</v>
      </c>
      <c r="AM30" s="124" t="str">
        <f>Maj!C36</f>
        <v>Skema 1</v>
      </c>
      <c r="AN30" s="566" t="str">
        <f>Maj!D36</f>
        <v/>
      </c>
      <c r="AO30" s="564">
        <f>Juni!A36</f>
        <v>28</v>
      </c>
      <c r="AP30" s="565" t="str">
        <f>Juni!B36</f>
        <v>lø</v>
      </c>
      <c r="AQ30" s="124" t="str">
        <f>Juni!C36</f>
        <v>Weekend</v>
      </c>
      <c r="AR30" s="566" t="str">
        <f>Juni!D36</f>
        <v/>
      </c>
      <c r="AS30" s="564">
        <f>Juli!A36</f>
        <v>28</v>
      </c>
      <c r="AT30" s="565" t="str">
        <f>Juli!B36</f>
        <v>ma</v>
      </c>
      <c r="AU30" s="124" t="str">
        <f>Juli!C36</f>
        <v>Feriedag</v>
      </c>
      <c r="AV30" s="566">
        <f>Juli!D36</f>
        <v>30.714285714285715</v>
      </c>
    </row>
    <row r="31" spans="1:48" ht="24" customHeight="1">
      <c r="A31" s="556">
        <f>August!A38</f>
        <v>29</v>
      </c>
      <c r="B31" s="63" t="str">
        <f>August!B38</f>
        <v>to</v>
      </c>
      <c r="C31" s="124" t="str">
        <f>August!C38</f>
        <v>Skema 1</v>
      </c>
      <c r="D31" s="557" t="str">
        <f>August!D38</f>
        <v/>
      </c>
      <c r="E31" s="556">
        <f>September!A37</f>
        <v>29</v>
      </c>
      <c r="F31" s="63" t="str">
        <f>September!B37</f>
        <v>sø</v>
      </c>
      <c r="G31" s="124" t="str">
        <f>September!C37</f>
        <v>Weekend</v>
      </c>
      <c r="H31" s="557" t="str">
        <f>September!D37</f>
        <v/>
      </c>
      <c r="I31" s="556">
        <f>Oktober!A37</f>
        <v>29</v>
      </c>
      <c r="J31" s="63" t="str">
        <f>Oktober!B37</f>
        <v>ti</v>
      </c>
      <c r="K31" s="124" t="str">
        <f>Oktober!C37</f>
        <v>Skema 1</v>
      </c>
      <c r="L31" s="557" t="str">
        <f>Oktober!D37</f>
        <v/>
      </c>
      <c r="M31" s="556">
        <f>November!A37</f>
        <v>29</v>
      </c>
      <c r="N31" s="63" t="str">
        <f>November!B37</f>
        <v>fr</v>
      </c>
      <c r="O31" s="124" t="str">
        <f>November!C37</f>
        <v>Skema 1</v>
      </c>
      <c r="P31" s="557" t="str">
        <f>November!D37</f>
        <v/>
      </c>
      <c r="Q31" s="556">
        <f>December!A37</f>
        <v>29</v>
      </c>
      <c r="R31" s="63" t="str">
        <f>December!B37</f>
        <v>sø</v>
      </c>
      <c r="S31" s="124" t="str">
        <f>December!C37</f>
        <v>Weekend</v>
      </c>
      <c r="T31" s="557" t="str">
        <f>December!D37</f>
        <v/>
      </c>
      <c r="U31" s="63">
        <f>Januar!A37</f>
        <v>29</v>
      </c>
      <c r="V31" s="63" t="str">
        <f>Januar!B37</f>
        <v>on</v>
      </c>
      <c r="W31" s="124" t="str">
        <f>Januar!C37</f>
        <v>Skema 1</v>
      </c>
      <c r="X31" s="125" t="str">
        <f>Januar!D37</f>
        <v/>
      </c>
      <c r="Y31" s="196"/>
      <c r="Z31" s="197"/>
      <c r="AA31" s="198"/>
      <c r="AB31" s="605"/>
      <c r="AC31" s="63">
        <f>Marts!A37</f>
        <v>29</v>
      </c>
      <c r="AD31" s="63" t="str">
        <f>Marts!B37</f>
        <v>lø</v>
      </c>
      <c r="AE31" s="124" t="str">
        <f>Marts!C37</f>
        <v>Weekend</v>
      </c>
      <c r="AF31" s="125" t="str">
        <f>Marts!D37</f>
        <v/>
      </c>
      <c r="AG31" s="556">
        <f>April!A37</f>
        <v>29</v>
      </c>
      <c r="AH31" s="63" t="str">
        <f>April!B37</f>
        <v>ti</v>
      </c>
      <c r="AI31" s="124" t="str">
        <f>April!C37</f>
        <v>Skema 1</v>
      </c>
      <c r="AJ31" s="557" t="str">
        <f>April!D37</f>
        <v/>
      </c>
      <c r="AK31" s="564">
        <f>Maj!A37</f>
        <v>29</v>
      </c>
      <c r="AL31" s="565" t="str">
        <f>Maj!B37</f>
        <v>to</v>
      </c>
      <c r="AM31" s="124" t="str">
        <f>Maj!C37</f>
        <v>SH-dag</v>
      </c>
      <c r="AN31" s="566" t="str">
        <f>Maj!D37</f>
        <v/>
      </c>
      <c r="AO31" s="564">
        <f>Juni!A37</f>
        <v>29</v>
      </c>
      <c r="AP31" s="565" t="str">
        <f>Juni!B37</f>
        <v>sø</v>
      </c>
      <c r="AQ31" s="124" t="str">
        <f>Juni!C37</f>
        <v>Weekend</v>
      </c>
      <c r="AR31" s="566" t="str">
        <f>Juni!D37</f>
        <v/>
      </c>
      <c r="AS31" s="564">
        <f>Juli!A37</f>
        <v>29</v>
      </c>
      <c r="AT31" s="565" t="str">
        <f>Juli!B37</f>
        <v>ti</v>
      </c>
      <c r="AU31" s="124" t="str">
        <f>Juli!C37</f>
        <v>Feriedag</v>
      </c>
      <c r="AV31" s="566" t="str">
        <f>Juli!D37</f>
        <v/>
      </c>
    </row>
    <row r="32" spans="1:48" ht="24" customHeight="1">
      <c r="A32" s="556">
        <f>August!A39</f>
        <v>30</v>
      </c>
      <c r="B32" s="63" t="str">
        <f>August!B39</f>
        <v>fr</v>
      </c>
      <c r="C32" s="124" t="str">
        <f>August!C39</f>
        <v>Skema 1</v>
      </c>
      <c r="D32" s="557" t="str">
        <f>August!D39</f>
        <v/>
      </c>
      <c r="E32" s="558">
        <f>September!A38</f>
        <v>30</v>
      </c>
      <c r="F32" s="559" t="str">
        <f>September!B38</f>
        <v>ma</v>
      </c>
      <c r="G32" s="110" t="str">
        <f>September!C38</f>
        <v>Skema 1</v>
      </c>
      <c r="H32" s="560">
        <f>September!D38</f>
        <v>40</v>
      </c>
      <c r="I32" s="556">
        <f>Oktober!A38</f>
        <v>30</v>
      </c>
      <c r="J32" s="63" t="str">
        <f>Oktober!B38</f>
        <v>on</v>
      </c>
      <c r="K32" s="124" t="str">
        <f>Oktober!C38</f>
        <v>Skema 1</v>
      </c>
      <c r="L32" s="557" t="str">
        <f>Oktober!D38</f>
        <v/>
      </c>
      <c r="M32" s="558">
        <f>November!A38</f>
        <v>30</v>
      </c>
      <c r="N32" s="559" t="str">
        <f>November!B38</f>
        <v>lø</v>
      </c>
      <c r="O32" s="110" t="str">
        <f>November!C38</f>
        <v>Weekend</v>
      </c>
      <c r="P32" s="560" t="str">
        <f>November!D38</f>
        <v/>
      </c>
      <c r="Q32" s="556">
        <f>December!A38</f>
        <v>30</v>
      </c>
      <c r="R32" s="63" t="str">
        <f>December!B38</f>
        <v>ma</v>
      </c>
      <c r="S32" s="124" t="str">
        <f>December!C38</f>
        <v>Nul-dag</v>
      </c>
      <c r="T32" s="557">
        <f>December!D38</f>
        <v>1</v>
      </c>
      <c r="U32" s="63">
        <f>Januar!A38</f>
        <v>30</v>
      </c>
      <c r="V32" s="63" t="str">
        <f>Januar!B38</f>
        <v>to</v>
      </c>
      <c r="W32" s="124" t="str">
        <f>Januar!C38</f>
        <v>Skema 1</v>
      </c>
      <c r="X32" s="125" t="str">
        <f>Januar!D38</f>
        <v/>
      </c>
      <c r="Y32" s="77"/>
      <c r="Z32" s="78"/>
      <c r="AA32" s="79"/>
      <c r="AB32" s="80"/>
      <c r="AC32" s="63">
        <f>Marts!A38</f>
        <v>30</v>
      </c>
      <c r="AD32" s="63" t="str">
        <f>Marts!B38</f>
        <v>sø</v>
      </c>
      <c r="AE32" s="124" t="str">
        <f>Marts!C38</f>
        <v>Weekend</v>
      </c>
      <c r="AF32" s="125" t="str">
        <f>Marts!D38</f>
        <v/>
      </c>
      <c r="AG32" s="558">
        <f>April!A38</f>
        <v>30</v>
      </c>
      <c r="AH32" s="559" t="str">
        <f>April!B38</f>
        <v>on</v>
      </c>
      <c r="AI32" s="110" t="str">
        <f>April!C38</f>
        <v>Skema 1</v>
      </c>
      <c r="AJ32" s="560" t="str">
        <f>April!D38</f>
        <v/>
      </c>
      <c r="AK32" s="564">
        <f>Maj!A38</f>
        <v>30</v>
      </c>
      <c r="AL32" s="565" t="str">
        <f>Maj!B38</f>
        <v>fr</v>
      </c>
      <c r="AM32" s="124" t="str">
        <f>Maj!C38</f>
        <v>Nul-dag</v>
      </c>
      <c r="AN32" s="566" t="str">
        <f>Maj!D38</f>
        <v/>
      </c>
      <c r="AO32" s="558">
        <f>Juni!A38</f>
        <v>30</v>
      </c>
      <c r="AP32" s="559" t="str">
        <f>Juni!B38</f>
        <v>ma</v>
      </c>
      <c r="AQ32" s="110" t="str">
        <f>Juni!C38</f>
        <v>Nul-dag</v>
      </c>
      <c r="AR32" s="560">
        <f>Juni!D38</f>
        <v>26.714285714285715</v>
      </c>
      <c r="AS32" s="564">
        <f>Juli!A38</f>
        <v>30</v>
      </c>
      <c r="AT32" s="565" t="str">
        <f>Juli!B38</f>
        <v>on</v>
      </c>
      <c r="AU32" s="124" t="str">
        <f>Juli!C38</f>
        <v>Feriedag</v>
      </c>
      <c r="AV32" s="566" t="str">
        <f>Juli!D38</f>
        <v/>
      </c>
    </row>
    <row r="33" spans="1:48" ht="24" customHeight="1">
      <c r="A33" s="558">
        <f>August!A40</f>
        <v>31</v>
      </c>
      <c r="B33" s="559" t="str">
        <f>August!B40</f>
        <v>lø</v>
      </c>
      <c r="C33" s="110" t="str">
        <f>August!C40</f>
        <v>Weekend</v>
      </c>
      <c r="D33" s="560" t="str">
        <f>August!D40</f>
        <v/>
      </c>
      <c r="E33" s="65"/>
      <c r="F33" s="65"/>
      <c r="G33" s="66"/>
      <c r="H33" s="67"/>
      <c r="I33" s="558">
        <f>Oktober!A39</f>
        <v>31</v>
      </c>
      <c r="J33" s="559" t="str">
        <f>Oktober!B39</f>
        <v>to</v>
      </c>
      <c r="K33" s="110" t="str">
        <f>Oktober!C39</f>
        <v>Skema 1</v>
      </c>
      <c r="L33" s="560" t="str">
        <f>Oktober!D39</f>
        <v/>
      </c>
      <c r="M33" s="65"/>
      <c r="N33" s="65"/>
      <c r="O33" s="66"/>
      <c r="P33" s="68"/>
      <c r="Q33" s="558">
        <f>December!A39</f>
        <v>31</v>
      </c>
      <c r="R33" s="559" t="str">
        <f>December!B39</f>
        <v>ti</v>
      </c>
      <c r="S33" s="110" t="str">
        <f>December!C39</f>
        <v>Nul-dag</v>
      </c>
      <c r="T33" s="560" t="str">
        <f>December!D39</f>
        <v/>
      </c>
      <c r="U33" s="63">
        <f>Januar!A39</f>
        <v>31</v>
      </c>
      <c r="V33" s="63" t="str">
        <f>Januar!B39</f>
        <v>fr</v>
      </c>
      <c r="W33" s="110" t="str">
        <f>Januar!C39</f>
        <v>Skema 1</v>
      </c>
      <c r="X33" s="125" t="str">
        <f>Januar!D39</f>
        <v/>
      </c>
      <c r="Y33" s="77"/>
      <c r="Z33" s="78"/>
      <c r="AA33" s="79"/>
      <c r="AB33" s="80"/>
      <c r="AC33" s="63">
        <f>Marts!A39</f>
        <v>31</v>
      </c>
      <c r="AD33" s="63" t="str">
        <f>Marts!B39</f>
        <v>ma</v>
      </c>
      <c r="AE33" s="110" t="str">
        <f>Marts!C39</f>
        <v>Skema 1</v>
      </c>
      <c r="AF33" s="125">
        <f>Marts!D39</f>
        <v>13.714285714285714</v>
      </c>
      <c r="AG33" s="64"/>
      <c r="AH33" s="65"/>
      <c r="AI33" s="66"/>
      <c r="AJ33" s="561"/>
      <c r="AK33" s="558">
        <f>Maj!A39</f>
        <v>31</v>
      </c>
      <c r="AL33" s="559" t="str">
        <f>Maj!B39</f>
        <v>lø</v>
      </c>
      <c r="AM33" s="110" t="str">
        <f>Maj!C39</f>
        <v>Weekend</v>
      </c>
      <c r="AN33" s="560" t="str">
        <f>Maj!D39</f>
        <v/>
      </c>
      <c r="AO33" s="78"/>
      <c r="AP33" s="78"/>
      <c r="AQ33" s="79"/>
      <c r="AR33" s="80"/>
      <c r="AS33" s="558">
        <f>Juli!A39</f>
        <v>31</v>
      </c>
      <c r="AT33" s="559" t="str">
        <f>Juli!B39</f>
        <v>to</v>
      </c>
      <c r="AU33" s="110" t="str">
        <f>Juli!C39</f>
        <v>Feriedag</v>
      </c>
      <c r="AV33" s="560" t="str">
        <f>Juli!D39</f>
        <v/>
      </c>
    </row>
    <row r="34" spans="1:48" ht="13">
      <c r="A34" s="70"/>
      <c r="B34" s="521">
        <f>August!H44-August!H46</f>
        <v>22</v>
      </c>
      <c r="C34" s="70" t="s">
        <v>115</v>
      </c>
      <c r="D34" s="70"/>
      <c r="E34" s="70"/>
      <c r="F34" s="521">
        <f>September!H42-September!H44</f>
        <v>21</v>
      </c>
      <c r="G34" s="70" t="s">
        <v>115</v>
      </c>
      <c r="H34" s="70"/>
      <c r="I34" s="69"/>
      <c r="J34" s="600">
        <f>Oktober!H43-Oktober!H45</f>
        <v>23</v>
      </c>
      <c r="K34" s="69" t="s">
        <v>115</v>
      </c>
      <c r="L34" s="69"/>
      <c r="M34" s="70"/>
      <c r="N34" s="521">
        <f>November!H42-November!H44</f>
        <v>21</v>
      </c>
      <c r="O34" s="70" t="s">
        <v>115</v>
      </c>
      <c r="P34" s="70"/>
      <c r="Q34" s="69"/>
      <c r="R34" s="600">
        <f>December!H43-December!H45</f>
        <v>20</v>
      </c>
      <c r="S34" s="69" t="s">
        <v>115</v>
      </c>
      <c r="T34" s="69"/>
      <c r="U34" s="71"/>
      <c r="V34" s="601">
        <f>Januar!H43-Januar!H45</f>
        <v>22</v>
      </c>
      <c r="W34" s="69" t="s">
        <v>115</v>
      </c>
      <c r="X34" s="72"/>
      <c r="Y34" s="70"/>
      <c r="Z34" s="521">
        <f>Februar!H41-Februar!H43</f>
        <v>20</v>
      </c>
      <c r="AA34" s="70" t="s">
        <v>115</v>
      </c>
      <c r="AB34" s="70"/>
      <c r="AC34" s="69"/>
      <c r="AD34" s="600">
        <f>Marts!H43-Marts!H45</f>
        <v>21</v>
      </c>
      <c r="AE34" s="69" t="s">
        <v>115</v>
      </c>
      <c r="AF34" s="69"/>
      <c r="AG34" s="70"/>
      <c r="AH34" s="521">
        <f>April!H42-April!H44</f>
        <v>19</v>
      </c>
      <c r="AI34" s="70" t="s">
        <v>115</v>
      </c>
      <c r="AJ34" s="70"/>
      <c r="AK34" s="69"/>
      <c r="AL34" s="600">
        <f>Maj!H43-Maj!H45</f>
        <v>21</v>
      </c>
      <c r="AM34" s="69" t="s">
        <v>115</v>
      </c>
      <c r="AN34" s="69"/>
      <c r="AO34" s="70"/>
      <c r="AP34" s="521">
        <f>Juni!H42-Juni!H44</f>
        <v>20</v>
      </c>
      <c r="AQ34" s="70" t="s">
        <v>115</v>
      </c>
      <c r="AR34" s="70"/>
      <c r="AS34" s="69"/>
      <c r="AT34" s="520">
        <f>Juli!H43-Juli!H45</f>
        <v>23</v>
      </c>
      <c r="AU34" s="69" t="s">
        <v>115</v>
      </c>
      <c r="AV34" s="69"/>
    </row>
    <row r="35" spans="1:48" ht="24" customHeight="1">
      <c r="A35" s="155" t="s">
        <v>145</v>
      </c>
      <c r="B35" s="156"/>
      <c r="C35" s="156"/>
      <c r="D35" s="157"/>
      <c r="E35" s="158"/>
      <c r="F35" s="156"/>
      <c r="G35" s="159">
        <f>August!D77-August!D75+September!D76-September!D75+Oktober!D77-Oktober!D76+November!D76-November!D75+December!D77-December!D76+Januar!D77-Januar!D76+Februar!D75-Februar!D74+Marts!D77-Marts!D76+April!D76-April!D75+Maj!D77-Maj!D76+Juni!D76-Juni!D75+Juli!D77-Juli!D76</f>
        <v>365</v>
      </c>
      <c r="H35" s="93"/>
      <c r="I35" s="132" t="s">
        <v>143</v>
      </c>
      <c r="J35" s="133"/>
      <c r="K35" s="133"/>
      <c r="L35" s="133"/>
      <c r="M35" s="134"/>
      <c r="N35" s="133"/>
      <c r="O35" s="135">
        <f>August!D71+August!A87+September!A86+September!D70+Oktober!D71+Oktober!A87+November!A86+November!D70+December!D71+December!A87+Januar!D71+Januar!A87+Februar!D69+Februar!A85+Marts!A87+Marts!D71+April!A86+April!D70+Maj!D71+Maj!A88+Juni!D70+Juni!A86+Juli!A87+Juli!D71</f>
        <v>104</v>
      </c>
      <c r="P35" s="93"/>
      <c r="Q35" s="136" t="s">
        <v>144</v>
      </c>
      <c r="R35" s="137"/>
      <c r="S35" s="137"/>
      <c r="T35" s="137"/>
      <c r="U35" s="138"/>
      <c r="V35" s="137"/>
      <c r="W35" s="139">
        <f>August!D72+September!D71+Oktober!D72+November!D71+December!D72+Januar!D72+Februar!D70+Marts!D72+April!D71+Maj!D72+Juni!D71+Juli!D72</f>
        <v>8</v>
      </c>
      <c r="X35" s="93"/>
      <c r="Y35" s="140" t="s">
        <v>146</v>
      </c>
      <c r="Z35" s="141"/>
      <c r="AA35" s="141"/>
      <c r="AB35" s="141"/>
      <c r="AC35" s="142"/>
      <c r="AD35" s="141"/>
      <c r="AE35" s="143">
        <f>August!D73+September!D72+Oktober!D73+November!D72+December!D73+Januar!D73+Februar!D71+Marts!D73+April!D72+Maj!D73+Juni!D72+Juli!D73</f>
        <v>25</v>
      </c>
      <c r="AF35" s="93"/>
      <c r="AG35" s="459" t="s">
        <v>149</v>
      </c>
      <c r="AH35" s="460"/>
      <c r="AI35" s="460"/>
      <c r="AJ35" s="460"/>
      <c r="AK35" s="461"/>
      <c r="AL35" s="460"/>
      <c r="AM35" s="462">
        <f>August!D74+September!D73+Oktober!D74+November!D73+December!D74+Januar!D74+Februar!D72+Marts!D74+April!D73+Maj!D74+Juni!D73+Juli!D74</f>
        <v>28</v>
      </c>
      <c r="AP35" s="179" t="s">
        <v>162</v>
      </c>
      <c r="AQ35" s="177"/>
      <c r="AR35" s="177"/>
      <c r="AS35" s="177"/>
      <c r="AT35" s="178"/>
      <c r="AU35" s="177"/>
      <c r="AV35" s="454">
        <f>August!D75+September!D75+Oktober!D76+November!D75+December!D76+Januar!D76+Februar!D74+Marts!D76+April!D75+Maj!D76+Juni!D75+Juli!D76</f>
        <v>1</v>
      </c>
    </row>
    <row r="36" spans="1:48" ht="13" thickBot="1"/>
    <row r="37" spans="1:48" ht="24" customHeight="1" thickBot="1">
      <c r="A37" s="96" t="s">
        <v>98</v>
      </c>
      <c r="B37" s="94"/>
      <c r="C37" s="94"/>
      <c r="D37" s="97"/>
      <c r="E37" s="95"/>
      <c r="F37" s="94"/>
      <c r="G37" s="131">
        <f>August!G87+September!G86+Oktober!G87+November!G86+December!G87+Januar!G87+Februar!G85+Marts!G87+April!G86+Maj!G87+Juni!G86+Juli!G87</f>
        <v>200</v>
      </c>
      <c r="I37" s="146" t="s">
        <v>147</v>
      </c>
      <c r="J37" s="147"/>
      <c r="K37" s="147"/>
      <c r="L37" s="147"/>
      <c r="M37" s="148"/>
      <c r="N37" s="147"/>
      <c r="O37" s="175">
        <f>August!D68+September!D67+Oktober!D68+November!D67+December!D68+Januar!D68+Februar!D66+Marts!D68+April!D67+Maj!D68+Juni!D67+Juli!D68</f>
        <v>0</v>
      </c>
      <c r="Q37" s="144" t="s">
        <v>148</v>
      </c>
      <c r="R37" s="145"/>
      <c r="S37" s="145"/>
      <c r="T37" s="145"/>
      <c r="U37" s="149"/>
      <c r="V37" s="145"/>
      <c r="W37" s="150">
        <f>August!D69+September!D68+Oktober!D69+November!D68+December!D69+Januar!D69+Februar!D67+Marts!D69+April!D68+Maj!D69+Juni!D68+Juli!D69</f>
        <v>0</v>
      </c>
      <c r="Y37" s="151" t="s">
        <v>150</v>
      </c>
      <c r="Z37" s="152"/>
      <c r="AA37" s="152"/>
      <c r="AB37" s="152"/>
      <c r="AC37" s="153"/>
      <c r="AD37" s="152"/>
      <c r="AE37" s="154">
        <f>August!D70+September!D69+Oktober!D70+November!D69+December!D70+Januar!D70+Februar!D68+Marts!D70+April!D69+Maj!D70+Juni!D69+Juli!D70</f>
        <v>0</v>
      </c>
      <c r="AG37" s="160" t="s">
        <v>414</v>
      </c>
      <c r="AH37" s="161"/>
      <c r="AI37" s="161"/>
      <c r="AJ37" s="161"/>
      <c r="AK37" s="162"/>
      <c r="AL37" s="161"/>
      <c r="AM37" s="163">
        <f>G37+O37+W37</f>
        <v>200</v>
      </c>
      <c r="AP37" s="447" t="s">
        <v>418</v>
      </c>
      <c r="AQ37" s="448"/>
      <c r="AR37" s="448"/>
      <c r="AS37" s="448"/>
      <c r="AT37" s="449"/>
      <c r="AU37" s="448"/>
      <c r="AV37" s="450">
        <f>August!D76+September!D74+Oktober!D75+November!D74+December!D75+Januar!D75+Februar!D73+Marts!D75+April!D74+Maj!D75+Juni!D74+Juli!D75</f>
        <v>0</v>
      </c>
    </row>
    <row r="39" spans="1:48">
      <c r="A39" s="603" t="s">
        <v>535</v>
      </c>
      <c r="B39" s="603"/>
      <c r="C39" s="603"/>
      <c r="D39" s="1504">
        <f>B34+F34+J34+N34+R34+V34+Z34+AD34+AH34+AL34+AP34+AT34</f>
        <v>253</v>
      </c>
      <c r="E39" s="1504"/>
    </row>
    <row r="40" spans="1:48">
      <c r="A40" s="603" t="s">
        <v>536</v>
      </c>
      <c r="B40" s="603"/>
      <c r="C40" s="603"/>
      <c r="D40" s="603">
        <f>W35</f>
        <v>8</v>
      </c>
      <c r="E40" s="603"/>
    </row>
    <row r="41" spans="1:48">
      <c r="A41" s="603"/>
      <c r="B41" s="603"/>
      <c r="C41" s="603"/>
      <c r="D41" s="1504">
        <f>D39+D40</f>
        <v>261</v>
      </c>
      <c r="E41" s="1504"/>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 right="0.196850393700787" top="0.39370078740157499" bottom="0.39370078740157499" header="0" footer="0"/>
  <pageSetup paperSize="9" scale="53"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99" id="{EAC82C95-1DEB-E64D-81BF-C87ED2E9AF0F}">
            <xm:f>OR(August!$C10="weekend")</xm:f>
            <x14:dxf>
              <font>
                <color theme="1"/>
              </font>
              <fill>
                <patternFill>
                  <bgColor theme="0" tint="-0.14996795556505021"/>
                </patternFill>
              </fill>
            </x14:dxf>
          </x14:cfRule>
          <x14:cfRule type="expression" priority="198" id="{9C74EDFC-6C3D-4748-BD87-F32A20D4629E}">
            <xm:f>OR(August!$C10="feriedag")</xm:f>
            <x14:dxf>
              <font>
                <color theme="1"/>
              </font>
              <fill>
                <patternFill>
                  <bgColor theme="6" tint="0.39994506668294322"/>
                </patternFill>
              </fill>
            </x14:dxf>
          </x14:cfRule>
          <x14:cfRule type="expression" priority="197" id="{058D7F2D-609A-1448-A8C4-F8D1C6547438}">
            <xm:f>OR(August!$C10="fagdag")</xm:f>
            <x14:dxf>
              <font>
                <color theme="1"/>
              </font>
              <fill>
                <patternFill>
                  <bgColor theme="9" tint="0.59996337778862885"/>
                </patternFill>
              </fill>
            </x14:dxf>
          </x14:cfRule>
          <x14:cfRule type="expression" priority="68" id="{D54F4020-584C-4F4A-A11D-2CCC77621B47}">
            <xm:f>OR(August!$C10="Ikke relevant")</xm:f>
            <x14:dxf>
              <font>
                <color theme="0"/>
              </font>
              <fill>
                <patternFill>
                  <bgColor theme="1"/>
                </patternFill>
              </fill>
            </x14:dxf>
          </x14:cfRule>
          <x14:cfRule type="expression" priority="56" id="{49ECD701-DA1A-4C49-9E77-F7C0B5FBFA03}">
            <xm:f>OR(August!$C10="Skema 3")</xm:f>
            <x14:dxf>
              <font>
                <color theme="0"/>
              </font>
              <fill>
                <patternFill patternType="solid">
                  <bgColor theme="4" tint="0.39994506668294322"/>
                </patternFill>
              </fill>
            </x14:dxf>
          </x14:cfRule>
          <x14:cfRule type="expression" priority="55" id="{256222D4-8801-FD4F-9264-2C914F58C83F}">
            <xm:f>OR(August!$C10="Skema 2")</xm:f>
            <x14:dxf>
              <font>
                <color theme="1"/>
              </font>
              <fill>
                <patternFill patternType="solid">
                  <bgColor theme="4" tint="0.59996337778862885"/>
                </patternFill>
              </fill>
            </x14:dxf>
          </x14:cfRule>
          <x14:cfRule type="expression" priority="54" id="{E3AA92ED-C77F-0548-A9C9-760193646B5C}">
            <xm:f>OR(August!$C10="Skema 1")</xm:f>
            <x14:dxf>
              <font>
                <color theme="1"/>
              </font>
              <fill>
                <patternFill patternType="solid">
                  <bgColor theme="4" tint="0.79998168889431442"/>
                </patternFill>
              </fill>
            </x14:dxf>
          </x14:cfRule>
          <x14:cfRule type="expression" priority="189" id="{077259EC-C35A-AF4C-81A6-6D49EBF5F89B}">
            <xm:f>OR(August!$C10="Skema 4")</xm:f>
            <x14:dxf>
              <font>
                <color theme="0"/>
              </font>
              <fill>
                <patternFill patternType="solid">
                  <bgColor theme="4" tint="-0.24994659260841701"/>
                </patternFill>
              </fill>
            </x14:dxf>
          </x14:cfRule>
          <x14:cfRule type="expression" priority="190" id="{74F1BFCC-B98D-8E4D-A11A-CDA31D415826}">
            <xm:f>OR(August!$C10="pæd.dag")</xm:f>
            <x14:dxf>
              <font>
                <color theme="1"/>
              </font>
              <fill>
                <patternFill>
                  <bgColor theme="7" tint="0.39994506668294322"/>
                </patternFill>
              </fill>
            </x14:dxf>
          </x14:cfRule>
          <x14:cfRule type="expression" priority="191" id="{3282FFA5-E7FF-C44E-BDD5-E3260CA910FA}">
            <xm:f>OR(August!$C10="SH-dag")</xm:f>
            <x14:dxf>
              <font>
                <color theme="1"/>
              </font>
              <fill>
                <patternFill>
                  <bgColor rgb="FFFF2F82"/>
                </patternFill>
              </fill>
            </x14:dxf>
          </x14:cfRule>
          <x14:cfRule type="expression" priority="193" id="{78B80DDE-7CA5-2D41-8B78-5F17E19A9795}">
            <xm:f>OR(August!$C10="Nul-dag")</xm:f>
            <x14:dxf>
              <font>
                <color theme="1"/>
              </font>
              <fill>
                <patternFill>
                  <bgColor theme="5" tint="0.79998168889431442"/>
                </patternFill>
              </fill>
            </x14:dxf>
          </x14:cfRule>
          <x14:cfRule type="expression" priority="12" id="{FAF1E807-6E02-3A42-B546-AE75E1CBB7D4}">
            <xm:f>OR(August!$C10="Orlov")</xm:f>
            <x14:dxf>
              <font>
                <color theme="0"/>
              </font>
              <fill>
                <patternFill patternType="solid">
                  <bgColor theme="6" tint="-0.24994659260841701"/>
                </patternFill>
              </fill>
            </x14:dxf>
          </x14:cfRule>
          <x14:cfRule type="expression" priority="196" id="{36471A8C-38C8-864D-80A0-417376D2D0CB}">
            <xm:f>OR(August!$C10="emnedag")</xm:f>
            <x14:dxf>
              <font>
                <color theme="1"/>
              </font>
              <fill>
                <patternFill>
                  <bgColor theme="5" tint="0.59996337778862885"/>
                </patternFill>
              </fill>
            </x14:dxf>
          </x14:cfRule>
          <x14:cfRule type="expression" priority="195" id="{FED3E8BE-7925-F74E-9860-2990D79E0BAC}">
            <xm:f>OR(August!$C10="lejrskole")</xm:f>
            <x14:dxf>
              <font>
                <color theme="1"/>
              </font>
              <fill>
                <patternFill>
                  <bgColor theme="8" tint="0.59996337778862885"/>
                </patternFill>
              </fill>
            </x14:dxf>
          </x14:cfRule>
          <x14:cfRule type="expression" priority="194" id="{F64A6795-1CA1-934D-9945-114DD9BD0BC6}">
            <xm:f>OR(August!$C10="ekskursion")</xm:f>
            <x14:dxf>
              <font>
                <color theme="1"/>
              </font>
              <fill>
                <patternFill>
                  <bgColor rgb="FFFFFF00"/>
                </patternFill>
              </fill>
            </x14:dxf>
          </x14:cfRule>
          <xm:sqref>A3:D33</xm:sqref>
        </x14:conditionalFormatting>
        <x14:conditionalFormatting xmlns:xm="http://schemas.microsoft.com/office/excel/2006/main">
          <x14:cfRule type="expression" priority="11" id="{E4693018-96F2-4C46-B8FC-A2AD88F527C8}">
            <xm:f>OR(September!$C9="Orlov")</xm:f>
            <x14:dxf>
              <font>
                <color theme="0"/>
              </font>
              <fill>
                <patternFill patternType="solid">
                  <bgColor theme="6" tint="-0.24994659260841701"/>
                </patternFill>
              </fill>
            </x14:dxf>
          </x14:cfRule>
          <x14:cfRule type="expression" priority="179" id="{B8F3C9F7-998F-C244-87C3-199A0A4DEFE9}">
            <xm:f>OR(September!$C9="Skema 4")</xm:f>
            <x14:dxf>
              <font>
                <color theme="0"/>
              </font>
              <fill>
                <patternFill patternType="solid">
                  <bgColor theme="4" tint="-0.24994659260841701"/>
                </patternFill>
              </fill>
            </x14:dxf>
          </x14:cfRule>
          <x14:cfRule type="expression" priority="180" id="{BBD9580A-7195-8C45-B858-F7A42EA40CFE}">
            <xm:f>OR(September!$C9="pæd.dag")</xm:f>
            <x14:dxf>
              <font>
                <color theme="1"/>
              </font>
              <fill>
                <patternFill>
                  <bgColor theme="7" tint="0.39994506668294322"/>
                </patternFill>
              </fill>
            </x14:dxf>
          </x14:cfRule>
          <x14:cfRule type="expression" priority="181" id="{A4380F4B-771A-9E49-A634-4BF3943CC0CA}">
            <xm:f>OR(September!$C9="SH-dag")</xm:f>
            <x14:dxf>
              <font>
                <color theme="1"/>
              </font>
              <fill>
                <patternFill>
                  <bgColor rgb="FFFF2F82"/>
                </patternFill>
              </fill>
            </x14:dxf>
          </x14:cfRule>
          <x14:cfRule type="expression" priority="188" id="{29E09A26-FB0F-0443-B551-BDA241490133}">
            <xm:f>OR(September!$C9="weekend")</xm:f>
            <x14:dxf>
              <font>
                <color theme="1"/>
              </font>
              <fill>
                <patternFill>
                  <bgColor theme="0" tint="-0.14996795556505021"/>
                </patternFill>
              </fill>
            </x14:dxf>
          </x14:cfRule>
          <x14:cfRule type="expression" priority="187" id="{D2256339-C701-0B40-90E8-09A22AB6A246}">
            <xm:f>OR(September!$C9="feriedag")</xm:f>
            <x14:dxf>
              <font>
                <color theme="1"/>
              </font>
              <fill>
                <patternFill>
                  <bgColor theme="6" tint="0.39994506668294322"/>
                </patternFill>
              </fill>
            </x14:dxf>
          </x14:cfRule>
          <x14:cfRule type="expression" priority="182" id="{563E3FF7-B330-AD43-8453-9C8FC24D5AC4}">
            <xm:f>OR(September!$C9="Nul-dag")</xm:f>
            <x14:dxf>
              <font>
                <color theme="1"/>
              </font>
              <fill>
                <patternFill>
                  <bgColor theme="5" tint="0.79998168889431442"/>
                </patternFill>
              </fill>
            </x14:dxf>
          </x14:cfRule>
          <x14:cfRule type="expression" priority="183" id="{DD5D9FAF-05DD-FF44-B52D-E2C9122587FB}">
            <xm:f>OR(September!$C9="ekskursion")</xm:f>
            <x14:dxf>
              <font>
                <color theme="1"/>
              </font>
              <fill>
                <patternFill>
                  <bgColor rgb="FFFFFF00"/>
                </patternFill>
              </fill>
            </x14:dxf>
          </x14:cfRule>
          <x14:cfRule type="expression" priority="67" id="{89D9A635-C435-6143-81F0-E9D9F1C60EE9}">
            <xm:f>OR(September!$C9="Ikke relevant")</xm:f>
            <x14:dxf>
              <font>
                <color theme="0"/>
              </font>
              <fill>
                <patternFill>
                  <bgColor theme="1"/>
                </patternFill>
              </fill>
            </x14:dxf>
          </x14:cfRule>
          <x14:cfRule type="expression" priority="184" id="{DD375EBA-8778-7248-B014-1EA8A978E0DD}">
            <xm:f>OR(September!$C9="lejrskole")</xm:f>
            <x14:dxf>
              <font>
                <color theme="1"/>
              </font>
              <fill>
                <patternFill>
                  <bgColor theme="8" tint="0.59996337778862885"/>
                </patternFill>
              </fill>
            </x14:dxf>
          </x14:cfRule>
          <x14:cfRule type="expression" priority="185" id="{A8DC2A39-5DF7-7547-A7CC-5A375AF908F2}">
            <xm:f>OR(September!$C9="emnedag")</xm:f>
            <x14:dxf>
              <font>
                <color theme="1"/>
              </font>
              <fill>
                <patternFill>
                  <bgColor theme="5" tint="0.59996337778862885"/>
                </patternFill>
              </fill>
            </x14:dxf>
          </x14:cfRule>
          <x14:cfRule type="expression" priority="186" id="{F1756DC2-4A57-AE42-BFC0-7ADBC9D513D4}">
            <xm:f>OR(September!$C9="fagdag")</xm:f>
            <x14:dxf>
              <font>
                <color theme="1"/>
              </font>
              <fill>
                <patternFill>
                  <bgColor theme="9" tint="0.59996337778862885"/>
                </patternFill>
              </fill>
            </x14:dxf>
          </x14:cfRule>
          <x14:cfRule type="expression" priority="53" id="{A528E4CF-9264-0E4B-A2B5-A6E03B676F82}">
            <xm:f>OR(September!$C9="Skema 3")</xm:f>
            <x14:dxf>
              <font>
                <color theme="0"/>
              </font>
              <fill>
                <patternFill patternType="solid">
                  <bgColor theme="4" tint="0.39994506668294322"/>
                </patternFill>
              </fill>
            </x14:dxf>
          </x14:cfRule>
          <x14:cfRule type="expression" priority="52" id="{744F3D3C-A775-B24C-A213-F5C589D0C7F7}">
            <xm:f>OR(September!$C9="Skema 2")</xm:f>
            <x14:dxf>
              <font>
                <color theme="1"/>
              </font>
              <fill>
                <patternFill patternType="solid">
                  <bgColor theme="4" tint="0.59996337778862885"/>
                </patternFill>
              </fill>
            </x14:dxf>
          </x14:cfRule>
          <x14:cfRule type="expression" priority="51" id="{51825B60-F422-324F-98D2-3163CF25179E}">
            <xm:f>OR(September!$C9="Skema 1")</xm:f>
            <x14:dxf>
              <font>
                <color theme="1"/>
              </font>
              <fill>
                <patternFill patternType="solid">
                  <bgColor theme="4" tint="0.79998168889431442"/>
                </patternFill>
              </fill>
            </x14:dxf>
          </x14:cfRule>
          <xm:sqref>E3:H32</xm:sqref>
        </x14:conditionalFormatting>
        <x14:conditionalFormatting xmlns:xm="http://schemas.microsoft.com/office/excel/2006/main">
          <x14:cfRule type="expression" priority="171" id="{2C69A2BB-2C8D-524C-B256-3938A3C928BA}">
            <xm:f>OR(Oktober!$C9="SH-dag")</xm:f>
            <x14:dxf>
              <font>
                <color theme="1"/>
              </font>
              <fill>
                <patternFill>
                  <bgColor rgb="FFFF2F82"/>
                </patternFill>
              </fill>
            </x14:dxf>
          </x14:cfRule>
          <x14:cfRule type="expression" priority="66" id="{EC7C1A1C-3AF3-F544-8D07-6D717F350043}">
            <xm:f>OR(Oktober!$C9="Ikke relevant")</xm:f>
            <x14:dxf>
              <font>
                <color theme="0"/>
              </font>
              <fill>
                <patternFill>
                  <bgColor theme="1"/>
                </patternFill>
              </fill>
            </x14:dxf>
          </x14:cfRule>
          <x14:cfRule type="expression" priority="10" id="{0CD9A79C-09EE-5B4E-A334-21B06E5D99B0}">
            <xm:f>OR(Oktober!$C9="Orlov")</xm:f>
            <x14:dxf>
              <font>
                <color theme="0"/>
              </font>
              <fill>
                <patternFill patternType="solid">
                  <bgColor theme="6" tint="-0.24994659260841701"/>
                </patternFill>
              </fill>
            </x14:dxf>
          </x14:cfRule>
          <x14:cfRule type="expression" priority="178" id="{E1639A83-F4B8-2845-907E-32FCD6B3CF80}">
            <xm:f>OR(Oktober!$C9="weekend")</xm:f>
            <x14:dxf>
              <font>
                <color theme="1"/>
              </font>
              <fill>
                <patternFill>
                  <bgColor theme="0" tint="-0.14996795556505021"/>
                </patternFill>
              </fill>
            </x14:dxf>
          </x14:cfRule>
          <x14:cfRule type="expression" priority="177" id="{FF01C623-7FCE-2348-A4D0-6FF5D07B990D}">
            <xm:f>OR(Oktober!$C9="feriedag")</xm:f>
            <x14:dxf>
              <font>
                <color theme="1"/>
              </font>
              <fill>
                <patternFill>
                  <bgColor theme="6" tint="0.39994506668294322"/>
                </patternFill>
              </fill>
            </x14:dxf>
          </x14:cfRule>
          <x14:cfRule type="expression" priority="176" id="{CFD95E66-C484-BA40-AF6D-6B5CEF57C21D}">
            <xm:f>OR(Oktober!$C9="fagdag")</xm:f>
            <x14:dxf>
              <font>
                <color theme="1"/>
              </font>
              <fill>
                <patternFill>
                  <bgColor theme="9" tint="0.59996337778862885"/>
                </patternFill>
              </fill>
            </x14:dxf>
          </x14:cfRule>
          <x14:cfRule type="expression" priority="175" id="{FF4978AD-B290-5741-A70F-B60A05D2EB27}">
            <xm:f>OR(Oktober!$C9="emnedag")</xm:f>
            <x14:dxf>
              <font>
                <color theme="1"/>
              </font>
              <fill>
                <patternFill>
                  <bgColor theme="5" tint="0.59996337778862885"/>
                </patternFill>
              </fill>
            </x14:dxf>
          </x14:cfRule>
          <x14:cfRule type="expression" priority="174" id="{1678772D-04D0-6F4C-BE47-2D5AB0C3D32A}">
            <xm:f>OR(Oktober!$C9="lejrskole")</xm:f>
            <x14:dxf>
              <font>
                <color theme="1"/>
              </font>
              <fill>
                <patternFill>
                  <bgColor theme="8" tint="0.59996337778862885"/>
                </patternFill>
              </fill>
            </x14:dxf>
          </x14:cfRule>
          <x14:cfRule type="expression" priority="173" id="{5A67423B-824F-0046-99A1-26018D7A77A6}">
            <xm:f>OR(Oktober!$C9="ekskursion")</xm:f>
            <x14:dxf>
              <font>
                <color theme="1"/>
              </font>
              <fill>
                <patternFill>
                  <bgColor rgb="FFFFFF00"/>
                </patternFill>
              </fill>
            </x14:dxf>
          </x14:cfRule>
          <x14:cfRule type="expression" priority="172" id="{B4EA3747-3D02-DF40-A295-EC50D6ECE531}">
            <xm:f>OR(Oktober!$C9="Nul-dag")</xm:f>
            <x14:dxf>
              <font>
                <color theme="1"/>
              </font>
              <fill>
                <patternFill>
                  <bgColor theme="5" tint="0.79998168889431442"/>
                </patternFill>
              </fill>
            </x14:dxf>
          </x14:cfRule>
          <x14:cfRule type="expression" priority="50" id="{0C773F27-FDD4-2641-93EC-3A19DD10841E}">
            <xm:f>OR(Oktober!$C9="Skema 3")</xm:f>
            <x14:dxf>
              <font>
                <color theme="0"/>
              </font>
              <fill>
                <patternFill patternType="solid">
                  <bgColor theme="4" tint="0.39994506668294322"/>
                </patternFill>
              </fill>
            </x14:dxf>
          </x14:cfRule>
          <x14:cfRule type="expression" priority="169" id="{24DFAF16-6739-2442-B2BD-4787F2A1A0BB}">
            <xm:f>OR(Oktober!$C9="Skema 4")</xm:f>
            <x14:dxf>
              <font>
                <color theme="0"/>
              </font>
              <fill>
                <patternFill patternType="solid">
                  <bgColor theme="4" tint="-0.24994659260841701"/>
                </patternFill>
              </fill>
            </x14:dxf>
          </x14:cfRule>
          <x14:cfRule type="expression" priority="170" id="{416C88E3-7C07-1C40-8A6E-EB05DEB1D5C0}">
            <xm:f>OR(Oktober!$C9="pæd.dag")</xm:f>
            <x14:dxf>
              <font>
                <color theme="1"/>
              </font>
              <fill>
                <patternFill>
                  <bgColor theme="7" tint="0.39994506668294322"/>
                </patternFill>
              </fill>
            </x14:dxf>
          </x14:cfRule>
          <x14:cfRule type="expression" priority="49" id="{1235332C-1AE2-FF45-BC0E-2A6FBF9B1F96}">
            <xm:f>OR(Oktober!$C9="Skema 2")</xm:f>
            <x14:dxf>
              <font>
                <color theme="1"/>
              </font>
              <fill>
                <patternFill patternType="solid">
                  <bgColor theme="4" tint="0.59996337778862885"/>
                </patternFill>
              </fill>
            </x14:dxf>
          </x14:cfRule>
          <x14:cfRule type="expression" priority="48" id="{D2A82101-0282-1440-84BB-37288BCC512B}">
            <xm:f>OR(Oktober!$C9="Skema 1")</xm:f>
            <x14:dxf>
              <font>
                <color theme="1"/>
              </font>
              <fill>
                <patternFill patternType="solid">
                  <bgColor theme="4" tint="0.79998168889431442"/>
                </patternFill>
              </fill>
            </x14:dxf>
          </x14:cfRule>
          <xm:sqref>I3:L33</xm:sqref>
        </x14:conditionalFormatting>
        <x14:conditionalFormatting xmlns:xm="http://schemas.microsoft.com/office/excel/2006/main">
          <x14:cfRule type="expression" priority="47" id="{0BDEE963-9A0D-5E41-8970-E31D34A4B4EB}">
            <xm:f>OR(November!$C9="Skema 3")</xm:f>
            <x14:dxf>
              <font>
                <color theme="0"/>
              </font>
              <fill>
                <patternFill patternType="solid">
                  <bgColor theme="4" tint="0.39994506668294322"/>
                </patternFill>
              </fill>
            </x14:dxf>
          </x14:cfRule>
          <x14:cfRule type="expression" priority="46" id="{1FECD2AA-A96F-1B4B-A660-F4943991F40A}">
            <xm:f>OR(November!$C9="Skema 2")</xm:f>
            <x14:dxf>
              <font>
                <color theme="1"/>
              </font>
              <fill>
                <patternFill patternType="solid">
                  <bgColor theme="4" tint="0.59996337778862885"/>
                </patternFill>
              </fill>
            </x14:dxf>
          </x14:cfRule>
          <x14:cfRule type="expression" priority="45" id="{00CC614A-1AC8-FC4B-9ECE-039172922841}">
            <xm:f>OR(November!$C9="Skema 1")</xm:f>
            <x14:dxf>
              <font>
                <color theme="1"/>
              </font>
              <fill>
                <patternFill patternType="solid">
                  <bgColor theme="4" tint="0.79998168889431442"/>
                </patternFill>
              </fill>
            </x14:dxf>
          </x14:cfRule>
          <x14:cfRule type="expression" priority="168" id="{1733BEBF-2A6A-1240-B283-14C17CBC157E}">
            <xm:f>OR(November!$C9="weekend")</xm:f>
            <x14:dxf>
              <font>
                <color theme="1"/>
              </font>
              <fill>
                <patternFill>
                  <bgColor theme="0" tint="-0.14996795556505021"/>
                </patternFill>
              </fill>
            </x14:dxf>
          </x14:cfRule>
          <x14:cfRule type="expression" priority="167" id="{507C5FA8-DA44-A544-9D6D-AB1443CFFB8B}">
            <xm:f>OR(November!$C9="feriedag")</xm:f>
            <x14:dxf>
              <font>
                <color theme="1"/>
              </font>
              <fill>
                <patternFill>
                  <bgColor theme="6" tint="0.39994506668294322"/>
                </patternFill>
              </fill>
            </x14:dxf>
          </x14:cfRule>
          <x14:cfRule type="expression" priority="166" id="{F6B49FAC-4F3E-C642-803B-241976846A77}">
            <xm:f>OR(November!$C9="fagdag")</xm:f>
            <x14:dxf>
              <font>
                <color theme="1"/>
              </font>
              <fill>
                <patternFill>
                  <bgColor theme="9" tint="0.59996337778862885"/>
                </patternFill>
              </fill>
            </x14:dxf>
          </x14:cfRule>
          <x14:cfRule type="expression" priority="165" id="{6715507C-9DD3-2E46-BB7A-3B99CCDBD5A3}">
            <xm:f>OR(November!$C9="emnedag")</xm:f>
            <x14:dxf>
              <font>
                <color theme="1"/>
              </font>
              <fill>
                <patternFill>
                  <bgColor theme="5" tint="0.59996337778862885"/>
                </patternFill>
              </fill>
            </x14:dxf>
          </x14:cfRule>
          <x14:cfRule type="expression" priority="163" id="{2B2CBB1B-5899-C743-B81E-1B77E4EC89F0}">
            <xm:f>OR(November!$C9="ekskursion")</xm:f>
            <x14:dxf>
              <font>
                <color theme="1"/>
              </font>
              <fill>
                <patternFill>
                  <bgColor rgb="FFFFFF00"/>
                </patternFill>
              </fill>
            </x14:dxf>
          </x14:cfRule>
          <x14:cfRule type="expression" priority="162" id="{ADB29B3B-7DFC-954A-952B-16B2EBBF50F3}">
            <xm:f>OR(November!$C9="Nul-dag")</xm:f>
            <x14:dxf>
              <font>
                <color theme="1"/>
              </font>
              <fill>
                <patternFill>
                  <bgColor theme="5" tint="0.79998168889431442"/>
                </patternFill>
              </fill>
            </x14:dxf>
          </x14:cfRule>
          <x14:cfRule type="expression" priority="161" id="{8D40A667-829F-1048-97C9-0994C9651BB7}">
            <xm:f>OR(November!$C9="SH-dag")</xm:f>
            <x14:dxf>
              <font>
                <color theme="1"/>
              </font>
              <fill>
                <patternFill>
                  <bgColor rgb="FFFF2F82"/>
                </patternFill>
              </fill>
            </x14:dxf>
          </x14:cfRule>
          <x14:cfRule type="expression" priority="160" id="{735BD466-F98F-564F-A01F-8F488CFA3B6A}">
            <xm:f>OR(November!$C9="pæd.dag")</xm:f>
            <x14:dxf>
              <font>
                <color theme="1"/>
              </font>
              <fill>
                <patternFill>
                  <bgColor theme="7" tint="0.39994506668294322"/>
                </patternFill>
              </fill>
            </x14:dxf>
          </x14:cfRule>
          <x14:cfRule type="expression" priority="159" id="{34B9EFE6-DFDC-D848-A900-090A6E16B7BD}">
            <xm:f>OR(November!$C9="Skema 4")</xm:f>
            <x14:dxf>
              <font>
                <color theme="0"/>
              </font>
              <fill>
                <patternFill patternType="solid">
                  <bgColor theme="4" tint="-0.24994659260841701"/>
                </patternFill>
              </fill>
            </x14:dxf>
          </x14:cfRule>
          <x14:cfRule type="expression" priority="9" id="{920751DC-B5ED-8E42-85C0-1EBF9D44AE06}">
            <xm:f>OR(November!$C9="Orlov")</xm:f>
            <x14:dxf>
              <font>
                <color theme="0"/>
              </font>
              <fill>
                <patternFill patternType="solid">
                  <bgColor theme="6" tint="-0.24994659260841701"/>
                </patternFill>
              </fill>
            </x14:dxf>
          </x14:cfRule>
          <x14:cfRule type="expression" priority="164" id="{EB00411D-3D3E-B14E-9FB0-028C04B8E895}">
            <xm:f>OR(November!$C9="lejrskole")</xm:f>
            <x14:dxf>
              <font>
                <color theme="1"/>
              </font>
              <fill>
                <patternFill>
                  <bgColor theme="8" tint="0.59996337778862885"/>
                </patternFill>
              </fill>
            </x14:dxf>
          </x14:cfRule>
          <x14:cfRule type="expression" priority="65" id="{3C3A3E5B-F2DB-794B-8096-B2E084FDD694}">
            <xm:f>OR(November!$C9="Ikke relevant")</xm:f>
            <x14:dxf>
              <font>
                <color theme="0"/>
              </font>
              <fill>
                <patternFill>
                  <bgColor theme="1"/>
                </patternFill>
              </fill>
            </x14:dxf>
          </x14:cfRule>
          <xm:sqref>M3:P32</xm:sqref>
        </x14:conditionalFormatting>
        <x14:conditionalFormatting xmlns:xm="http://schemas.microsoft.com/office/excel/2006/main">
          <x14:cfRule type="expression" priority="153" id="{D8447A37-3A50-0642-9B5F-43C01AFAA06C}">
            <xm:f>OR(December!$C9="ekskursion")</xm:f>
            <x14:dxf>
              <font>
                <color theme="1"/>
              </font>
              <fill>
                <patternFill>
                  <bgColor rgb="FFFFFF00"/>
                </patternFill>
              </fill>
            </x14:dxf>
          </x14:cfRule>
          <x14:cfRule type="expression" priority="150" id="{5606980E-44C4-6B43-8A7B-9A72C844ACB8}">
            <xm:f>OR(December!$C9="pæd.dag")</xm:f>
            <x14:dxf>
              <font>
                <color theme="1"/>
              </font>
              <fill>
                <patternFill>
                  <bgColor theme="7" tint="0.39994506668294322"/>
                </patternFill>
              </fill>
            </x14:dxf>
          </x14:cfRule>
          <x14:cfRule type="expression" priority="64" id="{405E5FE5-D39A-3344-9D26-9E2F9DB15E52}">
            <xm:f>OR(December!$C9="Ikke relevant")</xm:f>
            <x14:dxf>
              <font>
                <color theme="0"/>
              </font>
              <fill>
                <patternFill>
                  <bgColor theme="1"/>
                </patternFill>
              </fill>
            </x14:dxf>
          </x14:cfRule>
          <x14:cfRule type="expression" priority="154" id="{B1921E4A-CF0B-4D4D-8487-6E07254F5244}">
            <xm:f>OR(December!$C9="lejrskole")</xm:f>
            <x14:dxf>
              <font>
                <color theme="1"/>
              </font>
              <fill>
                <patternFill>
                  <bgColor theme="8" tint="0.59996337778862885"/>
                </patternFill>
              </fill>
            </x14:dxf>
          </x14:cfRule>
          <x14:cfRule type="expression" priority="152" id="{F9882835-81C8-A249-A3AA-3D9BBE413360}">
            <xm:f>OR(December!$C9="Nul-dag")</xm:f>
            <x14:dxf>
              <font>
                <color theme="1"/>
              </font>
              <fill>
                <patternFill>
                  <bgColor theme="5" tint="0.79998168889431442"/>
                </patternFill>
              </fill>
            </x14:dxf>
          </x14:cfRule>
          <x14:cfRule type="expression" priority="155" id="{5953742D-E53E-4A4D-B732-C7668FE8C524}">
            <xm:f>OR(December!$C9="emnedag")</xm:f>
            <x14:dxf>
              <font>
                <color theme="1"/>
              </font>
              <fill>
                <patternFill>
                  <bgColor theme="5" tint="0.59996337778862885"/>
                </patternFill>
              </fill>
            </x14:dxf>
          </x14:cfRule>
          <x14:cfRule type="expression" priority="151" id="{01D47AC0-1680-A64A-BBAC-511097CCF740}">
            <xm:f>OR(December!$C9="SH-dag")</xm:f>
            <x14:dxf>
              <font>
                <color theme="1"/>
              </font>
              <fill>
                <patternFill>
                  <bgColor rgb="FFFF2F82"/>
                </patternFill>
              </fill>
            </x14:dxf>
          </x14:cfRule>
          <x14:cfRule type="expression" priority="156" id="{BABE8628-6A33-0549-9598-A54691F4778E}">
            <xm:f>OR(December!$C9="fagdag")</xm:f>
            <x14:dxf>
              <font>
                <color theme="1"/>
              </font>
              <fill>
                <patternFill>
                  <bgColor theme="9" tint="0.59996337778862885"/>
                </patternFill>
              </fill>
            </x14:dxf>
          </x14:cfRule>
          <x14:cfRule type="expression" priority="157" id="{CAC250A0-A36F-E146-86F8-81B47A7641A1}">
            <xm:f>OR(December!$C9="feriedag")</xm:f>
            <x14:dxf>
              <font>
                <color theme="1"/>
              </font>
              <fill>
                <patternFill>
                  <bgColor theme="6" tint="0.39994506668294322"/>
                </patternFill>
              </fill>
            </x14:dxf>
          </x14:cfRule>
          <x14:cfRule type="expression" priority="8" id="{B793D4F9-B298-E949-8F2C-9EDE46443D32}">
            <xm:f>OR(December!$C9="Orlov")</xm:f>
            <x14:dxf>
              <font>
                <color theme="0"/>
              </font>
              <fill>
                <patternFill patternType="solid">
                  <bgColor theme="6" tint="-0.24994659260841701"/>
                </patternFill>
              </fill>
            </x14:dxf>
          </x14:cfRule>
          <x14:cfRule type="expression" priority="158" id="{F7514658-5343-0949-8ABE-37D3ED0E34E0}">
            <xm:f>OR(December!$C9="weekend")</xm:f>
            <x14:dxf>
              <font>
                <color theme="1"/>
              </font>
              <fill>
                <patternFill>
                  <bgColor theme="0" tint="-0.14996795556505021"/>
                </patternFill>
              </fill>
            </x14:dxf>
          </x14:cfRule>
          <x14:cfRule type="expression" priority="149" id="{D7EB46A5-562B-9640-9009-6529BCEB5A50}">
            <xm:f>OR(December!$C9="Skema 4")</xm:f>
            <x14:dxf>
              <font>
                <color theme="0"/>
              </font>
              <fill>
                <patternFill patternType="solid">
                  <bgColor theme="4" tint="-0.24994659260841701"/>
                </patternFill>
              </fill>
            </x14:dxf>
          </x14:cfRule>
          <x14:cfRule type="expression" priority="42" id="{CA1E3680-A794-244F-BD54-24854DE53367}">
            <xm:f>OR(December!$C9="Skema 1")</xm:f>
            <x14:dxf>
              <font>
                <color theme="1"/>
              </font>
              <fill>
                <patternFill patternType="solid">
                  <bgColor theme="4" tint="0.79998168889431442"/>
                </patternFill>
              </fill>
            </x14:dxf>
          </x14:cfRule>
          <x14:cfRule type="expression" priority="43" id="{0CD3A68E-01AC-E848-B623-231F6FD6DA34}">
            <xm:f>OR(December!$C9="Skema 2")</xm:f>
            <x14:dxf>
              <font>
                <color theme="1"/>
              </font>
              <fill>
                <patternFill patternType="solid">
                  <bgColor theme="4" tint="0.59996337778862885"/>
                </patternFill>
              </fill>
            </x14:dxf>
          </x14:cfRule>
          <x14:cfRule type="expression" priority="44" id="{E17B22A4-F3B5-C64F-B55C-4CCC7A36B3E6}">
            <xm:f>OR(December!$C9="Skema 3")</xm:f>
            <x14:dxf>
              <font>
                <color theme="0"/>
              </font>
              <fill>
                <patternFill patternType="solid">
                  <bgColor theme="4" tint="0.39994506668294322"/>
                </patternFill>
              </fill>
            </x14:dxf>
          </x14:cfRule>
          <xm:sqref>Q3:T33</xm:sqref>
        </x14:conditionalFormatting>
        <x14:conditionalFormatting xmlns:xm="http://schemas.microsoft.com/office/excel/2006/main">
          <x14:cfRule type="expression" priority="7" id="{8F246EAB-3BB5-2844-B9E7-961ADD71B281}">
            <xm:f>OR(Januar!$C9="Orlov")</xm:f>
            <x14:dxf>
              <font>
                <color theme="0"/>
              </font>
              <fill>
                <patternFill patternType="solid">
                  <fgColor indexed="64"/>
                  <bgColor theme="6" tint="-0.24994659260841701"/>
                </patternFill>
              </fill>
            </x14:dxf>
          </x14:cfRule>
          <x14:cfRule type="expression" priority="147" id="{8EF1BF28-7BBA-5344-9A85-C351C2F12A46}">
            <xm:f>OR(Januar!$C9="feriedag")</xm:f>
            <x14:dxf>
              <font>
                <color theme="1"/>
              </font>
              <fill>
                <patternFill>
                  <bgColor theme="6" tint="0.39994506668294322"/>
                </patternFill>
              </fill>
            </x14:dxf>
          </x14:cfRule>
          <x14:cfRule type="expression" priority="139" id="{33FCD2AE-0D8F-4847-87C3-61996CB9E16E}">
            <xm:f>OR(Januar!$C9="Skema 4")</xm:f>
            <x14:dxf>
              <font>
                <color theme="0"/>
              </font>
              <fill>
                <patternFill patternType="solid">
                  <bgColor theme="4" tint="-0.24994659260841701"/>
                </patternFill>
              </fill>
            </x14:dxf>
          </x14:cfRule>
          <x14:cfRule type="expression" priority="140" id="{4C151E35-BA43-F647-A194-07EFBAAAC1F7}">
            <xm:f>OR(Januar!$C9="pæd.dag")</xm:f>
            <x14:dxf>
              <font>
                <color theme="1"/>
              </font>
              <fill>
                <patternFill>
                  <bgColor theme="7" tint="0.39994506668294322"/>
                </patternFill>
              </fill>
            </x14:dxf>
          </x14:cfRule>
          <x14:cfRule type="expression" priority="141" id="{0825D3C6-C540-CA44-B1BB-4198B534F6AD}">
            <xm:f>OR(Januar!$C9="SH-dag")</xm:f>
            <x14:dxf>
              <font>
                <color theme="1"/>
              </font>
              <fill>
                <patternFill>
                  <bgColor rgb="FFFF2F82"/>
                </patternFill>
              </fill>
            </x14:dxf>
          </x14:cfRule>
          <x14:cfRule type="expression" priority="142" id="{3870C082-40B1-B043-BC4C-8FE477158424}">
            <xm:f>OR(Januar!$C9="Nul-dag")</xm:f>
            <x14:dxf>
              <font>
                <color theme="1"/>
              </font>
              <fill>
                <patternFill>
                  <bgColor theme="5" tint="0.79998168889431442"/>
                </patternFill>
              </fill>
            </x14:dxf>
          </x14:cfRule>
          <x14:cfRule type="expression" priority="143" id="{6CA16A9C-7F36-5340-BBFD-692044D28D46}">
            <xm:f>OR(Januar!$C9="ekskursion")</xm:f>
            <x14:dxf>
              <font>
                <color theme="1"/>
              </font>
              <fill>
                <patternFill>
                  <bgColor rgb="FFFFFF00"/>
                </patternFill>
              </fill>
            </x14:dxf>
          </x14:cfRule>
          <x14:cfRule type="expression" priority="144" id="{3A498EF8-73A9-E345-A69B-D9C2C4E052DD}">
            <xm:f>OR(Januar!$C9="lejrskole")</xm:f>
            <x14:dxf>
              <font>
                <color theme="1"/>
              </font>
              <fill>
                <patternFill>
                  <bgColor theme="8" tint="0.59996337778862885"/>
                </patternFill>
              </fill>
            </x14:dxf>
          </x14:cfRule>
          <x14:cfRule type="expression" priority="41" id="{C86F9E67-B61E-1F47-86DE-9DA9BE389F08}">
            <xm:f>OR(Januar!$C9="Skema 3")</xm:f>
            <x14:dxf>
              <font>
                <color theme="0"/>
              </font>
              <fill>
                <patternFill patternType="solid">
                  <bgColor theme="4" tint="0.39994506668294322"/>
                </patternFill>
              </fill>
            </x14:dxf>
          </x14:cfRule>
          <x14:cfRule type="expression" priority="40" id="{AEB011DE-B4CE-0842-A13F-809AAFABAE03}">
            <xm:f>OR(Januar!$C9="Skema 2")</xm:f>
            <x14:dxf>
              <font>
                <color theme="1"/>
              </font>
              <fill>
                <patternFill patternType="solid">
                  <bgColor theme="4" tint="0.59996337778862885"/>
                </patternFill>
              </fill>
            </x14:dxf>
          </x14:cfRule>
          <x14:cfRule type="expression" priority="39" id="{685F8206-CBC4-1A4C-9A77-6DA480239126}">
            <xm:f>OR(Januar!$C9="Skema 1")</xm:f>
            <x14:dxf>
              <font>
                <color theme="1"/>
              </font>
              <fill>
                <patternFill patternType="solid">
                  <fgColor indexed="64"/>
                  <bgColor theme="4" tint="0.79998168889431442"/>
                </patternFill>
              </fill>
            </x14:dxf>
          </x14:cfRule>
          <x14:cfRule type="expression" priority="63" id="{79BD02DB-3F90-9142-941C-51992FDF22FD}">
            <xm:f>OR(Januar!$C9="Ikke relevant")</xm:f>
            <x14:dxf>
              <font>
                <color theme="0"/>
              </font>
              <fill>
                <patternFill>
                  <bgColor theme="1"/>
                </patternFill>
              </fill>
            </x14:dxf>
          </x14:cfRule>
          <x14:cfRule type="expression" priority="145" id="{3A7325B9-8392-9847-BD92-5909CF10E04D}">
            <xm:f>OR(Januar!$C9="emnedag")</xm:f>
            <x14:dxf>
              <font>
                <color theme="1"/>
              </font>
              <fill>
                <patternFill>
                  <bgColor theme="5" tint="0.59996337778862885"/>
                </patternFill>
              </fill>
            </x14:dxf>
          </x14:cfRule>
          <x14:cfRule type="expression" priority="146" id="{D6E1BBEC-187A-244C-BBB5-EA65E4343198}">
            <xm:f>OR(Januar!$C9="fagdag")</xm:f>
            <x14:dxf>
              <font>
                <color theme="1"/>
              </font>
              <fill>
                <patternFill>
                  <bgColor theme="9" tint="0.59996337778862885"/>
                </patternFill>
              </fill>
            </x14:dxf>
          </x14:cfRule>
          <x14:cfRule type="expression" priority="148" id="{F767FC14-4689-1142-A161-0B4FBDE15605}">
            <xm:f>OR(Januar!$C9="weekend")</xm:f>
            <x14:dxf>
              <font>
                <color theme="1"/>
              </font>
              <fill>
                <patternFill>
                  <bgColor theme="0" tint="-0.14996795556505021"/>
                </patternFill>
              </fill>
            </x14:dxf>
          </x14:cfRule>
          <xm:sqref>U3:X33</xm:sqref>
        </x14:conditionalFormatting>
        <x14:conditionalFormatting xmlns:xm="http://schemas.microsoft.com/office/excel/2006/main">
          <x14:cfRule type="expression" priority="62" id="{BC93835C-53A2-BD4E-8ECB-2FEFF77E7184}">
            <xm:f>OR(Februar!$C9="Ikke relevant")</xm:f>
            <x14:dxf>
              <font>
                <color theme="0"/>
              </font>
              <fill>
                <patternFill>
                  <bgColor theme="1"/>
                </patternFill>
              </fill>
            </x14:dxf>
          </x14:cfRule>
          <xm:sqref>Y3:AB30</xm:sqref>
        </x14:conditionalFormatting>
        <x14:conditionalFormatting xmlns:xm="http://schemas.microsoft.com/office/excel/2006/main">
          <x14:cfRule type="expression" priority="131" id="{B2971BB6-717E-C445-9A7A-06084A841112}">
            <xm:f>OR(Februar!$C9="SH-dag")</xm:f>
            <x14:dxf>
              <font>
                <color theme="1"/>
              </font>
              <fill>
                <patternFill>
                  <bgColor rgb="FFFF2F82"/>
                </patternFill>
              </fill>
            </x14:dxf>
          </x14:cfRule>
          <x14:cfRule type="expression" priority="130" id="{D49DC9CD-3CF9-AA43-B3FA-9A4F4515BF0D}">
            <xm:f>OR(Februar!$C9="pæd.dag")</xm:f>
            <x14:dxf>
              <font>
                <color theme="1"/>
              </font>
              <fill>
                <patternFill>
                  <bgColor theme="7" tint="0.39994506668294322"/>
                </patternFill>
              </fill>
            </x14:dxf>
          </x14:cfRule>
          <x14:cfRule type="expression" priority="129" id="{5905EE0B-1AD8-2447-91F1-31FDDC4F15AB}">
            <xm:f>OR(Februar!$C9="Skema 4")</xm:f>
            <x14:dxf>
              <font>
                <color theme="0"/>
              </font>
              <fill>
                <patternFill patternType="solid">
                  <bgColor theme="4" tint="-0.24994659260841701"/>
                </patternFill>
              </fill>
            </x14:dxf>
          </x14:cfRule>
          <x14:cfRule type="expression" priority="132" id="{691C06F0-DFD2-9946-B801-C89C03ED1F5E}">
            <xm:f>OR(Februar!$C9="Nul-dag")</xm:f>
            <x14:dxf>
              <font>
                <color theme="1"/>
              </font>
              <fill>
                <patternFill>
                  <bgColor theme="5" tint="0.79998168889431442"/>
                </patternFill>
              </fill>
            </x14:dxf>
          </x14:cfRule>
          <x14:cfRule type="expression" priority="133" id="{3E32D6B0-C29A-CF46-815A-C4AACE4DD359}">
            <xm:f>OR(Februar!$C9="ekskursion")</xm:f>
            <x14:dxf>
              <font>
                <color theme="1"/>
              </font>
              <fill>
                <patternFill>
                  <bgColor rgb="FFFFFF00"/>
                </patternFill>
              </fill>
            </x14:dxf>
          </x14:cfRule>
          <x14:cfRule type="expression" priority="134" id="{BAFC74E7-3387-3F4A-8B08-E025FEC5D4B8}">
            <xm:f>OR(Februar!$C9="lejrskole")</xm:f>
            <x14:dxf>
              <font>
                <color theme="1"/>
              </font>
              <fill>
                <patternFill>
                  <bgColor theme="8" tint="0.59996337778862885"/>
                </patternFill>
              </fill>
            </x14:dxf>
          </x14:cfRule>
          <x14:cfRule type="expression" priority="36" id="{FA0DD1F1-A575-F54C-B9B8-1A59F46E3693}">
            <xm:f>OR(Februar!$C9="Skema 1")</xm:f>
            <x14:dxf>
              <font>
                <color theme="1"/>
              </font>
              <fill>
                <patternFill patternType="solid">
                  <bgColor theme="4" tint="0.79998168889431442"/>
                </patternFill>
              </fill>
            </x14:dxf>
          </x14:cfRule>
          <x14:cfRule type="expression" priority="135" id="{D9AC2DC7-F273-124C-BECE-4EDC393AD917}">
            <xm:f>OR(Februar!$C9="emnedag")</xm:f>
            <x14:dxf>
              <font>
                <color theme="1"/>
              </font>
              <fill>
                <patternFill>
                  <bgColor theme="5" tint="0.59996337778862885"/>
                </patternFill>
              </fill>
            </x14:dxf>
          </x14:cfRule>
          <x14:cfRule type="expression" priority="37" id="{6636D9E6-DEAB-DC49-B2E0-79381616EAD3}">
            <xm:f>OR(Februar!$C9="Skema 2")</xm:f>
            <x14:dxf>
              <font>
                <color theme="1"/>
              </font>
              <fill>
                <patternFill patternType="solid">
                  <bgColor theme="4" tint="0.59996337778862885"/>
                </patternFill>
              </fill>
            </x14:dxf>
          </x14:cfRule>
          <x14:cfRule type="expression" priority="38" id="{66656824-FD61-5347-9FF0-37E67A7BC2B1}">
            <xm:f>OR(Februar!$C9="Skema 3")</xm:f>
            <x14:dxf>
              <font>
                <color theme="0"/>
              </font>
              <fill>
                <patternFill patternType="solid">
                  <bgColor theme="4" tint="0.39994506668294322"/>
                </patternFill>
              </fill>
            </x14:dxf>
          </x14:cfRule>
          <x14:cfRule type="expression" priority="136" id="{5499E456-6CF2-DF42-BBBE-7C1B22D7FC31}">
            <xm:f>OR(Februar!$C9="fagdag")</xm:f>
            <x14:dxf>
              <font>
                <color theme="1"/>
              </font>
              <fill>
                <patternFill>
                  <bgColor theme="9" tint="0.59996337778862885"/>
                </patternFill>
              </fill>
            </x14:dxf>
          </x14:cfRule>
          <x14:cfRule type="expression" priority="137" id="{8D0EF236-2370-BE45-B4BA-78B35CE6FB2A}">
            <xm:f>OR(Februar!$C9="feriedag")</xm:f>
            <x14:dxf>
              <font>
                <color theme="1"/>
              </font>
              <fill>
                <patternFill>
                  <bgColor theme="6" tint="0.39994506668294322"/>
                </patternFill>
              </fill>
            </x14:dxf>
          </x14:cfRule>
          <x14:cfRule type="expression" priority="6" id="{EC7EDFE0-AC22-1145-8E32-09F0F8467530}">
            <xm:f>OR(Februar!$C9="Orlov")</xm:f>
            <x14:dxf>
              <font>
                <color theme="0"/>
              </font>
              <fill>
                <patternFill patternType="solid">
                  <bgColor theme="6" tint="-0.24994659260841701"/>
                </patternFill>
              </fill>
            </x14:dxf>
          </x14:cfRule>
          <x14:cfRule type="expression" priority="138" id="{D62194EC-DBC3-E643-B356-8455BEEF11CB}">
            <xm:f>OR(Februar!$C9="weekend")</xm:f>
            <x14:dxf>
              <font>
                <color theme="1"/>
              </font>
              <fill>
                <patternFill>
                  <bgColor theme="0" tint="-0.14996795556505021"/>
                </patternFill>
              </fill>
            </x14:dxf>
          </x14:cfRule>
          <xm:sqref>Y3:AB31</xm:sqref>
        </x14:conditionalFormatting>
        <x14:conditionalFormatting xmlns:xm="http://schemas.microsoft.com/office/excel/2006/main">
          <x14:cfRule type="expression" priority="31" id="{F2BAE797-0E72-AB42-AF6F-09B853846949}">
            <xm:f>OR(Marts!$C9="emnedag")</xm:f>
            <x14:dxf>
              <font>
                <color theme="1"/>
              </font>
              <fill>
                <patternFill>
                  <bgColor theme="5" tint="0.59996337778862885"/>
                </patternFill>
              </fill>
            </x14:dxf>
          </x14:cfRule>
          <x14:cfRule type="expression" priority="30" id="{A80B4D6A-75CF-4548-9330-9FC9FCE7A5FA}">
            <xm:f>OR(Marts!$C9="Fagdag")</xm:f>
            <x14:dxf>
              <font>
                <color theme="1"/>
              </font>
              <fill>
                <patternFill>
                  <bgColor theme="9" tint="0.79998168889431442"/>
                </patternFill>
              </fill>
            </x14:dxf>
          </x14:cfRule>
          <x14:cfRule type="expression" priority="32" id="{69E7399E-230E-6B42-AFC2-1F7A42FE136D}">
            <xm:f>OR(Marts!$C9="Feriedag")</xm:f>
            <x14:dxf>
              <font>
                <color theme="1"/>
              </font>
              <fill>
                <patternFill>
                  <bgColor theme="6" tint="0.39994506668294322"/>
                </patternFill>
              </fill>
            </x14:dxf>
          </x14:cfRule>
          <x14:cfRule type="expression" priority="5" id="{1329668A-E0BA-134B-BA16-68B55ED9CDEA}">
            <xm:f>OR(Marts!$C9="Orlov")</xm:f>
            <x14:dxf>
              <font>
                <color theme="0"/>
              </font>
              <fill>
                <patternFill>
                  <bgColor theme="6" tint="-0.24994659260841701"/>
                </patternFill>
              </fill>
            </x14:dxf>
          </x14:cfRule>
          <x14:cfRule type="expression" priority="28" id="{44AD5113-2B1D-2A4C-B4B5-8D052D6F953B}">
            <xm:f>OR(Marts!$C9="Skema 4")</xm:f>
            <x14:dxf>
              <font>
                <color theme="0"/>
              </font>
              <fill>
                <patternFill>
                  <bgColor theme="4" tint="-0.24994659260841701"/>
                </patternFill>
              </fill>
            </x14:dxf>
          </x14:cfRule>
          <x14:cfRule type="expression" priority="122" id="{E8F5F397-3C1C-9F4F-B625-0F2718E959E3}">
            <xm:f>OR(Marts!$C9="Nul-dag")</xm:f>
            <x14:dxf>
              <font>
                <color theme="1"/>
              </font>
              <fill>
                <patternFill>
                  <bgColor theme="5" tint="0.79998168889431442"/>
                </patternFill>
              </fill>
            </x14:dxf>
          </x14:cfRule>
          <x14:cfRule type="expression" priority="123" id="{05B6B027-6766-6C41-9896-74988A31F448}">
            <xm:f>OR(Marts!$C9="ekskursion")</xm:f>
            <x14:dxf>
              <font>
                <color theme="1"/>
              </font>
              <fill>
                <patternFill>
                  <bgColor rgb="FFFFFF00"/>
                </patternFill>
              </fill>
            </x14:dxf>
          </x14:cfRule>
          <x14:cfRule type="expression" priority="124" id="{D58C7885-2316-7946-AF45-3391E8C857A2}">
            <xm:f>OR(Marts!$C9="lejrskole")</xm:f>
            <x14:dxf>
              <font>
                <color theme="1"/>
              </font>
              <fill>
                <patternFill>
                  <bgColor theme="8" tint="0.59996337778862885"/>
                </patternFill>
              </fill>
            </x14:dxf>
          </x14:cfRule>
          <x14:cfRule type="expression" priority="27" id="{30A76D2B-39F7-6045-8226-961E119DFA88}">
            <xm:f>OR(Marts!$C9="Skema 3")</xm:f>
            <x14:dxf>
              <font>
                <color theme="0"/>
              </font>
              <fill>
                <patternFill>
                  <bgColor theme="4" tint="0.39994506668294322"/>
                </patternFill>
              </fill>
            </x14:dxf>
          </x14:cfRule>
          <x14:cfRule type="expression" priority="61" id="{3D1CDA5E-D6C6-EF48-B32D-0C6C446B9E11}">
            <xm:f>OR(Marts!$C9="Ikke relevant")</xm:f>
            <x14:dxf>
              <font>
                <color theme="0"/>
              </font>
              <fill>
                <patternFill>
                  <bgColor theme="1"/>
                </patternFill>
              </fill>
            </x14:dxf>
          </x14:cfRule>
          <x14:cfRule type="expression" priority="25" id="{D50A413C-FFE9-1545-A219-8617B385DD2B}">
            <xm:f>OR(Marts!$C9="Skema 1")</xm:f>
            <x14:dxf>
              <font>
                <color theme="1"/>
              </font>
              <fill>
                <patternFill>
                  <bgColor theme="4" tint="0.79998168889431442"/>
                </patternFill>
              </fill>
            </x14:dxf>
          </x14:cfRule>
          <x14:cfRule type="expression" priority="24" id="{D0877CEF-96B2-C040-87AF-6A4E58D378C3}">
            <xm:f>OR(Marts!$C9="Pæd.dag")</xm:f>
            <x14:dxf>
              <font>
                <color theme="1"/>
              </font>
              <fill>
                <patternFill>
                  <bgColor theme="7" tint="0.59996337778862885"/>
                </patternFill>
              </fill>
            </x14:dxf>
          </x14:cfRule>
          <x14:cfRule type="expression" priority="23" id="{EFF93F1D-A12A-E642-A444-0AFA568DFF6A}">
            <xm:f>OR(Marts!$C9="Weekend")</xm:f>
            <x14:dxf>
              <font>
                <color theme="1"/>
              </font>
              <fill>
                <patternFill>
                  <bgColor theme="0" tint="-0.14996795556505021"/>
                </patternFill>
              </fill>
            </x14:dxf>
          </x14:cfRule>
          <x14:cfRule type="expression" priority="26" id="{2320F05F-B7EB-B842-AD61-9510873926FE}">
            <xm:f>OR(Marts!$C9="Skema 2")</xm:f>
            <x14:dxf>
              <font>
                <color theme="1"/>
              </font>
              <fill>
                <patternFill>
                  <fgColor auto="1"/>
                  <bgColor theme="4" tint="0.59996337778862885"/>
                </patternFill>
              </fill>
            </x14:dxf>
          </x14:cfRule>
          <x14:cfRule type="expression" priority="29" id="{08C47B0C-B7CC-B445-9E97-B3FAD7E4B1F2}">
            <xm:f>OR(Marts!$C9="SH-dag")</xm:f>
            <x14:dxf>
              <font>
                <color theme="1"/>
              </font>
              <fill>
                <patternFill>
                  <bgColor rgb="FFFF2F82"/>
                </patternFill>
              </fill>
            </x14:dxf>
          </x14:cfRule>
          <xm:sqref>AC3:AF33</xm:sqref>
        </x14:conditionalFormatting>
        <x14:conditionalFormatting xmlns:xm="http://schemas.microsoft.com/office/excel/2006/main">
          <x14:cfRule type="expression" priority="128" id="{F73FC4B8-D7D9-F448-82F2-CE4F398A3033}">
            <xm:f>OR(April!$C9="weekend")</xm:f>
            <x14:dxf>
              <font>
                <color theme="1"/>
              </font>
              <fill>
                <patternFill>
                  <bgColor theme="0" tint="-0.14996795556505021"/>
                </patternFill>
              </fill>
            </x14:dxf>
          </x14:cfRule>
          <x14:cfRule type="expression" priority="127" id="{728174B4-8398-1043-9212-555FB92A5288}">
            <xm:f>OR(April!$C9="feriedag")</xm:f>
            <x14:dxf>
              <font>
                <color theme="1"/>
              </font>
              <fill>
                <patternFill>
                  <bgColor theme="6" tint="0.39994506668294322"/>
                </patternFill>
              </fill>
            </x14:dxf>
          </x14:cfRule>
          <x14:cfRule type="expression" priority="126" id="{419D5295-56E2-564D-8589-FD298CF1E8FF}">
            <xm:f>OR(April!$C9="fagdag")</xm:f>
            <x14:dxf>
              <font>
                <color theme="1"/>
              </font>
              <fill>
                <patternFill>
                  <bgColor theme="9" tint="0.59996337778862885"/>
                </patternFill>
              </fill>
            </x14:dxf>
          </x14:cfRule>
          <x14:cfRule type="expression" priority="125" id="{13A69E29-862C-6C41-BAF0-6C4173EE1798}">
            <xm:f>OR(April!$C9="emnedag")</xm:f>
            <x14:dxf>
              <font>
                <color theme="1"/>
              </font>
              <fill>
                <patternFill>
                  <bgColor theme="5" tint="0.59996337778862885"/>
                </patternFill>
              </fill>
            </x14:dxf>
          </x14:cfRule>
          <x14:cfRule type="expression" priority="121" id="{37E8FB27-3B1A-D043-9E7D-E9627DFC82B7}">
            <xm:f>OR(April!$C9="SH-dag")</xm:f>
            <x14:dxf>
              <font>
                <color theme="1"/>
              </font>
              <fill>
                <patternFill>
                  <bgColor rgb="FFFF2F82"/>
                </patternFill>
              </fill>
            </x14:dxf>
          </x14:cfRule>
          <x14:cfRule type="expression" priority="120" id="{7D7DAC9A-D7B8-E241-AD4D-C2943A4ABC4A}">
            <xm:f>OR(April!$C9="pæd.dag")</xm:f>
            <x14:dxf>
              <font>
                <color theme="1"/>
              </font>
              <fill>
                <patternFill>
                  <bgColor theme="7" tint="0.39994506668294322"/>
                </patternFill>
              </fill>
            </x14:dxf>
          </x14:cfRule>
          <x14:cfRule type="expression" priority="119" id="{FF336F9D-60DB-A44F-B258-84ED7DE56AEC}">
            <xm:f>OR(April!$C9="Skema 4")</xm:f>
            <x14:dxf>
              <font>
                <color theme="0"/>
              </font>
              <fill>
                <patternFill patternType="solid">
                  <bgColor theme="4" tint="-0.24994659260841701"/>
                </patternFill>
              </fill>
            </x14:dxf>
          </x14:cfRule>
          <x14:cfRule type="expression" priority="117" id="{761D4B71-3465-A442-A215-C89783DDA016}">
            <xm:f>OR(April!$C9="feriedag")</xm:f>
            <x14:dxf>
              <font>
                <color theme="1"/>
              </font>
              <fill>
                <patternFill>
                  <bgColor theme="6" tint="0.39994506668294322"/>
                </patternFill>
              </fill>
            </x14:dxf>
          </x14:cfRule>
          <x14:cfRule type="expression" priority="116" id="{EF6AF11E-FAB5-1C49-B57E-165FDACB4B5B}">
            <xm:f>OR(April!$C9="fagdag")</xm:f>
            <x14:dxf>
              <font>
                <color theme="1"/>
              </font>
              <fill>
                <patternFill>
                  <bgColor theme="9" tint="0.59996337778862885"/>
                </patternFill>
              </fill>
            </x14:dxf>
          </x14:cfRule>
          <x14:cfRule type="expression" priority="115" id="{7421CB58-9840-014D-AB84-C4FC129CF84F}">
            <xm:f>OR(April!$C9="emnedag")</xm:f>
            <x14:dxf>
              <font>
                <color theme="1"/>
              </font>
              <fill>
                <patternFill>
                  <bgColor theme="5" tint="0.59996337778862885"/>
                </patternFill>
              </fill>
            </x14:dxf>
          </x14:cfRule>
          <x14:cfRule type="expression" priority="112" id="{81172C6D-B6AD-8644-BFD4-28E3DE5619F6}">
            <xm:f>OR(April!$C9="Nul-dag")</xm:f>
            <x14:dxf>
              <font>
                <color theme="1"/>
              </font>
              <fill>
                <patternFill>
                  <bgColor theme="4" tint="0.39994506668294322"/>
                </patternFill>
              </fill>
            </x14:dxf>
          </x14:cfRule>
          <x14:cfRule type="expression" priority="104" id="{92698B96-4149-E347-BD79-9E80BEEB99D5}">
            <xm:f>OR(April!$C9="lejrskole")</xm:f>
            <x14:dxf>
              <font>
                <color theme="1"/>
              </font>
              <fill>
                <patternFill>
                  <bgColor theme="8" tint="0.59996337778862885"/>
                </patternFill>
              </fill>
            </x14:dxf>
          </x14:cfRule>
          <x14:cfRule type="expression" priority="103" id="{F139F015-C484-324E-A595-6D81BEADA472}">
            <xm:f>OR(April!$C9="ekskursion")</xm:f>
            <x14:dxf>
              <font>
                <color theme="1"/>
              </font>
              <fill>
                <patternFill>
                  <bgColor rgb="FFFFFF00"/>
                </patternFill>
              </fill>
            </x14:dxf>
          </x14:cfRule>
          <x14:cfRule type="expression" priority="102" id="{D255C484-02D2-6A46-B595-5C9F3E93F3EE}">
            <xm:f>OR(April!$C9="Nul-dag")</xm:f>
            <x14:dxf>
              <font>
                <color theme="1"/>
              </font>
              <fill>
                <patternFill>
                  <bgColor theme="5" tint="0.79998168889431442"/>
                </patternFill>
              </fill>
            </x14:dxf>
          </x14:cfRule>
          <x14:cfRule type="expression" priority="101" id="{84F41FFD-929D-B540-826B-84F1B92F10BD}">
            <xm:f>OR(April!$C9="SH-dag")</xm:f>
            <x14:dxf>
              <font>
                <color theme="1"/>
              </font>
              <fill>
                <patternFill>
                  <bgColor rgb="FFFF2F82"/>
                </patternFill>
              </fill>
            </x14:dxf>
          </x14:cfRule>
          <x14:cfRule type="expression" priority="100" id="{AD78583D-CE68-0144-9F3D-7DE5EE58A184}">
            <xm:f>OR(April!$C9="pæd.dag")</xm:f>
            <x14:dxf>
              <font>
                <color theme="1"/>
              </font>
              <fill>
                <patternFill>
                  <bgColor theme="7" tint="0.39994506668294322"/>
                </patternFill>
              </fill>
            </x14:dxf>
          </x14:cfRule>
          <x14:cfRule type="expression" priority="99" id="{B5669EAA-46AA-B442-8C66-BBA754230F3F}">
            <xm:f>OR(April!$C9="Skema 4")</xm:f>
            <x14:dxf>
              <font>
                <color theme="0"/>
              </font>
              <fill>
                <patternFill patternType="solid">
                  <bgColor theme="4" tint="-0.24994659260841701"/>
                </patternFill>
              </fill>
            </x14:dxf>
          </x14:cfRule>
          <x14:cfRule type="expression" priority="34" id="{F7F86131-32FE-9347-B5D5-F725FEF978B4}">
            <xm:f>OR(April!$C9="Skema 2")</xm:f>
            <x14:dxf>
              <font>
                <color theme="1"/>
              </font>
              <fill>
                <patternFill patternType="solid">
                  <bgColor theme="4" tint="0.59996337778862885"/>
                </patternFill>
              </fill>
            </x14:dxf>
          </x14:cfRule>
          <x14:cfRule type="expression" priority="35" id="{5A6B9A30-1A90-9941-8049-9AFA51BBF545}">
            <xm:f>OR(April!$C9="Skema 3")</xm:f>
            <x14:dxf>
              <font>
                <color theme="0"/>
              </font>
              <fill>
                <patternFill patternType="solid">
                  <bgColor theme="4" tint="0.39994506668294322"/>
                </patternFill>
              </fill>
            </x14:dxf>
          </x14:cfRule>
          <x14:cfRule type="expression" priority="4" id="{75A0D862-4B79-DF4C-96D7-975CDE41E26E}">
            <xm:f>OR(April!$C9="Orlov")</xm:f>
            <x14:dxf>
              <font>
                <color theme="0"/>
              </font>
              <fill>
                <patternFill patternType="solid">
                  <fgColor auto="1"/>
                  <bgColor theme="6" tint="-0.24994659260841701"/>
                </patternFill>
              </fill>
            </x14:dxf>
          </x14:cfRule>
          <x14:cfRule type="expression" priority="60" id="{13DCA5D4-CEB4-D246-9413-9A5820048ADC}">
            <xm:f>OR(April!$C9="Ikke relevant")</xm:f>
            <x14:dxf>
              <font>
                <color theme="0"/>
              </font>
              <fill>
                <patternFill>
                  <bgColor theme="1"/>
                </patternFill>
              </fill>
            </x14:dxf>
          </x14:cfRule>
          <x14:cfRule type="expression" priority="33" id="{14A961E6-D445-4F40-8552-BBA0BD72E551}">
            <xm:f>OR(April!$C9="Skema 1")</xm:f>
            <x14:dxf>
              <font>
                <color theme="1"/>
              </font>
              <fill>
                <patternFill patternType="solid">
                  <fgColor indexed="64"/>
                  <bgColor theme="4" tint="0.79998168889431442"/>
                </patternFill>
              </fill>
            </x14:dxf>
          </x14:cfRule>
          <xm:sqref>AG3:AJ32</xm:sqref>
        </x14:conditionalFormatting>
        <x14:conditionalFormatting xmlns:xm="http://schemas.microsoft.com/office/excel/2006/main">
          <x14:cfRule type="expression" priority="98" id="{7E59330B-96DB-C040-A14A-F1A2B9AB4318}">
            <xm:f>OR(Maj!$C9="weekend")</xm:f>
            <x14:dxf>
              <font>
                <color theme="1"/>
              </font>
              <fill>
                <patternFill>
                  <bgColor theme="0" tint="-0.14996795556505021"/>
                </patternFill>
              </fill>
            </x14:dxf>
          </x14:cfRule>
          <x14:cfRule type="expression" priority="97" id="{24A584C9-FA13-BC4C-A8C5-DF4D17D9AF79}">
            <xm:f>OR(Maj!$C9="feriedag")</xm:f>
            <x14:dxf>
              <font>
                <color theme="1"/>
              </font>
              <fill>
                <patternFill>
                  <bgColor theme="6" tint="0.39994506668294322"/>
                </patternFill>
              </fill>
            </x14:dxf>
          </x14:cfRule>
          <x14:cfRule type="expression" priority="96" id="{B865FFC3-5888-8F4D-9AC2-6B57A380533A}">
            <xm:f>OR(Maj!$C9="fagdag")</xm:f>
            <x14:dxf>
              <font>
                <color theme="1"/>
              </font>
              <fill>
                <patternFill>
                  <bgColor theme="9" tint="0.59996337778862885"/>
                </patternFill>
              </fill>
            </x14:dxf>
          </x14:cfRule>
          <x14:cfRule type="expression" priority="95" id="{ABF8F2CE-D51D-1244-8F14-515B5A35F404}">
            <xm:f>OR(Maj!$C9="emnedag")</xm:f>
            <x14:dxf>
              <font>
                <color theme="1"/>
              </font>
              <fill>
                <patternFill>
                  <bgColor theme="5" tint="0.59996337778862885"/>
                </patternFill>
              </fill>
            </x14:dxf>
          </x14:cfRule>
          <x14:cfRule type="expression" priority="94" id="{82085A1E-7917-F545-8F2E-513CBAD8F553}">
            <xm:f>OR(Maj!$C9="lejrskole")</xm:f>
            <x14:dxf>
              <font>
                <color theme="1"/>
              </font>
              <fill>
                <patternFill>
                  <bgColor theme="8" tint="0.59996337778862885"/>
                </patternFill>
              </fill>
            </x14:dxf>
          </x14:cfRule>
          <x14:cfRule type="expression" priority="93" id="{666D0556-E702-2341-A72E-2B9F13E7FC47}">
            <xm:f>OR(Maj!$C9="ekskursion")</xm:f>
            <x14:dxf>
              <font>
                <color theme="1"/>
              </font>
              <fill>
                <patternFill>
                  <bgColor rgb="FFFFFF00"/>
                </patternFill>
              </fill>
            </x14:dxf>
          </x14:cfRule>
          <x14:cfRule type="expression" priority="92" id="{A9DCD5EC-6BD7-1A4E-82F4-25BE1B79C7A4}">
            <xm:f>OR(Maj!$C9="Nul-dag")</xm:f>
            <x14:dxf>
              <font>
                <color theme="1"/>
              </font>
              <fill>
                <patternFill>
                  <bgColor theme="5" tint="0.79998168889431442"/>
                </patternFill>
              </fill>
            </x14:dxf>
          </x14:cfRule>
          <x14:cfRule type="expression" priority="91" id="{EE91C3FE-C161-E742-80B4-767D59F2B75D}">
            <xm:f>OR(Maj!$C9="SH-dag")</xm:f>
            <x14:dxf>
              <font>
                <color theme="1"/>
              </font>
              <fill>
                <patternFill>
                  <bgColor rgb="FFFF2F82"/>
                </patternFill>
              </fill>
            </x14:dxf>
          </x14:cfRule>
          <x14:cfRule type="expression" priority="90" id="{4CCE6509-99A2-FA48-B709-A287AFDCC9DF}">
            <xm:f>OR(Maj!$C9="pæd.dag")</xm:f>
            <x14:dxf>
              <font>
                <color theme="1"/>
              </font>
              <fill>
                <patternFill>
                  <bgColor theme="7" tint="0.39994506668294322"/>
                </patternFill>
              </fill>
            </x14:dxf>
          </x14:cfRule>
          <x14:cfRule type="expression" priority="89" id="{0DED5A84-E145-8B4F-8BC5-71CD36867E86}">
            <xm:f>OR(Maj!$C9="Skema 4")</xm:f>
            <x14:dxf>
              <font>
                <color theme="0"/>
              </font>
              <fill>
                <patternFill patternType="solid">
                  <bgColor theme="4" tint="-0.24994659260841701"/>
                </patternFill>
              </fill>
            </x14:dxf>
          </x14:cfRule>
          <x14:cfRule type="expression" priority="21" id="{D18964FE-CA8F-614A-98C3-89EAA97B6565}">
            <xm:f>OR(Maj!$C9="Skema 3")</xm:f>
            <x14:dxf>
              <font>
                <color theme="0"/>
              </font>
              <fill>
                <patternFill patternType="solid">
                  <bgColor theme="4" tint="0.39994506668294322"/>
                </patternFill>
              </fill>
            </x14:dxf>
          </x14:cfRule>
          <x14:cfRule type="expression" priority="20" id="{B24CCA6C-10FA-534E-863A-80455DF77438}">
            <xm:f>OR(Maj!$C9="Skema 2")</xm:f>
            <x14:dxf>
              <font>
                <color theme="1"/>
              </font>
              <fill>
                <patternFill patternType="solid">
                  <bgColor theme="4" tint="0.59996337778862885"/>
                </patternFill>
              </fill>
            </x14:dxf>
          </x14:cfRule>
          <x14:cfRule type="expression" priority="19" id="{BAC00EBF-56EA-1E46-BEB1-416A2EA92B89}">
            <xm:f>OR(Maj!$C9="Skema 1")</xm:f>
            <x14:dxf>
              <font>
                <color theme="1"/>
              </font>
              <fill>
                <patternFill patternType="solid">
                  <bgColor theme="4" tint="0.79998168889431442"/>
                </patternFill>
              </fill>
            </x14:dxf>
          </x14:cfRule>
          <x14:cfRule type="expression" priority="3" id="{2315DCF1-BF9F-D14B-9E32-21F5DAD750E3}">
            <xm:f>OR(Maj!$C9="Orlov")</xm:f>
            <x14:dxf>
              <font>
                <color theme="0"/>
              </font>
              <fill>
                <patternFill patternType="solid">
                  <bgColor theme="6" tint="-0.24994659260841701"/>
                </patternFill>
              </fill>
            </x14:dxf>
          </x14:cfRule>
          <x14:cfRule type="expression" priority="59" id="{9F40E627-AFD2-FC4B-80E0-F15C70A29DAE}">
            <xm:f>OR(Maj!$C9="Ikke relevant")</xm:f>
            <x14:dxf>
              <font>
                <color theme="0"/>
              </font>
              <fill>
                <patternFill>
                  <bgColor theme="1"/>
                </patternFill>
              </fill>
            </x14:dxf>
          </x14:cfRule>
          <xm:sqref>AK3:AN33</xm:sqref>
        </x14:conditionalFormatting>
        <x14:conditionalFormatting xmlns:xm="http://schemas.microsoft.com/office/excel/2006/main">
          <x14:cfRule type="expression" priority="84" id="{DB8EEB9E-E706-F047-91E6-DA12DC040947}">
            <xm:f>OR(Juni!$C9="lejrskole")</xm:f>
            <x14:dxf>
              <font>
                <color theme="1"/>
              </font>
              <fill>
                <patternFill>
                  <bgColor theme="8" tint="0.59996337778862885"/>
                </patternFill>
              </fill>
            </x14:dxf>
          </x14:cfRule>
          <x14:cfRule type="expression" priority="82" id="{537A0E4E-B81E-4042-9968-1A035F7EEA32}">
            <xm:f>OR(Juni!$C9="Nul-dag")</xm:f>
            <x14:dxf>
              <font>
                <color theme="1"/>
              </font>
              <fill>
                <patternFill>
                  <bgColor theme="5" tint="0.79998168889431442"/>
                </patternFill>
              </fill>
            </x14:dxf>
          </x14:cfRule>
          <x14:cfRule type="expression" priority="81" id="{3A3E5335-1566-8A40-BC4C-F00B268940A5}">
            <xm:f>OR(Juni!$C9="SH-dag")</xm:f>
            <x14:dxf>
              <font>
                <color theme="1"/>
              </font>
              <fill>
                <patternFill>
                  <bgColor rgb="FFFF2F82"/>
                </patternFill>
              </fill>
            </x14:dxf>
          </x14:cfRule>
          <x14:cfRule type="expression" priority="80" id="{4AC4C88E-D6F1-4A4D-A4DC-7907E1DC992F}">
            <xm:f>OR(Juni!$C9="pæd.dag")</xm:f>
            <x14:dxf>
              <font>
                <color theme="1"/>
              </font>
              <fill>
                <patternFill>
                  <bgColor theme="7" tint="0.39994506668294322"/>
                </patternFill>
              </fill>
            </x14:dxf>
          </x14:cfRule>
          <x14:cfRule type="expression" priority="79" id="{B9466E91-588B-1145-B919-736AF6B91180}">
            <xm:f>OR(Juni!$C9="Skema 4")</xm:f>
            <x14:dxf>
              <font>
                <color theme="0"/>
              </font>
              <fill>
                <patternFill patternType="solid">
                  <bgColor theme="4" tint="-0.24994659260841701"/>
                </patternFill>
              </fill>
            </x14:dxf>
          </x14:cfRule>
          <x14:cfRule type="expression" priority="2" id="{DD9FB78E-6E03-7949-8A2B-4A342624138D}">
            <xm:f>OR(Juni!$C9="Orlov")</xm:f>
            <x14:dxf>
              <font>
                <color theme="0"/>
              </font>
              <fill>
                <patternFill patternType="solid">
                  <fgColor indexed="64"/>
                  <bgColor theme="6" tint="-0.24994659260841701"/>
                </patternFill>
              </fill>
            </x14:dxf>
          </x14:cfRule>
          <x14:cfRule type="expression" priority="85" id="{3D769FF0-D4BB-2949-BA58-D3FBDD560B74}">
            <xm:f>OR(Juni!$C9="emnedag")</xm:f>
            <x14:dxf>
              <font>
                <color theme="1"/>
              </font>
              <fill>
                <patternFill>
                  <bgColor theme="5" tint="0.59996337778862885"/>
                </patternFill>
              </fill>
            </x14:dxf>
          </x14:cfRule>
          <x14:cfRule type="expression" priority="16" id="{805DF385-1BA7-F94D-BB28-D7AA163B94D3}">
            <xm:f>OR(Juni!$C9="Skema 1")</xm:f>
            <x14:dxf>
              <font>
                <color theme="1"/>
              </font>
              <fill>
                <patternFill patternType="solid">
                  <fgColor indexed="64"/>
                  <bgColor theme="4" tint="0.79998168889431442"/>
                </patternFill>
              </fill>
            </x14:dxf>
          </x14:cfRule>
          <x14:cfRule type="expression" priority="17" id="{6C44B821-4836-2642-9171-9698DDAB80D9}">
            <xm:f>OR(Juni!$C9="Skema 2")</xm:f>
            <x14:dxf>
              <font>
                <color theme="1"/>
              </font>
              <fill>
                <patternFill patternType="solid">
                  <bgColor theme="4" tint="0.59996337778862885"/>
                </patternFill>
              </fill>
            </x14:dxf>
          </x14:cfRule>
          <x14:cfRule type="expression" priority="18" id="{2A790725-BAF3-974B-B84C-7E16FC83C9C0}">
            <xm:f>OR(Juni!$C9="Skema 3")</xm:f>
            <x14:dxf>
              <font>
                <color theme="0"/>
              </font>
              <fill>
                <patternFill patternType="solid">
                  <bgColor theme="4" tint="0.39994506668294322"/>
                </patternFill>
              </fill>
            </x14:dxf>
          </x14:cfRule>
          <x14:cfRule type="expression" priority="86" id="{1D87371B-0089-B543-B1D8-3016783D4A31}">
            <xm:f>OR(Juni!$C9="fagdag")</xm:f>
            <x14:dxf>
              <font>
                <color theme="1"/>
              </font>
              <fill>
                <patternFill>
                  <bgColor theme="9" tint="0.59996337778862885"/>
                </patternFill>
              </fill>
            </x14:dxf>
          </x14:cfRule>
          <x14:cfRule type="expression" priority="87" id="{1B5E7828-6741-2143-A1C5-8297B143A2D3}">
            <xm:f>OR(Juni!$C9="feriedag")</xm:f>
            <x14:dxf>
              <font>
                <color theme="1"/>
              </font>
              <fill>
                <patternFill>
                  <bgColor theme="6" tint="0.39994506668294322"/>
                </patternFill>
              </fill>
            </x14:dxf>
          </x14:cfRule>
          <x14:cfRule type="expression" priority="88" id="{60DDF301-B355-D64D-895B-2BDBE9AD46CB}">
            <xm:f>OR(Juni!$C9="weekend")</xm:f>
            <x14:dxf>
              <font>
                <color theme="1"/>
              </font>
              <fill>
                <patternFill>
                  <bgColor theme="0" tint="-0.14996795556505021"/>
                </patternFill>
              </fill>
            </x14:dxf>
          </x14:cfRule>
          <x14:cfRule type="expression" priority="58" id="{0A1B34DB-0856-5042-814E-734C7A1043A1}">
            <xm:f>OR(Juni!$C9="Ikke relevant")</xm:f>
            <x14:dxf>
              <font>
                <color theme="0"/>
              </font>
              <fill>
                <patternFill>
                  <bgColor theme="1"/>
                </patternFill>
              </fill>
            </x14:dxf>
          </x14:cfRule>
          <x14:cfRule type="expression" priority="83" id="{39FBE78A-ECFD-E947-AD99-BF353344C554}">
            <xm:f>OR(Juni!$C9="ekskursion")</xm:f>
            <x14:dxf>
              <font>
                <color theme="1"/>
              </font>
              <fill>
                <patternFill>
                  <bgColor rgb="FFFFFF00"/>
                </patternFill>
              </fill>
            </x14:dxf>
          </x14:cfRule>
          <xm:sqref>AO3:AR32</xm:sqref>
        </x14:conditionalFormatting>
        <x14:conditionalFormatting xmlns:xm="http://schemas.microsoft.com/office/excel/2006/main">
          <x14:cfRule type="expression" priority="69" id="{DD788696-EA6F-AA40-9431-565F2EC8467C}">
            <xm:f>OR(Juli!$C9="Skema 4")</xm:f>
            <x14:dxf>
              <font>
                <color theme="0"/>
              </font>
              <fill>
                <patternFill patternType="solid">
                  <bgColor theme="4" tint="-0.24994659260841701"/>
                </patternFill>
              </fill>
            </x14:dxf>
          </x14:cfRule>
          <x14:cfRule type="expression" priority="70" id="{F4BC600F-6F50-8540-AA42-28D963EA94BE}">
            <xm:f>OR(Juli!$C9="pæd.dag")</xm:f>
            <x14:dxf>
              <font>
                <color theme="1"/>
              </font>
              <fill>
                <patternFill>
                  <bgColor theme="7" tint="0.39994506668294322"/>
                </patternFill>
              </fill>
            </x14:dxf>
          </x14:cfRule>
          <x14:cfRule type="expression" priority="57" id="{EFC9AD81-9D7F-8348-BA4D-22C47AD8259C}">
            <xm:f>OR(Juli!$C9="Ikke relevant")</xm:f>
            <x14:dxf>
              <font>
                <color theme="0"/>
              </font>
              <fill>
                <patternFill>
                  <bgColor theme="1"/>
                </patternFill>
              </fill>
            </x14:dxf>
          </x14:cfRule>
          <x14:cfRule type="expression" priority="71" id="{E5436F53-31EB-3244-A23B-402691DE6732}">
            <xm:f>OR(Juli!$C9="SH-dag")</xm:f>
            <x14:dxf>
              <font>
                <color theme="1"/>
              </font>
              <fill>
                <patternFill>
                  <bgColor rgb="FFFF2F82"/>
                </patternFill>
              </fill>
            </x14:dxf>
          </x14:cfRule>
          <x14:cfRule type="expression" priority="72" id="{8F3DFF6B-F0D6-3B46-9DAA-F8E4498CBBAB}">
            <xm:f>OR(Juli!$C9="Nul-dag")</xm:f>
            <x14:dxf>
              <font>
                <color theme="1"/>
              </font>
              <fill>
                <patternFill>
                  <bgColor theme="5" tint="0.79998168889431442"/>
                </patternFill>
              </fill>
            </x14:dxf>
          </x14:cfRule>
          <x14:cfRule type="expression" priority="73" id="{5DA8D5E7-74E3-0A45-813C-E354F9D32CC5}">
            <xm:f>OR(Juli!$C9="ekskursion")</xm:f>
            <x14:dxf>
              <font>
                <color theme="1"/>
              </font>
              <fill>
                <patternFill>
                  <bgColor rgb="FFFFFF00"/>
                </patternFill>
              </fill>
            </x14:dxf>
          </x14:cfRule>
          <x14:cfRule type="expression" priority="74" id="{E2BDBC6F-606D-DE49-9FAA-ADECC50DD0C4}">
            <xm:f>OR(Juli!$C9="lejrskole")</xm:f>
            <x14:dxf>
              <font>
                <color theme="1"/>
              </font>
              <fill>
                <patternFill>
                  <bgColor theme="8" tint="0.59996337778862885"/>
                </patternFill>
              </fill>
            </x14:dxf>
          </x14:cfRule>
          <x14:cfRule type="expression" priority="75" id="{42D5756F-6404-4B4B-B504-983F1E95C4DE}">
            <xm:f>OR(Juli!$C9="emnedag")</xm:f>
            <x14:dxf>
              <font>
                <color theme="1"/>
              </font>
              <fill>
                <patternFill>
                  <bgColor theme="5" tint="0.59996337778862885"/>
                </patternFill>
              </fill>
            </x14:dxf>
          </x14:cfRule>
          <x14:cfRule type="expression" priority="76" id="{4A50585A-46E7-C14D-A57F-625777D1D131}">
            <xm:f>OR(Juli!$C9="fagdag")</xm:f>
            <x14:dxf>
              <font>
                <color theme="1"/>
              </font>
              <fill>
                <patternFill>
                  <bgColor theme="9" tint="0.59996337778862885"/>
                </patternFill>
              </fill>
            </x14:dxf>
          </x14:cfRule>
          <x14:cfRule type="expression" priority="15" id="{B80C61EE-18B4-9D48-90B7-ACECD20D73F5}">
            <xm:f>OR(Juli!$C9="Skema 3")</xm:f>
            <x14:dxf>
              <font>
                <color theme="0"/>
              </font>
              <fill>
                <patternFill patternType="solid">
                  <bgColor theme="4" tint="0.39994506668294322"/>
                </patternFill>
              </fill>
            </x14:dxf>
          </x14:cfRule>
          <x14:cfRule type="expression" priority="14" id="{8A5B3FE1-EBFC-A04A-9492-2F2429165AC5}">
            <xm:f>OR(Juli!$C9="Skema 2")</xm:f>
            <x14:dxf>
              <font>
                <color theme="1"/>
              </font>
              <fill>
                <patternFill patternType="solid">
                  <bgColor theme="4" tint="0.59996337778862885"/>
                </patternFill>
              </fill>
            </x14:dxf>
          </x14:cfRule>
          <x14:cfRule type="expression" priority="13" id="{8BD64C64-9CD9-D84D-A525-D1C55CB5B2BD}">
            <xm:f>OR(Juli!$C9="Skema 1")</xm:f>
            <x14:dxf>
              <font>
                <color theme="1"/>
              </font>
              <fill>
                <patternFill patternType="solid">
                  <bgColor theme="4" tint="0.79998168889431442"/>
                </patternFill>
              </fill>
            </x14:dxf>
          </x14:cfRule>
          <x14:cfRule type="expression" priority="77" id="{D57FEC54-25BE-0941-AACE-37E91C55E9ED}">
            <xm:f>OR(Juli!$C9="feriedag")</xm:f>
            <x14:dxf>
              <font>
                <color theme="1"/>
              </font>
              <fill>
                <patternFill>
                  <bgColor theme="6" tint="0.39994506668294322"/>
                </patternFill>
              </fill>
            </x14:dxf>
          </x14:cfRule>
          <x14:cfRule type="expression" priority="78" id="{F32BF492-1A71-F04B-81AF-EF80576A4DAE}">
            <xm:f>OR(Juli!$C9="weekend")</xm:f>
            <x14:dxf>
              <font>
                <color theme="1"/>
              </font>
              <fill>
                <patternFill>
                  <bgColor theme="0" tint="-0.14996795556505021"/>
                </patternFill>
              </fill>
            </x14:dxf>
          </x14:cfRule>
          <x14:cfRule type="expression" priority="1" id="{2A4C769B-E6AC-6B44-BC58-01081A6A70AB}">
            <xm:f>OR(Juli!$C9="Orlov")</xm:f>
            <x14:dxf>
              <font>
                <color theme="0"/>
              </font>
              <fill>
                <patternFill patternType="solid">
                  <bgColor theme="6" tint="-0.24994659260841701"/>
                </patternFill>
              </fill>
            </x14:dxf>
          </x14:cfRule>
          <xm:sqref>AS3:AV33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topLeftCell="A6" zoomScale="50" zoomScaleNormal="80" zoomScalePageLayoutView="80" workbookViewId="0">
      <selection activeCell="D3" sqref="D3"/>
    </sheetView>
  </sheetViews>
  <sheetFormatPr baseColWidth="10" defaultRowHeight="36" customHeight="1"/>
  <cols>
    <col min="1" max="2" width="4.33203125" style="74" customWidth="1"/>
    <col min="3" max="3" width="8.33203125" style="75" customWidth="1"/>
    <col min="4" max="4" width="20.1640625" style="75" customWidth="1"/>
    <col min="5" max="5" width="4" style="73" customWidth="1"/>
    <col min="6" max="7" width="4.33203125" style="74" customWidth="1"/>
    <col min="8" max="8" width="8.33203125" style="75" customWidth="1"/>
    <col min="9" max="9" width="20.1640625" style="75" customWidth="1"/>
    <col min="10" max="10" width="4" style="73" customWidth="1"/>
    <col min="11" max="12" width="4.33203125" style="74" customWidth="1"/>
    <col min="13" max="13" width="8.5" style="75" customWidth="1"/>
    <col min="14" max="14" width="20.1640625" style="75" customWidth="1"/>
    <col min="15" max="15" width="4" style="73" customWidth="1"/>
    <col min="16" max="17" width="4.33203125" style="74" customWidth="1"/>
    <col min="18" max="18" width="8.5" style="75" customWidth="1"/>
    <col min="19" max="19" width="20.1640625" style="75" customWidth="1"/>
    <col min="20" max="20" width="3.5" style="73" customWidth="1"/>
    <col min="21" max="21" width="5.6640625" style="74" customWidth="1"/>
    <col min="22" max="22" width="4.33203125" style="74" customWidth="1"/>
    <col min="23" max="23" width="8.33203125" style="75" customWidth="1"/>
    <col min="24" max="24" width="20.33203125" style="75" customWidth="1"/>
    <col min="25" max="25" width="4" style="73" customWidth="1"/>
    <col min="26" max="27" width="4.33203125" style="74" customWidth="1"/>
    <col min="28" max="28" width="8.5" style="75" customWidth="1"/>
    <col min="29" max="29" width="20.33203125" style="75" customWidth="1"/>
    <col min="30" max="30" width="3.1640625" style="73" customWidth="1"/>
    <col min="31" max="34" width="10.83203125" style="62"/>
    <col min="35" max="35" width="26.6640625" style="62" customWidth="1"/>
    <col min="36" max="16384" width="10.83203125" style="62"/>
  </cols>
  <sheetData>
    <row r="1" spans="1:30" s="60" customFormat="1" ht="36" customHeight="1">
      <c r="A1" s="589" t="str">
        <f>"Halvårskalender for "&amp;Stamoplysninger!E8&amp;" vedr. skoleåret "&amp;Vejledning!B2&amp;""</f>
        <v>Halvårskalender for  vedr. skoleåret 2024-2025</v>
      </c>
      <c r="B1" s="590"/>
      <c r="C1" s="591"/>
      <c r="D1" s="591"/>
      <c r="E1" s="594"/>
      <c r="F1" s="593"/>
      <c r="G1" s="590"/>
      <c r="H1" s="591"/>
      <c r="I1" s="591"/>
      <c r="J1" s="594"/>
      <c r="K1" s="593"/>
      <c r="L1" s="590"/>
      <c r="M1" s="591"/>
      <c r="N1" s="591"/>
      <c r="O1" s="594"/>
      <c r="P1" s="593"/>
      <c r="Q1" s="590"/>
      <c r="R1" s="591"/>
      <c r="S1" s="591"/>
      <c r="T1" s="594"/>
      <c r="U1" s="593"/>
      <c r="V1" s="590"/>
      <c r="W1" s="591"/>
      <c r="X1" s="591"/>
      <c r="Y1" s="594"/>
      <c r="Z1" s="593"/>
      <c r="AA1" s="590"/>
      <c r="AB1" s="591"/>
      <c r="AC1" s="591"/>
      <c r="AD1" s="592"/>
    </row>
    <row r="2" spans="1:30" s="61" customFormat="1" ht="23" customHeight="1">
      <c r="A2" s="578" t="s">
        <v>91</v>
      </c>
      <c r="B2" s="579"/>
      <c r="C2" s="580"/>
      <c r="D2" s="580"/>
      <c r="E2" s="581"/>
      <c r="F2" s="582" t="s">
        <v>92</v>
      </c>
      <c r="G2" s="579"/>
      <c r="H2" s="580"/>
      <c r="I2" s="580"/>
      <c r="J2" s="581"/>
      <c r="K2" s="583" t="s">
        <v>93</v>
      </c>
      <c r="L2" s="579"/>
      <c r="M2" s="580"/>
      <c r="N2" s="580"/>
      <c r="O2" s="581"/>
      <c r="P2" s="578" t="s">
        <v>94</v>
      </c>
      <c r="Q2" s="579"/>
      <c r="R2" s="580"/>
      <c r="S2" s="580"/>
      <c r="T2" s="581"/>
      <c r="U2" s="578" t="s">
        <v>95</v>
      </c>
      <c r="V2" s="579"/>
      <c r="W2" s="580"/>
      <c r="X2" s="580"/>
      <c r="Y2" s="581"/>
      <c r="Z2" s="578" t="s">
        <v>96</v>
      </c>
      <c r="AA2" s="579"/>
      <c r="AB2" s="580"/>
      <c r="AC2" s="580"/>
      <c r="AD2" s="581"/>
    </row>
    <row r="3" spans="1:30" ht="35" customHeight="1">
      <c r="A3" s="568">
        <f>Aar!A3</f>
        <v>1</v>
      </c>
      <c r="B3" s="127" t="str">
        <f>Aar!B3</f>
        <v>to</v>
      </c>
      <c r="C3" s="128" t="str">
        <f>August!C10</f>
        <v>Feriedag</v>
      </c>
      <c r="D3" s="575" t="str">
        <f>August!DN10</f>
        <v>Sommerferie</v>
      </c>
      <c r="E3" s="571" t="str">
        <f>Aar!D3</f>
        <v/>
      </c>
      <c r="F3" s="127">
        <f>Aar!E3</f>
        <v>1</v>
      </c>
      <c r="G3" s="127" t="str">
        <f>Aar!F3</f>
        <v>sø</v>
      </c>
      <c r="H3" s="128" t="str">
        <f>September!C9</f>
        <v>Weekend</v>
      </c>
      <c r="I3" s="575" t="str">
        <f>September!DN9</f>
        <v/>
      </c>
      <c r="J3" s="571" t="str">
        <f>Aar!H3</f>
        <v/>
      </c>
      <c r="K3" s="127">
        <f>Aar!I3</f>
        <v>1</v>
      </c>
      <c r="L3" s="127" t="str">
        <f>Aar!J3</f>
        <v>ti</v>
      </c>
      <c r="M3" s="128" t="str">
        <f>Oktober!C9</f>
        <v>Skema 1</v>
      </c>
      <c r="N3" s="575" t="str">
        <f>Oktober!DN9</f>
        <v/>
      </c>
      <c r="O3" s="570" t="str">
        <f>Aar!L3</f>
        <v/>
      </c>
      <c r="P3" s="568">
        <f>Aar!M3</f>
        <v>1</v>
      </c>
      <c r="Q3" s="127" t="str">
        <f>Aar!N3</f>
        <v>fr</v>
      </c>
      <c r="R3" s="128" t="str">
        <f>November!C9</f>
        <v>Skema 1</v>
      </c>
      <c r="S3" s="577" t="str">
        <f>November!DN9</f>
        <v/>
      </c>
      <c r="T3" s="571" t="str">
        <f>Aar!P3</f>
        <v/>
      </c>
      <c r="U3" s="568">
        <f>Aar!Q3</f>
        <v>1</v>
      </c>
      <c r="V3" s="127" t="str">
        <f>Aar!R3</f>
        <v>sø</v>
      </c>
      <c r="W3" s="128" t="str">
        <f>December!C9</f>
        <v>Weekend</v>
      </c>
      <c r="X3" s="575" t="str">
        <f>December!DN9</f>
        <v/>
      </c>
      <c r="Y3" s="571" t="str">
        <f>Aar!T3</f>
        <v/>
      </c>
      <c r="Z3" s="568">
        <f>Aar!U3</f>
        <v>1</v>
      </c>
      <c r="AA3" s="127" t="str">
        <f>Aar!V3</f>
        <v>on</v>
      </c>
      <c r="AB3" s="128" t="str">
        <f>Januar!C9</f>
        <v>SH-dag</v>
      </c>
      <c r="AC3" s="575" t="str">
        <f>Januar!DN9</f>
        <v>Nytårsdag</v>
      </c>
      <c r="AD3" s="571" t="str">
        <f>Aar!X3</f>
        <v/>
      </c>
    </row>
    <row r="4" spans="1:30" ht="35" customHeight="1">
      <c r="A4" s="568">
        <f>Aar!A4</f>
        <v>2</v>
      </c>
      <c r="B4" s="127" t="str">
        <f>Aar!B4</f>
        <v>fr</v>
      </c>
      <c r="C4" s="128" t="str">
        <f>August!C11</f>
        <v>Feriedag</v>
      </c>
      <c r="D4" s="575" t="str">
        <f>August!DN11</f>
        <v>Sommerferie</v>
      </c>
      <c r="E4" s="571" t="str">
        <f>Aar!D4</f>
        <v/>
      </c>
      <c r="F4" s="127">
        <f>Aar!E4</f>
        <v>2</v>
      </c>
      <c r="G4" s="127" t="str">
        <f>Aar!F4</f>
        <v>ma</v>
      </c>
      <c r="H4" s="128" t="str">
        <f>September!C10</f>
        <v>Skema 1</v>
      </c>
      <c r="I4" s="575" t="str">
        <f>September!DN10</f>
        <v/>
      </c>
      <c r="J4" s="571">
        <f>Aar!H4</f>
        <v>36</v>
      </c>
      <c r="K4" s="127">
        <f>Aar!I4</f>
        <v>2</v>
      </c>
      <c r="L4" s="127" t="str">
        <f>Aar!J4</f>
        <v>on</v>
      </c>
      <c r="M4" s="128" t="str">
        <f>Oktober!C10</f>
        <v>Skema 1</v>
      </c>
      <c r="N4" s="575" t="str">
        <f>Oktober!DN10</f>
        <v/>
      </c>
      <c r="O4" s="570" t="str">
        <f>Aar!L4</f>
        <v/>
      </c>
      <c r="P4" s="568">
        <f>Aar!M4</f>
        <v>2</v>
      </c>
      <c r="Q4" s="127" t="str">
        <f>Aar!N4</f>
        <v>lø</v>
      </c>
      <c r="R4" s="128" t="str">
        <f>November!C10</f>
        <v>Weekend</v>
      </c>
      <c r="S4" s="577" t="str">
        <f>November!DN10</f>
        <v/>
      </c>
      <c r="T4" s="571" t="str">
        <f>Aar!P4</f>
        <v/>
      </c>
      <c r="U4" s="568">
        <f>Aar!Q4</f>
        <v>2</v>
      </c>
      <c r="V4" s="127" t="str">
        <f>Aar!R4</f>
        <v>ma</v>
      </c>
      <c r="W4" s="128" t="str">
        <f>December!C10</f>
        <v>Skema 1</v>
      </c>
      <c r="X4" s="575" t="str">
        <f>December!DN10</f>
        <v/>
      </c>
      <c r="Y4" s="571">
        <f>Aar!T4</f>
        <v>49</v>
      </c>
      <c r="Z4" s="568">
        <f>Aar!U4</f>
        <v>2</v>
      </c>
      <c r="AA4" s="127" t="str">
        <f>Aar!V4</f>
        <v>to</v>
      </c>
      <c r="AB4" s="128" t="str">
        <f>Januar!C10</f>
        <v>Nul-dag</v>
      </c>
      <c r="AC4" s="575" t="str">
        <f>Januar!DN10</f>
        <v/>
      </c>
      <c r="AD4" s="571" t="str">
        <f>Aar!X4</f>
        <v/>
      </c>
    </row>
    <row r="5" spans="1:30" ht="35" customHeight="1">
      <c r="A5" s="568">
        <f>Aar!A5</f>
        <v>3</v>
      </c>
      <c r="B5" s="127" t="str">
        <f>Aar!B5</f>
        <v>lø</v>
      </c>
      <c r="C5" s="128" t="str">
        <f>August!C12</f>
        <v>Weekend</v>
      </c>
      <c r="D5" s="575" t="str">
        <f>August!DN12</f>
        <v/>
      </c>
      <c r="E5" s="571" t="str">
        <f>Aar!D5</f>
        <v/>
      </c>
      <c r="F5" s="127">
        <f>Aar!E5</f>
        <v>3</v>
      </c>
      <c r="G5" s="127" t="str">
        <f>Aar!F5</f>
        <v>ti</v>
      </c>
      <c r="H5" s="128" t="str">
        <f>September!C11</f>
        <v>Skema 1</v>
      </c>
      <c r="I5" s="575" t="str">
        <f>September!DN11</f>
        <v/>
      </c>
      <c r="J5" s="571" t="str">
        <f>Aar!H5</f>
        <v/>
      </c>
      <c r="K5" s="127">
        <f>Aar!I5</f>
        <v>3</v>
      </c>
      <c r="L5" s="127" t="str">
        <f>Aar!J5</f>
        <v>to</v>
      </c>
      <c r="M5" s="128" t="str">
        <f>Oktober!C11</f>
        <v>Skema 1</v>
      </c>
      <c r="N5" s="575" t="str">
        <f>Oktober!DN11</f>
        <v/>
      </c>
      <c r="O5" s="570" t="str">
        <f>Aar!L5</f>
        <v/>
      </c>
      <c r="P5" s="568">
        <f>Aar!M5</f>
        <v>3</v>
      </c>
      <c r="Q5" s="127" t="str">
        <f>Aar!N5</f>
        <v>sø</v>
      </c>
      <c r="R5" s="128" t="str">
        <f>November!C11</f>
        <v>Weekend</v>
      </c>
      <c r="S5" s="577" t="str">
        <f>November!DN11</f>
        <v/>
      </c>
      <c r="T5" s="571" t="str">
        <f>Aar!P5</f>
        <v/>
      </c>
      <c r="U5" s="568">
        <f>Aar!Q5</f>
        <v>3</v>
      </c>
      <c r="V5" s="127" t="str">
        <f>Aar!R5</f>
        <v>ti</v>
      </c>
      <c r="W5" s="128" t="str">
        <f>December!C11</f>
        <v>Skema 1</v>
      </c>
      <c r="X5" s="575" t="str">
        <f>December!DN11</f>
        <v/>
      </c>
      <c r="Y5" s="571" t="str">
        <f>Aar!T5</f>
        <v/>
      </c>
      <c r="Z5" s="568">
        <f>Aar!U5</f>
        <v>3</v>
      </c>
      <c r="AA5" s="127" t="str">
        <f>Aar!V5</f>
        <v>fr</v>
      </c>
      <c r="AB5" s="128" t="str">
        <f>Januar!C11</f>
        <v>Nul-dag</v>
      </c>
      <c r="AC5" s="575" t="str">
        <f>Januar!DN11</f>
        <v/>
      </c>
      <c r="AD5" s="571" t="str">
        <f>Aar!X5</f>
        <v/>
      </c>
    </row>
    <row r="6" spans="1:30" ht="35" customHeight="1">
      <c r="A6" s="568">
        <f>Aar!A6</f>
        <v>4</v>
      </c>
      <c r="B6" s="127" t="str">
        <f>Aar!B6</f>
        <v>sø</v>
      </c>
      <c r="C6" s="128" t="str">
        <f>August!C13</f>
        <v>Weekend</v>
      </c>
      <c r="D6" s="575" t="str">
        <f>August!DN13</f>
        <v/>
      </c>
      <c r="E6" s="571" t="str">
        <f>Aar!D6</f>
        <v/>
      </c>
      <c r="F6" s="127">
        <f>Aar!E6</f>
        <v>4</v>
      </c>
      <c r="G6" s="127" t="str">
        <f>Aar!F6</f>
        <v>on</v>
      </c>
      <c r="H6" s="128" t="str">
        <f>September!C12</f>
        <v>Skema 1</v>
      </c>
      <c r="I6" s="575" t="str">
        <f>September!DN12</f>
        <v/>
      </c>
      <c r="J6" s="571" t="str">
        <f>Aar!H6</f>
        <v/>
      </c>
      <c r="K6" s="127">
        <f>Aar!I6</f>
        <v>4</v>
      </c>
      <c r="L6" s="127" t="str">
        <f>Aar!J6</f>
        <v>fr</v>
      </c>
      <c r="M6" s="128" t="str">
        <f>Oktober!C12</f>
        <v>Skema 1</v>
      </c>
      <c r="N6" s="575" t="str">
        <f>Oktober!DN12</f>
        <v/>
      </c>
      <c r="O6" s="570" t="str">
        <f>Aar!L6</f>
        <v/>
      </c>
      <c r="P6" s="568">
        <f>Aar!M6</f>
        <v>4</v>
      </c>
      <c r="Q6" s="127" t="str">
        <f>Aar!N6</f>
        <v>ma</v>
      </c>
      <c r="R6" s="128" t="str">
        <f>November!C12</f>
        <v>Skema 1</v>
      </c>
      <c r="S6" s="577" t="str">
        <f>November!DN12</f>
        <v/>
      </c>
      <c r="T6" s="571">
        <f>Aar!P6</f>
        <v>45</v>
      </c>
      <c r="U6" s="568">
        <f>Aar!Q6</f>
        <v>4</v>
      </c>
      <c r="V6" s="127" t="str">
        <f>Aar!R6</f>
        <v>on</v>
      </c>
      <c r="W6" s="128" t="str">
        <f>December!C12</f>
        <v>Skema 1</v>
      </c>
      <c r="X6" s="575" t="str">
        <f>December!DN12</f>
        <v/>
      </c>
      <c r="Y6" s="571" t="str">
        <f>Aar!T6</f>
        <v/>
      </c>
      <c r="Z6" s="568">
        <f>Aar!U6</f>
        <v>4</v>
      </c>
      <c r="AA6" s="127" t="str">
        <f>Aar!V6</f>
        <v>lø</v>
      </c>
      <c r="AB6" s="128" t="str">
        <f>Januar!C12</f>
        <v>Weekend</v>
      </c>
      <c r="AC6" s="575" t="str">
        <f>Januar!DN12</f>
        <v/>
      </c>
      <c r="AD6" s="571" t="str">
        <f>Aar!X6</f>
        <v/>
      </c>
    </row>
    <row r="7" spans="1:30" ht="35" customHeight="1">
      <c r="A7" s="568">
        <f>Aar!A7</f>
        <v>5</v>
      </c>
      <c r="B7" s="127" t="str">
        <f>Aar!B7</f>
        <v>ma</v>
      </c>
      <c r="C7" s="128" t="str">
        <f>August!C14</f>
        <v>Nul-dag</v>
      </c>
      <c r="D7" s="575" t="str">
        <f>August!DN14</f>
        <v/>
      </c>
      <c r="E7" s="571">
        <f>Aar!D7</f>
        <v>32</v>
      </c>
      <c r="F7" s="127">
        <f>Aar!E7</f>
        <v>5</v>
      </c>
      <c r="G7" s="127" t="str">
        <f>Aar!F7</f>
        <v>to</v>
      </c>
      <c r="H7" s="128" t="str">
        <f>September!C13</f>
        <v>Skema 1</v>
      </c>
      <c r="I7" s="575" t="str">
        <f>September!DN13</f>
        <v/>
      </c>
      <c r="J7" s="571" t="str">
        <f>Aar!H7</f>
        <v/>
      </c>
      <c r="K7" s="127">
        <f>Aar!I7</f>
        <v>5</v>
      </c>
      <c r="L7" s="127" t="str">
        <f>Aar!J7</f>
        <v>lø</v>
      </c>
      <c r="M7" s="128" t="str">
        <f>Oktober!C13</f>
        <v>Weekend</v>
      </c>
      <c r="N7" s="575" t="str">
        <f>Oktober!DN13</f>
        <v/>
      </c>
      <c r="O7" s="570" t="str">
        <f>Aar!L7</f>
        <v/>
      </c>
      <c r="P7" s="568">
        <f>Aar!M7</f>
        <v>5</v>
      </c>
      <c r="Q7" s="127" t="str">
        <f>Aar!N7</f>
        <v>ti</v>
      </c>
      <c r="R7" s="128" t="str">
        <f>November!C13</f>
        <v>Skema 1</v>
      </c>
      <c r="S7" s="577" t="str">
        <f>November!DN13</f>
        <v/>
      </c>
      <c r="T7" s="571" t="str">
        <f>Aar!P7</f>
        <v/>
      </c>
      <c r="U7" s="568">
        <f>Aar!Q7</f>
        <v>5</v>
      </c>
      <c r="V7" s="127" t="str">
        <f>Aar!R7</f>
        <v>to</v>
      </c>
      <c r="W7" s="128" t="str">
        <f>December!C13</f>
        <v>Skema 1</v>
      </c>
      <c r="X7" s="575" t="str">
        <f>December!DN13</f>
        <v/>
      </c>
      <c r="Y7" s="571" t="str">
        <f>Aar!T7</f>
        <v/>
      </c>
      <c r="Z7" s="568">
        <f>Aar!U7</f>
        <v>5</v>
      </c>
      <c r="AA7" s="127" t="str">
        <f>Aar!V7</f>
        <v>sø</v>
      </c>
      <c r="AB7" s="128" t="str">
        <f>Januar!C13</f>
        <v>Weekend</v>
      </c>
      <c r="AC7" s="575" t="str">
        <f>Januar!DN13</f>
        <v/>
      </c>
      <c r="AD7" s="571" t="str">
        <f>Aar!X7</f>
        <v/>
      </c>
    </row>
    <row r="8" spans="1:30" ht="35" customHeight="1">
      <c r="A8" s="568">
        <f>Aar!A8</f>
        <v>6</v>
      </c>
      <c r="B8" s="127" t="str">
        <f>Aar!B8</f>
        <v>ti</v>
      </c>
      <c r="C8" s="128" t="str">
        <f>August!C15</f>
        <v>Nul-dag</v>
      </c>
      <c r="D8" s="575" t="str">
        <f>August!DN15</f>
        <v/>
      </c>
      <c r="E8" s="571" t="str">
        <f>Aar!D8</f>
        <v/>
      </c>
      <c r="F8" s="127">
        <f>Aar!E8</f>
        <v>6</v>
      </c>
      <c r="G8" s="127" t="str">
        <f>Aar!F8</f>
        <v>fr</v>
      </c>
      <c r="H8" s="128" t="str">
        <f>September!C14</f>
        <v>Skema 1</v>
      </c>
      <c r="I8" s="575" t="str">
        <f>September!DN14</f>
        <v/>
      </c>
      <c r="J8" s="571" t="str">
        <f>Aar!H8</f>
        <v/>
      </c>
      <c r="K8" s="127">
        <f>Aar!I8</f>
        <v>6</v>
      </c>
      <c r="L8" s="127" t="str">
        <f>Aar!J8</f>
        <v>sø</v>
      </c>
      <c r="M8" s="128" t="str">
        <f>Oktober!C14</f>
        <v>Weekend</v>
      </c>
      <c r="N8" s="575" t="str">
        <f>Oktober!DN14</f>
        <v/>
      </c>
      <c r="O8" s="570" t="str">
        <f>Aar!L8</f>
        <v/>
      </c>
      <c r="P8" s="568">
        <f>Aar!M8</f>
        <v>6</v>
      </c>
      <c r="Q8" s="127" t="str">
        <f>Aar!N8</f>
        <v>on</v>
      </c>
      <c r="R8" s="128" t="str">
        <f>November!C14</f>
        <v>Skema 1</v>
      </c>
      <c r="S8" s="577" t="str">
        <f>November!DN14</f>
        <v/>
      </c>
      <c r="T8" s="571" t="str">
        <f>Aar!P8</f>
        <v/>
      </c>
      <c r="U8" s="568">
        <f>Aar!Q8</f>
        <v>6</v>
      </c>
      <c r="V8" s="127" t="str">
        <f>Aar!R8</f>
        <v>fr</v>
      </c>
      <c r="W8" s="128" t="str">
        <f>December!C14</f>
        <v>Skema 1</v>
      </c>
      <c r="X8" s="575" t="str">
        <f>December!DN14</f>
        <v/>
      </c>
      <c r="Y8" s="571" t="str">
        <f>Aar!T8</f>
        <v/>
      </c>
      <c r="Z8" s="568">
        <f>Aar!U8</f>
        <v>6</v>
      </c>
      <c r="AA8" s="127" t="str">
        <f>Aar!V8</f>
        <v>ma</v>
      </c>
      <c r="AB8" s="128" t="str">
        <f>Januar!C14</f>
        <v>Skema 1</v>
      </c>
      <c r="AC8" s="575" t="str">
        <f>Januar!DN14</f>
        <v/>
      </c>
      <c r="AD8" s="571">
        <f>Aar!X8</f>
        <v>1.7142857142857142</v>
      </c>
    </row>
    <row r="9" spans="1:30" ht="35" customHeight="1">
      <c r="A9" s="568">
        <f>Aar!A9</f>
        <v>7</v>
      </c>
      <c r="B9" s="127" t="str">
        <f>Aar!B9</f>
        <v>on</v>
      </c>
      <c r="C9" s="128" t="str">
        <f>August!C16</f>
        <v>Nul-dag</v>
      </c>
      <c r="D9" s="575" t="str">
        <f>August!DN16</f>
        <v/>
      </c>
      <c r="E9" s="571" t="str">
        <f>Aar!D9</f>
        <v/>
      </c>
      <c r="F9" s="127">
        <f>Aar!E9</f>
        <v>7</v>
      </c>
      <c r="G9" s="127" t="str">
        <f>Aar!F9</f>
        <v>lø</v>
      </c>
      <c r="H9" s="128" t="str">
        <f>September!C15</f>
        <v>Weekend</v>
      </c>
      <c r="I9" s="575" t="str">
        <f>September!DN15</f>
        <v/>
      </c>
      <c r="J9" s="571" t="str">
        <f>Aar!H9</f>
        <v/>
      </c>
      <c r="K9" s="127">
        <f>Aar!I9</f>
        <v>7</v>
      </c>
      <c r="L9" s="127" t="str">
        <f>Aar!J9</f>
        <v>ma</v>
      </c>
      <c r="M9" s="128" t="str">
        <f>Oktober!C15</f>
        <v>Skema 1</v>
      </c>
      <c r="N9" s="575" t="str">
        <f>Oktober!DN15</f>
        <v/>
      </c>
      <c r="O9" s="570">
        <f>Aar!L9</f>
        <v>41</v>
      </c>
      <c r="P9" s="568">
        <f>Aar!M9</f>
        <v>7</v>
      </c>
      <c r="Q9" s="127" t="str">
        <f>Aar!N9</f>
        <v>to</v>
      </c>
      <c r="R9" s="128" t="str">
        <f>November!C15</f>
        <v>Skema 1</v>
      </c>
      <c r="S9" s="577" t="str">
        <f>November!DN15</f>
        <v/>
      </c>
      <c r="T9" s="571" t="str">
        <f>Aar!P9</f>
        <v/>
      </c>
      <c r="U9" s="568">
        <f>Aar!Q9</f>
        <v>7</v>
      </c>
      <c r="V9" s="127" t="str">
        <f>Aar!R9</f>
        <v>lø</v>
      </c>
      <c r="W9" s="128" t="str">
        <f>December!C15</f>
        <v>Weekend</v>
      </c>
      <c r="X9" s="575" t="str">
        <f>December!DN15</f>
        <v/>
      </c>
      <c r="Y9" s="571" t="str">
        <f>Aar!T9</f>
        <v/>
      </c>
      <c r="Z9" s="568">
        <f>Aar!U9</f>
        <v>7</v>
      </c>
      <c r="AA9" s="127" t="str">
        <f>Aar!V9</f>
        <v>ti</v>
      </c>
      <c r="AB9" s="128" t="str">
        <f>Januar!C15</f>
        <v>Skema 1</v>
      </c>
      <c r="AC9" s="575" t="str">
        <f>Januar!DN15</f>
        <v/>
      </c>
      <c r="AD9" s="571" t="str">
        <f>Aar!X9</f>
        <v/>
      </c>
    </row>
    <row r="10" spans="1:30" ht="35" customHeight="1">
      <c r="A10" s="568">
        <f>Aar!A10</f>
        <v>8</v>
      </c>
      <c r="B10" s="127" t="str">
        <f>Aar!B10</f>
        <v>to</v>
      </c>
      <c r="C10" s="128" t="str">
        <f>August!C17</f>
        <v>Nul-dag</v>
      </c>
      <c r="D10" s="575" t="str">
        <f>August!DN17</f>
        <v/>
      </c>
      <c r="E10" s="571" t="str">
        <f>Aar!D10</f>
        <v/>
      </c>
      <c r="F10" s="127">
        <f>Aar!E10</f>
        <v>8</v>
      </c>
      <c r="G10" s="127" t="str">
        <f>Aar!F10</f>
        <v>sø</v>
      </c>
      <c r="H10" s="128" t="str">
        <f>September!C16</f>
        <v>Weekend</v>
      </c>
      <c r="I10" s="575" t="str">
        <f>September!DN16</f>
        <v/>
      </c>
      <c r="J10" s="571" t="str">
        <f>Aar!H10</f>
        <v/>
      </c>
      <c r="K10" s="127">
        <f>Aar!I10</f>
        <v>8</v>
      </c>
      <c r="L10" s="127" t="str">
        <f>Aar!J10</f>
        <v>ti</v>
      </c>
      <c r="M10" s="128" t="str">
        <f>Oktober!C16</f>
        <v>Skema 1</v>
      </c>
      <c r="N10" s="575" t="str">
        <f>Oktober!DN16</f>
        <v/>
      </c>
      <c r="O10" s="570" t="str">
        <f>Aar!L10</f>
        <v/>
      </c>
      <c r="P10" s="568">
        <f>Aar!M10</f>
        <v>8</v>
      </c>
      <c r="Q10" s="127" t="str">
        <f>Aar!N10</f>
        <v>fr</v>
      </c>
      <c r="R10" s="128" t="str">
        <f>November!C16</f>
        <v>Skema 1</v>
      </c>
      <c r="S10" s="577" t="str">
        <f>November!DN16</f>
        <v/>
      </c>
      <c r="T10" s="571" t="str">
        <f>Aar!P10</f>
        <v/>
      </c>
      <c r="U10" s="568">
        <f>Aar!Q10</f>
        <v>8</v>
      </c>
      <c r="V10" s="127" t="str">
        <f>Aar!R10</f>
        <v>sø</v>
      </c>
      <c r="W10" s="128" t="str">
        <f>December!C16</f>
        <v>Weekend</v>
      </c>
      <c r="X10" s="575" t="str">
        <f>December!DN16</f>
        <v/>
      </c>
      <c r="Y10" s="571" t="str">
        <f>Aar!T10</f>
        <v/>
      </c>
      <c r="Z10" s="568">
        <f>Aar!U10</f>
        <v>8</v>
      </c>
      <c r="AA10" s="127" t="str">
        <f>Aar!V10</f>
        <v>on</v>
      </c>
      <c r="AB10" s="128" t="str">
        <f>Januar!C16</f>
        <v>Skema 1</v>
      </c>
      <c r="AC10" s="575" t="str">
        <f>Januar!DN16</f>
        <v/>
      </c>
      <c r="AD10" s="571" t="str">
        <f>Aar!X10</f>
        <v/>
      </c>
    </row>
    <row r="11" spans="1:30" ht="35" customHeight="1">
      <c r="A11" s="568">
        <f>Aar!A11</f>
        <v>9</v>
      </c>
      <c r="B11" s="127" t="str">
        <f>Aar!B11</f>
        <v>fr</v>
      </c>
      <c r="C11" s="128" t="str">
        <f>August!C18</f>
        <v>Nul-dag</v>
      </c>
      <c r="D11" s="575" t="str">
        <f>August!DN18</f>
        <v/>
      </c>
      <c r="E11" s="571" t="str">
        <f>Aar!D11</f>
        <v/>
      </c>
      <c r="F11" s="127">
        <f>Aar!E11</f>
        <v>9</v>
      </c>
      <c r="G11" s="127" t="str">
        <f>Aar!F11</f>
        <v>ma</v>
      </c>
      <c r="H11" s="128" t="str">
        <f>September!C17</f>
        <v>Skema 1</v>
      </c>
      <c r="I11" s="575" t="str">
        <f>September!DN17</f>
        <v/>
      </c>
      <c r="J11" s="571">
        <f>Aar!H11</f>
        <v>37</v>
      </c>
      <c r="K11" s="127">
        <f>Aar!I11</f>
        <v>9</v>
      </c>
      <c r="L11" s="127" t="str">
        <f>Aar!J11</f>
        <v>on</v>
      </c>
      <c r="M11" s="128" t="str">
        <f>Oktober!C17</f>
        <v>Skema 1</v>
      </c>
      <c r="N11" s="575" t="str">
        <f>Oktober!DN17</f>
        <v/>
      </c>
      <c r="O11" s="570" t="str">
        <f>Aar!L11</f>
        <v/>
      </c>
      <c r="P11" s="568">
        <f>Aar!M11</f>
        <v>9</v>
      </c>
      <c r="Q11" s="127" t="str">
        <f>Aar!N11</f>
        <v>lø</v>
      </c>
      <c r="R11" s="128" t="str">
        <f>November!C17</f>
        <v>Weekend</v>
      </c>
      <c r="S11" s="577" t="str">
        <f>November!DN17</f>
        <v/>
      </c>
      <c r="T11" s="571" t="str">
        <f>Aar!P11</f>
        <v/>
      </c>
      <c r="U11" s="568">
        <f>Aar!Q11</f>
        <v>9</v>
      </c>
      <c r="V11" s="127" t="str">
        <f>Aar!R11</f>
        <v>ma</v>
      </c>
      <c r="W11" s="128" t="str">
        <f>December!C17</f>
        <v>Skema 1</v>
      </c>
      <c r="X11" s="575" t="str">
        <f>December!DN17</f>
        <v/>
      </c>
      <c r="Y11" s="571">
        <f>Aar!T11</f>
        <v>50</v>
      </c>
      <c r="Z11" s="568">
        <f>Aar!U11</f>
        <v>9</v>
      </c>
      <c r="AA11" s="127" t="str">
        <f>Aar!V11</f>
        <v>to</v>
      </c>
      <c r="AB11" s="128" t="str">
        <f>Januar!C17</f>
        <v>Skema 1</v>
      </c>
      <c r="AC11" s="575" t="str">
        <f>Januar!DN17</f>
        <v/>
      </c>
      <c r="AD11" s="571" t="str">
        <f>Aar!X11</f>
        <v/>
      </c>
    </row>
    <row r="12" spans="1:30" ht="35" customHeight="1">
      <c r="A12" s="568">
        <f>Aar!A12</f>
        <v>10</v>
      </c>
      <c r="B12" s="127" t="str">
        <f>Aar!B12</f>
        <v>lø</v>
      </c>
      <c r="C12" s="128" t="str">
        <f>August!C19</f>
        <v>Weekend</v>
      </c>
      <c r="D12" s="575" t="str">
        <f>August!DN19</f>
        <v/>
      </c>
      <c r="E12" s="571" t="str">
        <f>Aar!D12</f>
        <v/>
      </c>
      <c r="F12" s="127">
        <f>Aar!E12</f>
        <v>10</v>
      </c>
      <c r="G12" s="127" t="str">
        <f>Aar!F12</f>
        <v>ti</v>
      </c>
      <c r="H12" s="128" t="str">
        <f>September!C18</f>
        <v>Skema 1</v>
      </c>
      <c r="I12" s="575" t="str">
        <f>September!DN18</f>
        <v/>
      </c>
      <c r="J12" s="571" t="str">
        <f>Aar!H12</f>
        <v/>
      </c>
      <c r="K12" s="127">
        <f>Aar!I12</f>
        <v>10</v>
      </c>
      <c r="L12" s="127" t="str">
        <f>Aar!J12</f>
        <v>to</v>
      </c>
      <c r="M12" s="128" t="str">
        <f>Oktober!C18</f>
        <v>Skema 1</v>
      </c>
      <c r="N12" s="575" t="str">
        <f>Oktober!DN18</f>
        <v/>
      </c>
      <c r="O12" s="570" t="str">
        <f>Aar!L12</f>
        <v/>
      </c>
      <c r="P12" s="568">
        <f>Aar!M12</f>
        <v>10</v>
      </c>
      <c r="Q12" s="127" t="str">
        <f>Aar!N12</f>
        <v>sø</v>
      </c>
      <c r="R12" s="128" t="str">
        <f>November!C18</f>
        <v>Weekend</v>
      </c>
      <c r="S12" s="577" t="str">
        <f>November!DN18</f>
        <v/>
      </c>
      <c r="T12" s="571" t="str">
        <f>Aar!P12</f>
        <v/>
      </c>
      <c r="U12" s="568">
        <f>Aar!Q12</f>
        <v>10</v>
      </c>
      <c r="V12" s="127" t="str">
        <f>Aar!R12</f>
        <v>ti</v>
      </c>
      <c r="W12" s="128" t="str">
        <f>December!C18</f>
        <v>Skema 1</v>
      </c>
      <c r="X12" s="575" t="str">
        <f>December!DN18</f>
        <v/>
      </c>
      <c r="Y12" s="571" t="str">
        <f>Aar!T12</f>
        <v/>
      </c>
      <c r="Z12" s="568">
        <f>Aar!U12</f>
        <v>10</v>
      </c>
      <c r="AA12" s="127" t="str">
        <f>Aar!V12</f>
        <v>fr</v>
      </c>
      <c r="AB12" s="128" t="str">
        <f>Januar!C18</f>
        <v>Skema 1</v>
      </c>
      <c r="AC12" s="575" t="str">
        <f>Januar!DN18</f>
        <v/>
      </c>
      <c r="AD12" s="571" t="str">
        <f>Aar!X12</f>
        <v/>
      </c>
    </row>
    <row r="13" spans="1:30" ht="35" customHeight="1">
      <c r="A13" s="568">
        <f>Aar!A13</f>
        <v>11</v>
      </c>
      <c r="B13" s="127" t="str">
        <f>Aar!B13</f>
        <v>sø</v>
      </c>
      <c r="C13" s="128" t="str">
        <f>August!C20</f>
        <v>Weekend</v>
      </c>
      <c r="D13" s="575" t="str">
        <f>August!DN20</f>
        <v/>
      </c>
      <c r="E13" s="571" t="str">
        <f>Aar!D13</f>
        <v/>
      </c>
      <c r="F13" s="127">
        <f>Aar!E13</f>
        <v>11</v>
      </c>
      <c r="G13" s="127" t="str">
        <f>Aar!F13</f>
        <v>on</v>
      </c>
      <c r="H13" s="128" t="str">
        <f>September!C19</f>
        <v>Skema 1</v>
      </c>
      <c r="I13" s="575" t="str">
        <f>September!DN19</f>
        <v/>
      </c>
      <c r="J13" s="571" t="str">
        <f>Aar!H13</f>
        <v/>
      </c>
      <c r="K13" s="127">
        <f>Aar!I13</f>
        <v>11</v>
      </c>
      <c r="L13" s="127" t="str">
        <f>Aar!J13</f>
        <v>fr</v>
      </c>
      <c r="M13" s="128" t="str">
        <f>Oktober!C19</f>
        <v>Skema 1</v>
      </c>
      <c r="N13" s="575" t="str">
        <f>Oktober!DN19</f>
        <v/>
      </c>
      <c r="O13" s="570" t="str">
        <f>Aar!L13</f>
        <v/>
      </c>
      <c r="P13" s="568">
        <f>Aar!M13</f>
        <v>11</v>
      </c>
      <c r="Q13" s="127" t="str">
        <f>Aar!N13</f>
        <v>ma</v>
      </c>
      <c r="R13" s="128" t="str">
        <f>November!C19</f>
        <v>Skema 1</v>
      </c>
      <c r="S13" s="577" t="str">
        <f>November!DN19</f>
        <v/>
      </c>
      <c r="T13" s="571">
        <f>Aar!P13</f>
        <v>46</v>
      </c>
      <c r="U13" s="568">
        <f>Aar!Q13</f>
        <v>11</v>
      </c>
      <c r="V13" s="127" t="str">
        <f>Aar!R13</f>
        <v>on</v>
      </c>
      <c r="W13" s="128" t="str">
        <f>December!C19</f>
        <v>Skema 1</v>
      </c>
      <c r="X13" s="575" t="str">
        <f>December!DN19</f>
        <v/>
      </c>
      <c r="Y13" s="571" t="str">
        <f>Aar!T13</f>
        <v/>
      </c>
      <c r="Z13" s="568">
        <f>Aar!U13</f>
        <v>11</v>
      </c>
      <c r="AA13" s="127" t="str">
        <f>Aar!V13</f>
        <v>lø</v>
      </c>
      <c r="AB13" s="128" t="str">
        <f>Januar!C19</f>
        <v>Weekend</v>
      </c>
      <c r="AC13" s="575" t="str">
        <f>Januar!DN19</f>
        <v/>
      </c>
      <c r="AD13" s="571" t="str">
        <f>Aar!X13</f>
        <v/>
      </c>
    </row>
    <row r="14" spans="1:30" ht="35" customHeight="1">
      <c r="A14" s="568">
        <f>Aar!A14</f>
        <v>12</v>
      </c>
      <c r="B14" s="127" t="str">
        <f>Aar!B14</f>
        <v>ma</v>
      </c>
      <c r="C14" s="128" t="str">
        <f>August!C21</f>
        <v>Skema 1</v>
      </c>
      <c r="D14" s="575" t="str">
        <f>August!DN21</f>
        <v/>
      </c>
      <c r="E14" s="571">
        <f>Aar!D14</f>
        <v>33</v>
      </c>
      <c r="F14" s="127">
        <f>Aar!E14</f>
        <v>12</v>
      </c>
      <c r="G14" s="127" t="str">
        <f>Aar!F14</f>
        <v>to</v>
      </c>
      <c r="H14" s="128" t="str">
        <f>September!C20</f>
        <v>Skema 1</v>
      </c>
      <c r="I14" s="575" t="str">
        <f>September!DN20</f>
        <v/>
      </c>
      <c r="J14" s="571" t="str">
        <f>Aar!H14</f>
        <v/>
      </c>
      <c r="K14" s="127">
        <f>Aar!I14</f>
        <v>12</v>
      </c>
      <c r="L14" s="127" t="str">
        <f>Aar!J14</f>
        <v>lø</v>
      </c>
      <c r="M14" s="128" t="str">
        <f>Oktober!C20</f>
        <v>Weekend</v>
      </c>
      <c r="N14" s="575" t="str">
        <f>Oktober!DN20</f>
        <v/>
      </c>
      <c r="O14" s="570" t="str">
        <f>Aar!L14</f>
        <v/>
      </c>
      <c r="P14" s="568">
        <f>Aar!M14</f>
        <v>12</v>
      </c>
      <c r="Q14" s="127" t="str">
        <f>Aar!N14</f>
        <v>ti</v>
      </c>
      <c r="R14" s="128" t="str">
        <f>November!C20</f>
        <v>Skema 1</v>
      </c>
      <c r="S14" s="577" t="str">
        <f>November!DN20</f>
        <v/>
      </c>
      <c r="T14" s="571" t="str">
        <f>Aar!P14</f>
        <v/>
      </c>
      <c r="U14" s="568">
        <f>Aar!Q14</f>
        <v>12</v>
      </c>
      <c r="V14" s="127" t="str">
        <f>Aar!R14</f>
        <v>to</v>
      </c>
      <c r="W14" s="128" t="str">
        <f>December!C20</f>
        <v>Skema 1</v>
      </c>
      <c r="X14" s="575" t="str">
        <f>December!DN20</f>
        <v/>
      </c>
      <c r="Y14" s="571" t="str">
        <f>Aar!T14</f>
        <v/>
      </c>
      <c r="Z14" s="568">
        <f>Aar!U14</f>
        <v>12</v>
      </c>
      <c r="AA14" s="127" t="str">
        <f>Aar!V14</f>
        <v>sø</v>
      </c>
      <c r="AB14" s="128" t="str">
        <f>Januar!C20</f>
        <v>Weekend</v>
      </c>
      <c r="AC14" s="575" t="str">
        <f>Januar!DN20</f>
        <v/>
      </c>
      <c r="AD14" s="571" t="str">
        <f>Aar!X14</f>
        <v/>
      </c>
    </row>
    <row r="15" spans="1:30" ht="35" customHeight="1">
      <c r="A15" s="568">
        <f>Aar!A15</f>
        <v>13</v>
      </c>
      <c r="B15" s="127" t="str">
        <f>Aar!B15</f>
        <v>ti</v>
      </c>
      <c r="C15" s="128" t="str">
        <f>August!C22</f>
        <v>Skema 1</v>
      </c>
      <c r="D15" s="575" t="str">
        <f>August!DN22</f>
        <v/>
      </c>
      <c r="E15" s="571" t="str">
        <f>Aar!D15</f>
        <v/>
      </c>
      <c r="F15" s="127">
        <f>Aar!E15</f>
        <v>13</v>
      </c>
      <c r="G15" s="127" t="str">
        <f>Aar!F15</f>
        <v>fr</v>
      </c>
      <c r="H15" s="128" t="str">
        <f>September!C21</f>
        <v>Skema 1</v>
      </c>
      <c r="I15" s="575" t="str">
        <f>September!DN21</f>
        <v/>
      </c>
      <c r="J15" s="571" t="str">
        <f>Aar!H15</f>
        <v/>
      </c>
      <c r="K15" s="127">
        <f>Aar!I15</f>
        <v>13</v>
      </c>
      <c r="L15" s="127" t="str">
        <f>Aar!J15</f>
        <v>sø</v>
      </c>
      <c r="M15" s="128" t="str">
        <f>Oktober!C21</f>
        <v>Weekend</v>
      </c>
      <c r="N15" s="575" t="str">
        <f>Oktober!DN21</f>
        <v/>
      </c>
      <c r="O15" s="570" t="str">
        <f>Aar!L15</f>
        <v/>
      </c>
      <c r="P15" s="568">
        <f>Aar!M15</f>
        <v>13</v>
      </c>
      <c r="Q15" s="127" t="str">
        <f>Aar!N15</f>
        <v>on</v>
      </c>
      <c r="R15" s="128" t="str">
        <f>November!C21</f>
        <v>Skema 1</v>
      </c>
      <c r="S15" s="577" t="str">
        <f>November!DN21</f>
        <v/>
      </c>
      <c r="T15" s="571" t="str">
        <f>Aar!P15</f>
        <v/>
      </c>
      <c r="U15" s="568">
        <f>Aar!Q15</f>
        <v>13</v>
      </c>
      <c r="V15" s="127" t="str">
        <f>Aar!R15</f>
        <v>fr</v>
      </c>
      <c r="W15" s="128" t="str">
        <f>December!C21</f>
        <v>Skema 1</v>
      </c>
      <c r="X15" s="575" t="str">
        <f>December!DN21</f>
        <v/>
      </c>
      <c r="Y15" s="571" t="str">
        <f>Aar!T15</f>
        <v/>
      </c>
      <c r="Z15" s="568">
        <f>Aar!U15</f>
        <v>13</v>
      </c>
      <c r="AA15" s="127" t="str">
        <f>Aar!V15</f>
        <v>ma</v>
      </c>
      <c r="AB15" s="128" t="str">
        <f>Januar!C21</f>
        <v>Skema 1</v>
      </c>
      <c r="AC15" s="575" t="str">
        <f>Januar!DN21</f>
        <v/>
      </c>
      <c r="AD15" s="571">
        <f>Aar!X15</f>
        <v>2.7142857142857144</v>
      </c>
    </row>
    <row r="16" spans="1:30" ht="35" customHeight="1">
      <c r="A16" s="568">
        <f>Aar!A16</f>
        <v>14</v>
      </c>
      <c r="B16" s="127" t="str">
        <f>Aar!B16</f>
        <v>on</v>
      </c>
      <c r="C16" s="128" t="str">
        <f>August!C23</f>
        <v>Skema 1</v>
      </c>
      <c r="D16" s="575" t="str">
        <f>August!DN23</f>
        <v/>
      </c>
      <c r="E16" s="571" t="str">
        <f>Aar!D16</f>
        <v/>
      </c>
      <c r="F16" s="127">
        <f>Aar!E16</f>
        <v>14</v>
      </c>
      <c r="G16" s="127" t="str">
        <f>Aar!F16</f>
        <v>lø</v>
      </c>
      <c r="H16" s="128" t="str">
        <f>September!C22</f>
        <v>Weekend</v>
      </c>
      <c r="I16" s="575" t="str">
        <f>September!DN22</f>
        <v/>
      </c>
      <c r="J16" s="571" t="str">
        <f>Aar!H16</f>
        <v/>
      </c>
      <c r="K16" s="127">
        <f>Aar!I16</f>
        <v>14</v>
      </c>
      <c r="L16" s="127" t="str">
        <f>Aar!J16</f>
        <v>ma</v>
      </c>
      <c r="M16" s="128" t="str">
        <f>Oktober!C22</f>
        <v>Feriedag</v>
      </c>
      <c r="N16" s="575" t="str">
        <f>Oktober!DN22</f>
        <v>Efterårsferie</v>
      </c>
      <c r="O16" s="570">
        <f>Aar!L16</f>
        <v>42</v>
      </c>
      <c r="P16" s="568">
        <f>Aar!M16</f>
        <v>14</v>
      </c>
      <c r="Q16" s="127" t="str">
        <f>Aar!N16</f>
        <v>to</v>
      </c>
      <c r="R16" s="128" t="str">
        <f>November!C22</f>
        <v>Skema 1</v>
      </c>
      <c r="S16" s="577" t="str">
        <f>November!DN22</f>
        <v/>
      </c>
      <c r="T16" s="571" t="str">
        <f>Aar!P16</f>
        <v/>
      </c>
      <c r="U16" s="568">
        <f>Aar!Q16</f>
        <v>14</v>
      </c>
      <c r="V16" s="127" t="str">
        <f>Aar!R16</f>
        <v>lø</v>
      </c>
      <c r="W16" s="128" t="str">
        <f>December!C22</f>
        <v>Weekend</v>
      </c>
      <c r="X16" s="575" t="str">
        <f>December!DN22</f>
        <v/>
      </c>
      <c r="Y16" s="571" t="str">
        <f>Aar!T16</f>
        <v/>
      </c>
      <c r="Z16" s="568">
        <f>Aar!U16</f>
        <v>14</v>
      </c>
      <c r="AA16" s="127" t="str">
        <f>Aar!V16</f>
        <v>ti</v>
      </c>
      <c r="AB16" s="128" t="str">
        <f>Januar!C22</f>
        <v>Skema 1</v>
      </c>
      <c r="AC16" s="575" t="str">
        <f>Januar!DN22</f>
        <v/>
      </c>
      <c r="AD16" s="571" t="str">
        <f>Aar!X16</f>
        <v/>
      </c>
    </row>
    <row r="17" spans="1:30" ht="35" customHeight="1">
      <c r="A17" s="568">
        <f>Aar!A17</f>
        <v>15</v>
      </c>
      <c r="B17" s="127" t="str">
        <f>Aar!B17</f>
        <v>to</v>
      </c>
      <c r="C17" s="128" t="str">
        <f>August!C24</f>
        <v>Skema 1</v>
      </c>
      <c r="D17" s="575" t="str">
        <f>August!DN24</f>
        <v/>
      </c>
      <c r="E17" s="571" t="str">
        <f>Aar!D17</f>
        <v/>
      </c>
      <c r="F17" s="127">
        <f>Aar!E17</f>
        <v>15</v>
      </c>
      <c r="G17" s="127" t="str">
        <f>Aar!F17</f>
        <v>sø</v>
      </c>
      <c r="H17" s="128" t="str">
        <f>September!C23</f>
        <v>Weekend</v>
      </c>
      <c r="I17" s="575" t="str">
        <f>September!DN23</f>
        <v/>
      </c>
      <c r="J17" s="571" t="str">
        <f>Aar!H17</f>
        <v/>
      </c>
      <c r="K17" s="127">
        <f>Aar!I17</f>
        <v>15</v>
      </c>
      <c r="L17" s="127" t="str">
        <f>Aar!J17</f>
        <v>ti</v>
      </c>
      <c r="M17" s="128" t="str">
        <f>Oktober!C23</f>
        <v>Feriedag</v>
      </c>
      <c r="N17" s="575" t="str">
        <f>Oktober!DN23</f>
        <v>Efterårsferie</v>
      </c>
      <c r="O17" s="570" t="str">
        <f>Aar!L17</f>
        <v/>
      </c>
      <c r="P17" s="568">
        <f>Aar!M17</f>
        <v>15</v>
      </c>
      <c r="Q17" s="127" t="str">
        <f>Aar!N17</f>
        <v>fr</v>
      </c>
      <c r="R17" s="128" t="str">
        <f>November!C23</f>
        <v>Skema 1</v>
      </c>
      <c r="S17" s="577" t="str">
        <f>November!DN23</f>
        <v/>
      </c>
      <c r="T17" s="571" t="str">
        <f>Aar!P17</f>
        <v/>
      </c>
      <c r="U17" s="568">
        <f>Aar!Q17</f>
        <v>15</v>
      </c>
      <c r="V17" s="127" t="str">
        <f>Aar!R17</f>
        <v>sø</v>
      </c>
      <c r="W17" s="128" t="str">
        <f>December!C23</f>
        <v>Weekend</v>
      </c>
      <c r="X17" s="575" t="str">
        <f>December!DN23</f>
        <v/>
      </c>
      <c r="Y17" s="571" t="str">
        <f>Aar!T17</f>
        <v/>
      </c>
      <c r="Z17" s="568">
        <f>Aar!U17</f>
        <v>15</v>
      </c>
      <c r="AA17" s="127" t="str">
        <f>Aar!V17</f>
        <v>on</v>
      </c>
      <c r="AB17" s="128" t="str">
        <f>Januar!C23</f>
        <v>Skema 1</v>
      </c>
      <c r="AC17" s="575" t="str">
        <f>Januar!DN23</f>
        <v/>
      </c>
      <c r="AD17" s="571" t="str">
        <f>Aar!X17</f>
        <v/>
      </c>
    </row>
    <row r="18" spans="1:30" ht="35" customHeight="1">
      <c r="A18" s="568">
        <f>Aar!A18</f>
        <v>16</v>
      </c>
      <c r="B18" s="127" t="str">
        <f>Aar!B18</f>
        <v>fr</v>
      </c>
      <c r="C18" s="128" t="str">
        <f>August!C25</f>
        <v>Skema 1</v>
      </c>
      <c r="D18" s="575" t="str">
        <f>August!DN25</f>
        <v/>
      </c>
      <c r="E18" s="571" t="str">
        <f>Aar!D18</f>
        <v/>
      </c>
      <c r="F18" s="127">
        <f>Aar!E18</f>
        <v>16</v>
      </c>
      <c r="G18" s="127" t="str">
        <f>Aar!F18</f>
        <v>ma</v>
      </c>
      <c r="H18" s="128" t="str">
        <f>September!C24</f>
        <v>Skema 1</v>
      </c>
      <c r="I18" s="575" t="str">
        <f>September!DN24</f>
        <v/>
      </c>
      <c r="J18" s="571">
        <f>Aar!H18</f>
        <v>38</v>
      </c>
      <c r="K18" s="127">
        <f>Aar!I18</f>
        <v>16</v>
      </c>
      <c r="L18" s="127" t="str">
        <f>Aar!J18</f>
        <v>on</v>
      </c>
      <c r="M18" s="128" t="str">
        <f>Oktober!C24</f>
        <v>Feriedag</v>
      </c>
      <c r="N18" s="575" t="str">
        <f>Oktober!DN24</f>
        <v>Efterårsferie</v>
      </c>
      <c r="O18" s="570" t="str">
        <f>Aar!L18</f>
        <v/>
      </c>
      <c r="P18" s="568">
        <f>Aar!M18</f>
        <v>16</v>
      </c>
      <c r="Q18" s="127" t="str">
        <f>Aar!N18</f>
        <v>lø</v>
      </c>
      <c r="R18" s="128" t="str">
        <f>November!C24</f>
        <v>Weekend</v>
      </c>
      <c r="S18" s="577" t="str">
        <f>November!DN24</f>
        <v/>
      </c>
      <c r="T18" s="571" t="str">
        <f>Aar!P18</f>
        <v/>
      </c>
      <c r="U18" s="568">
        <f>Aar!Q18</f>
        <v>16</v>
      </c>
      <c r="V18" s="127" t="str">
        <f>Aar!R18</f>
        <v>ma</v>
      </c>
      <c r="W18" s="128" t="str">
        <f>December!C24</f>
        <v>Skema 1</v>
      </c>
      <c r="X18" s="575" t="str">
        <f>December!DN24</f>
        <v/>
      </c>
      <c r="Y18" s="571">
        <f>Aar!T18</f>
        <v>51</v>
      </c>
      <c r="Z18" s="568">
        <f>Aar!U18</f>
        <v>16</v>
      </c>
      <c r="AA18" s="127" t="str">
        <f>Aar!V18</f>
        <v>to</v>
      </c>
      <c r="AB18" s="128" t="str">
        <f>Januar!C24</f>
        <v>Skema 1</v>
      </c>
      <c r="AC18" s="575" t="str">
        <f>Januar!DN24</f>
        <v/>
      </c>
      <c r="AD18" s="571" t="str">
        <f>Aar!X18</f>
        <v/>
      </c>
    </row>
    <row r="19" spans="1:30" ht="35" customHeight="1">
      <c r="A19" s="568">
        <f>Aar!A19</f>
        <v>17</v>
      </c>
      <c r="B19" s="127" t="str">
        <f>Aar!B19</f>
        <v>lø</v>
      </c>
      <c r="C19" s="128" t="str">
        <f>August!C26</f>
        <v>Weekend</v>
      </c>
      <c r="D19" s="575" t="str">
        <f>August!DN26</f>
        <v/>
      </c>
      <c r="E19" s="571" t="str">
        <f>Aar!D19</f>
        <v/>
      </c>
      <c r="F19" s="127">
        <f>Aar!E19</f>
        <v>17</v>
      </c>
      <c r="G19" s="127" t="str">
        <f>Aar!F19</f>
        <v>ti</v>
      </c>
      <c r="H19" s="128" t="str">
        <f>September!C25</f>
        <v>Skema 1</v>
      </c>
      <c r="I19" s="575" t="str">
        <f>September!DN25</f>
        <v/>
      </c>
      <c r="J19" s="571" t="str">
        <f>Aar!H19</f>
        <v/>
      </c>
      <c r="K19" s="127">
        <f>Aar!I19</f>
        <v>17</v>
      </c>
      <c r="L19" s="127" t="str">
        <f>Aar!J19</f>
        <v>to</v>
      </c>
      <c r="M19" s="128" t="str">
        <f>Oktober!C25</f>
        <v>Feriedag</v>
      </c>
      <c r="N19" s="575" t="str">
        <f>Oktober!DN25</f>
        <v>Efterårsferie</v>
      </c>
      <c r="O19" s="570" t="str">
        <f>Aar!L19</f>
        <v/>
      </c>
      <c r="P19" s="568">
        <f>Aar!M19</f>
        <v>17</v>
      </c>
      <c r="Q19" s="127" t="str">
        <f>Aar!N19</f>
        <v>sø</v>
      </c>
      <c r="R19" s="128" t="str">
        <f>November!C25</f>
        <v>Weekend</v>
      </c>
      <c r="S19" s="577" t="str">
        <f>November!DN25</f>
        <v/>
      </c>
      <c r="T19" s="571" t="str">
        <f>Aar!P19</f>
        <v/>
      </c>
      <c r="U19" s="568">
        <f>Aar!Q19</f>
        <v>17</v>
      </c>
      <c r="V19" s="127" t="str">
        <f>Aar!R19</f>
        <v>ti</v>
      </c>
      <c r="W19" s="128" t="str">
        <f>December!C25</f>
        <v>Skema 1</v>
      </c>
      <c r="X19" s="575" t="str">
        <f>December!DN25</f>
        <v/>
      </c>
      <c r="Y19" s="571" t="str">
        <f>Aar!T19</f>
        <v/>
      </c>
      <c r="Z19" s="568">
        <f>Aar!U19</f>
        <v>17</v>
      </c>
      <c r="AA19" s="127" t="str">
        <f>Aar!V19</f>
        <v>fr</v>
      </c>
      <c r="AB19" s="128" t="str">
        <f>Januar!C25</f>
        <v>Skema 1</v>
      </c>
      <c r="AC19" s="575" t="str">
        <f>Januar!DN25</f>
        <v/>
      </c>
      <c r="AD19" s="571" t="str">
        <f>Aar!X19</f>
        <v/>
      </c>
    </row>
    <row r="20" spans="1:30" ht="35" customHeight="1">
      <c r="A20" s="568">
        <f>Aar!A20</f>
        <v>18</v>
      </c>
      <c r="B20" s="127" t="str">
        <f>Aar!B20</f>
        <v>sø</v>
      </c>
      <c r="C20" s="128" t="str">
        <f>August!C27</f>
        <v>Weekend</v>
      </c>
      <c r="D20" s="575" t="str">
        <f>August!DN27</f>
        <v/>
      </c>
      <c r="E20" s="571" t="str">
        <f>Aar!D20</f>
        <v/>
      </c>
      <c r="F20" s="127">
        <f>Aar!E20</f>
        <v>18</v>
      </c>
      <c r="G20" s="127" t="str">
        <f>Aar!F20</f>
        <v>on</v>
      </c>
      <c r="H20" s="128" t="str">
        <f>September!C26</f>
        <v>Skema 1</v>
      </c>
      <c r="I20" s="575" t="str">
        <f>September!DN26</f>
        <v/>
      </c>
      <c r="J20" s="571" t="str">
        <f>Aar!H20</f>
        <v/>
      </c>
      <c r="K20" s="127">
        <f>Aar!I20</f>
        <v>18</v>
      </c>
      <c r="L20" s="127" t="str">
        <f>Aar!J20</f>
        <v>fr</v>
      </c>
      <c r="M20" s="128" t="str">
        <f>Oktober!C26</f>
        <v>Feriedag</v>
      </c>
      <c r="N20" s="575" t="str">
        <f>Oktober!DN26</f>
        <v>Efterårsferie</v>
      </c>
      <c r="O20" s="570" t="str">
        <f>Aar!L20</f>
        <v/>
      </c>
      <c r="P20" s="568">
        <f>Aar!M20</f>
        <v>18</v>
      </c>
      <c r="Q20" s="127" t="str">
        <f>Aar!N20</f>
        <v>ma</v>
      </c>
      <c r="R20" s="128" t="str">
        <f>November!C26</f>
        <v>Skema 1</v>
      </c>
      <c r="S20" s="577" t="str">
        <f>November!DN26</f>
        <v/>
      </c>
      <c r="T20" s="571">
        <f>Aar!P20</f>
        <v>47</v>
      </c>
      <c r="U20" s="568">
        <f>Aar!Q20</f>
        <v>18</v>
      </c>
      <c r="V20" s="127" t="str">
        <f>Aar!R20</f>
        <v>on</v>
      </c>
      <c r="W20" s="128" t="str">
        <f>December!C26</f>
        <v>Skema 1</v>
      </c>
      <c r="X20" s="575" t="str">
        <f>December!DN26</f>
        <v/>
      </c>
      <c r="Y20" s="571" t="str">
        <f>Aar!T20</f>
        <v/>
      </c>
      <c r="Z20" s="568">
        <f>Aar!U20</f>
        <v>18</v>
      </c>
      <c r="AA20" s="127" t="str">
        <f>Aar!V20</f>
        <v>lø</v>
      </c>
      <c r="AB20" s="128" t="str">
        <f>Januar!C26</f>
        <v>Weekend</v>
      </c>
      <c r="AC20" s="575" t="str">
        <f>Januar!DN26</f>
        <v/>
      </c>
      <c r="AD20" s="571" t="str">
        <f>Aar!X20</f>
        <v/>
      </c>
    </row>
    <row r="21" spans="1:30" ht="35" customHeight="1">
      <c r="A21" s="568">
        <f>Aar!A21</f>
        <v>19</v>
      </c>
      <c r="B21" s="127" t="str">
        <f>Aar!B21</f>
        <v>ma</v>
      </c>
      <c r="C21" s="128" t="str">
        <f>August!C28</f>
        <v>Skema 1</v>
      </c>
      <c r="D21" s="575" t="str">
        <f>August!DN28</f>
        <v/>
      </c>
      <c r="E21" s="571">
        <f>Aar!D21</f>
        <v>34</v>
      </c>
      <c r="F21" s="127">
        <f>Aar!E21</f>
        <v>19</v>
      </c>
      <c r="G21" s="127" t="str">
        <f>Aar!F21</f>
        <v>to</v>
      </c>
      <c r="H21" s="128" t="str">
        <f>September!C27</f>
        <v>Skema 1</v>
      </c>
      <c r="I21" s="575" t="str">
        <f>September!DN27</f>
        <v/>
      </c>
      <c r="J21" s="571" t="str">
        <f>Aar!H21</f>
        <v/>
      </c>
      <c r="K21" s="127">
        <f>Aar!I21</f>
        <v>19</v>
      </c>
      <c r="L21" s="127" t="str">
        <f>Aar!J21</f>
        <v>lø</v>
      </c>
      <c r="M21" s="128" t="str">
        <f>Oktober!C27</f>
        <v>Weekend</v>
      </c>
      <c r="N21" s="575" t="str">
        <f>Oktober!DN27</f>
        <v/>
      </c>
      <c r="O21" s="570" t="str">
        <f>Aar!L21</f>
        <v/>
      </c>
      <c r="P21" s="568">
        <f>Aar!M21</f>
        <v>19</v>
      </c>
      <c r="Q21" s="127" t="str">
        <f>Aar!N21</f>
        <v>ti</v>
      </c>
      <c r="R21" s="128" t="str">
        <f>November!C27</f>
        <v>Skema 1</v>
      </c>
      <c r="S21" s="577" t="str">
        <f>November!DN27</f>
        <v/>
      </c>
      <c r="T21" s="571" t="str">
        <f>Aar!P21</f>
        <v/>
      </c>
      <c r="U21" s="568">
        <f>Aar!Q21</f>
        <v>19</v>
      </c>
      <c r="V21" s="127" t="str">
        <f>Aar!R21</f>
        <v>to</v>
      </c>
      <c r="W21" s="128" t="str">
        <f>December!C27</f>
        <v>Skema 1</v>
      </c>
      <c r="X21" s="575" t="str">
        <f>December!DN27</f>
        <v/>
      </c>
      <c r="Y21" s="571" t="str">
        <f>Aar!T21</f>
        <v/>
      </c>
      <c r="Z21" s="568">
        <f>Aar!U21</f>
        <v>19</v>
      </c>
      <c r="AA21" s="127" t="str">
        <f>Aar!V21</f>
        <v>sø</v>
      </c>
      <c r="AB21" s="128" t="str">
        <f>Januar!C27</f>
        <v>Weekend</v>
      </c>
      <c r="AC21" s="575" t="str">
        <f>Januar!DN27</f>
        <v/>
      </c>
      <c r="AD21" s="571" t="str">
        <f>Aar!X21</f>
        <v/>
      </c>
    </row>
    <row r="22" spans="1:30" ht="35" customHeight="1">
      <c r="A22" s="568">
        <f>Aar!A22</f>
        <v>20</v>
      </c>
      <c r="B22" s="127" t="str">
        <f>Aar!B22</f>
        <v>ti</v>
      </c>
      <c r="C22" s="128" t="str">
        <f>August!C29</f>
        <v>Skema 1</v>
      </c>
      <c r="D22" s="575" t="str">
        <f>August!DN29</f>
        <v/>
      </c>
      <c r="E22" s="571" t="str">
        <f>Aar!D22</f>
        <v/>
      </c>
      <c r="F22" s="127">
        <f>Aar!E22</f>
        <v>20</v>
      </c>
      <c r="G22" s="127" t="str">
        <f>Aar!F22</f>
        <v>fr</v>
      </c>
      <c r="H22" s="128" t="str">
        <f>September!C28</f>
        <v>Skema 1</v>
      </c>
      <c r="I22" s="575" t="str">
        <f>September!DN28</f>
        <v/>
      </c>
      <c r="J22" s="571" t="str">
        <f>Aar!H22</f>
        <v/>
      </c>
      <c r="K22" s="127">
        <f>Aar!I22</f>
        <v>20</v>
      </c>
      <c r="L22" s="127" t="str">
        <f>Aar!J22</f>
        <v>sø</v>
      </c>
      <c r="M22" s="128" t="str">
        <f>Oktober!C28</f>
        <v>Weekend</v>
      </c>
      <c r="N22" s="575" t="str">
        <f>Oktober!DN28</f>
        <v/>
      </c>
      <c r="O22" s="570" t="str">
        <f>Aar!L22</f>
        <v/>
      </c>
      <c r="P22" s="568">
        <f>Aar!M22</f>
        <v>20</v>
      </c>
      <c r="Q22" s="127" t="str">
        <f>Aar!N22</f>
        <v>on</v>
      </c>
      <c r="R22" s="128" t="str">
        <f>November!C28</f>
        <v>Skema 1</v>
      </c>
      <c r="S22" s="577" t="str">
        <f>November!DN28</f>
        <v/>
      </c>
      <c r="T22" s="571" t="str">
        <f>Aar!P22</f>
        <v/>
      </c>
      <c r="U22" s="568">
        <f>Aar!Q22</f>
        <v>20</v>
      </c>
      <c r="V22" s="127" t="str">
        <f>Aar!R22</f>
        <v>fr</v>
      </c>
      <c r="W22" s="128" t="str">
        <f>December!C28</f>
        <v>Skema 1</v>
      </c>
      <c r="X22" s="575" t="str">
        <f>December!DN28</f>
        <v/>
      </c>
      <c r="Y22" s="571" t="str">
        <f>Aar!T22</f>
        <v/>
      </c>
      <c r="Z22" s="568">
        <f>Aar!U22</f>
        <v>20</v>
      </c>
      <c r="AA22" s="127" t="str">
        <f>Aar!V22</f>
        <v>ma</v>
      </c>
      <c r="AB22" s="128" t="str">
        <f>Januar!C28</f>
        <v>Skema 1</v>
      </c>
      <c r="AC22" s="575" t="str">
        <f>Januar!DN28</f>
        <v/>
      </c>
      <c r="AD22" s="571">
        <f>Aar!X22</f>
        <v>3.7142857142857144</v>
      </c>
    </row>
    <row r="23" spans="1:30" ht="35" customHeight="1">
      <c r="A23" s="568">
        <f>Aar!A23</f>
        <v>21</v>
      </c>
      <c r="B23" s="127" t="str">
        <f>Aar!B23</f>
        <v>on</v>
      </c>
      <c r="C23" s="128" t="str">
        <f>August!C30</f>
        <v>Skema 1</v>
      </c>
      <c r="D23" s="575" t="str">
        <f>August!DN30</f>
        <v/>
      </c>
      <c r="E23" s="571" t="str">
        <f>Aar!D23</f>
        <v/>
      </c>
      <c r="F23" s="127">
        <f>Aar!E23</f>
        <v>21</v>
      </c>
      <c r="G23" s="127" t="str">
        <f>Aar!F23</f>
        <v>lø</v>
      </c>
      <c r="H23" s="128" t="str">
        <f>September!C29</f>
        <v>Weekend</v>
      </c>
      <c r="I23" s="575" t="str">
        <f>September!DN29</f>
        <v/>
      </c>
      <c r="J23" s="571" t="str">
        <f>Aar!H23</f>
        <v/>
      </c>
      <c r="K23" s="127">
        <f>Aar!I23</f>
        <v>21</v>
      </c>
      <c r="L23" s="127" t="str">
        <f>Aar!J23</f>
        <v>ma</v>
      </c>
      <c r="M23" s="128" t="str">
        <f>Oktober!C29</f>
        <v>Skema 1</v>
      </c>
      <c r="N23" s="575" t="str">
        <f>Oktober!DN29</f>
        <v/>
      </c>
      <c r="O23" s="570">
        <f>Aar!L23</f>
        <v>43</v>
      </c>
      <c r="P23" s="568">
        <f>Aar!M23</f>
        <v>21</v>
      </c>
      <c r="Q23" s="127" t="str">
        <f>Aar!N23</f>
        <v>to</v>
      </c>
      <c r="R23" s="128" t="str">
        <f>November!C29</f>
        <v>Skema 1</v>
      </c>
      <c r="S23" s="577" t="str">
        <f>November!DN29</f>
        <v/>
      </c>
      <c r="T23" s="571" t="str">
        <f>Aar!P23</f>
        <v/>
      </c>
      <c r="U23" s="568">
        <f>Aar!Q23</f>
        <v>21</v>
      </c>
      <c r="V23" s="127" t="str">
        <f>Aar!R23</f>
        <v>lø</v>
      </c>
      <c r="W23" s="128" t="str">
        <f>December!C29</f>
        <v>Weekend</v>
      </c>
      <c r="X23" s="575" t="str">
        <f>December!DN29</f>
        <v/>
      </c>
      <c r="Y23" s="571" t="str">
        <f>Aar!T23</f>
        <v/>
      </c>
      <c r="Z23" s="568">
        <f>Aar!U23</f>
        <v>21</v>
      </c>
      <c r="AA23" s="127" t="str">
        <f>Aar!V23</f>
        <v>ti</v>
      </c>
      <c r="AB23" s="128" t="str">
        <f>Januar!C29</f>
        <v>Skema 1</v>
      </c>
      <c r="AC23" s="575" t="str">
        <f>Januar!DN29</f>
        <v/>
      </c>
      <c r="AD23" s="571" t="str">
        <f>Aar!X23</f>
        <v/>
      </c>
    </row>
    <row r="24" spans="1:30" ht="35" customHeight="1">
      <c r="A24" s="568">
        <f>Aar!A24</f>
        <v>22</v>
      </c>
      <c r="B24" s="127" t="str">
        <f>Aar!B24</f>
        <v>to</v>
      </c>
      <c r="C24" s="128" t="str">
        <f>August!C31</f>
        <v>Skema 1</v>
      </c>
      <c r="D24" s="575" t="str">
        <f>August!DN31</f>
        <v/>
      </c>
      <c r="E24" s="571" t="str">
        <f>Aar!D24</f>
        <v/>
      </c>
      <c r="F24" s="127">
        <f>Aar!E24</f>
        <v>22</v>
      </c>
      <c r="G24" s="127" t="str">
        <f>Aar!F24</f>
        <v>sø</v>
      </c>
      <c r="H24" s="128" t="str">
        <f>September!C30</f>
        <v>Weekend</v>
      </c>
      <c r="I24" s="575" t="str">
        <f>September!DN30</f>
        <v/>
      </c>
      <c r="J24" s="571" t="str">
        <f>Aar!H24</f>
        <v/>
      </c>
      <c r="K24" s="127">
        <f>Aar!I24</f>
        <v>22</v>
      </c>
      <c r="L24" s="127" t="str">
        <f>Aar!J24</f>
        <v>ti</v>
      </c>
      <c r="M24" s="128" t="str">
        <f>Oktober!C30</f>
        <v>Skema 1</v>
      </c>
      <c r="N24" s="575" t="str">
        <f>Oktober!DN30</f>
        <v/>
      </c>
      <c r="O24" s="570" t="str">
        <f>Aar!L24</f>
        <v/>
      </c>
      <c r="P24" s="568">
        <f>Aar!M24</f>
        <v>22</v>
      </c>
      <c r="Q24" s="127" t="str">
        <f>Aar!N24</f>
        <v>fr</v>
      </c>
      <c r="R24" s="128" t="str">
        <f>November!C30</f>
        <v>Skema 1</v>
      </c>
      <c r="S24" s="577" t="str">
        <f>November!DN30</f>
        <v/>
      </c>
      <c r="T24" s="571" t="str">
        <f>Aar!P24</f>
        <v/>
      </c>
      <c r="U24" s="568">
        <f>Aar!Q24</f>
        <v>22</v>
      </c>
      <c r="V24" s="127" t="str">
        <f>Aar!R24</f>
        <v>sø</v>
      </c>
      <c r="W24" s="128" t="str">
        <f>December!C30</f>
        <v>Weekend</v>
      </c>
      <c r="X24" s="575" t="str">
        <f>December!DN30</f>
        <v/>
      </c>
      <c r="Y24" s="571" t="str">
        <f>Aar!T24</f>
        <v/>
      </c>
      <c r="Z24" s="568">
        <f>Aar!U24</f>
        <v>22</v>
      </c>
      <c r="AA24" s="127" t="str">
        <f>Aar!V24</f>
        <v>on</v>
      </c>
      <c r="AB24" s="128" t="str">
        <f>Januar!C30</f>
        <v>Skema 1</v>
      </c>
      <c r="AC24" s="575" t="str">
        <f>Januar!DN30</f>
        <v/>
      </c>
      <c r="AD24" s="571" t="str">
        <f>Aar!X24</f>
        <v/>
      </c>
    </row>
    <row r="25" spans="1:30" ht="35" customHeight="1">
      <c r="A25" s="568">
        <f>Aar!A25</f>
        <v>23</v>
      </c>
      <c r="B25" s="127" t="str">
        <f>Aar!B25</f>
        <v>fr</v>
      </c>
      <c r="C25" s="128" t="str">
        <f>August!C32</f>
        <v>Skema 1</v>
      </c>
      <c r="D25" s="575" t="str">
        <f>August!DN32</f>
        <v/>
      </c>
      <c r="E25" s="571" t="str">
        <f>Aar!D25</f>
        <v/>
      </c>
      <c r="F25" s="127">
        <f>Aar!E25</f>
        <v>23</v>
      </c>
      <c r="G25" s="127" t="str">
        <f>Aar!F25</f>
        <v>ma</v>
      </c>
      <c r="H25" s="128" t="str">
        <f>September!C31</f>
        <v>Skema 1</v>
      </c>
      <c r="I25" s="575" t="str">
        <f>September!DN31</f>
        <v/>
      </c>
      <c r="J25" s="571">
        <f>Aar!H25</f>
        <v>39</v>
      </c>
      <c r="K25" s="127">
        <f>Aar!I25</f>
        <v>23</v>
      </c>
      <c r="L25" s="127" t="str">
        <f>Aar!J25</f>
        <v>on</v>
      </c>
      <c r="M25" s="128" t="str">
        <f>Oktober!C31</f>
        <v>Skema 1</v>
      </c>
      <c r="N25" s="575" t="str">
        <f>Oktober!DN31</f>
        <v/>
      </c>
      <c r="O25" s="570" t="str">
        <f>Aar!L25</f>
        <v/>
      </c>
      <c r="P25" s="568">
        <f>Aar!M25</f>
        <v>23</v>
      </c>
      <c r="Q25" s="127" t="str">
        <f>Aar!N25</f>
        <v>lø</v>
      </c>
      <c r="R25" s="128" t="str">
        <f>November!C31</f>
        <v>Weekend</v>
      </c>
      <c r="S25" s="577" t="str">
        <f>November!DN31</f>
        <v/>
      </c>
      <c r="T25" s="571" t="str">
        <f>Aar!P25</f>
        <v/>
      </c>
      <c r="U25" s="568">
        <f>Aar!Q25</f>
        <v>23</v>
      </c>
      <c r="V25" s="127" t="str">
        <f>Aar!R25</f>
        <v>ma</v>
      </c>
      <c r="W25" s="128" t="str">
        <f>December!C31</f>
        <v>Nul-dag</v>
      </c>
      <c r="X25" s="575" t="str">
        <f>December!DN31</f>
        <v/>
      </c>
      <c r="Y25" s="571">
        <f>Aar!T25</f>
        <v>52</v>
      </c>
      <c r="Z25" s="568">
        <f>Aar!U25</f>
        <v>23</v>
      </c>
      <c r="AA25" s="127" t="str">
        <f>Aar!V25</f>
        <v>to</v>
      </c>
      <c r="AB25" s="128" t="str">
        <f>Januar!C31</f>
        <v>Skema 1</v>
      </c>
      <c r="AC25" s="575" t="str">
        <f>Januar!DN31</f>
        <v/>
      </c>
      <c r="AD25" s="571" t="str">
        <f>Aar!X25</f>
        <v/>
      </c>
    </row>
    <row r="26" spans="1:30" ht="35" customHeight="1">
      <c r="A26" s="568">
        <f>Aar!A26</f>
        <v>24</v>
      </c>
      <c r="B26" s="127" t="str">
        <f>Aar!B26</f>
        <v>lø</v>
      </c>
      <c r="C26" s="128" t="str">
        <f>August!C33</f>
        <v>Weekend</v>
      </c>
      <c r="D26" s="575" t="str">
        <f>August!DN33</f>
        <v/>
      </c>
      <c r="E26" s="571" t="str">
        <f>Aar!D26</f>
        <v/>
      </c>
      <c r="F26" s="127">
        <f>Aar!E26</f>
        <v>24</v>
      </c>
      <c r="G26" s="127" t="str">
        <f>Aar!F26</f>
        <v>ti</v>
      </c>
      <c r="H26" s="128" t="str">
        <f>September!C32</f>
        <v>Skema 1</v>
      </c>
      <c r="I26" s="575" t="str">
        <f>September!DN32</f>
        <v/>
      </c>
      <c r="J26" s="571" t="str">
        <f>Aar!H26</f>
        <v/>
      </c>
      <c r="K26" s="127">
        <f>Aar!I26</f>
        <v>24</v>
      </c>
      <c r="L26" s="127" t="str">
        <f>Aar!J26</f>
        <v>to</v>
      </c>
      <c r="M26" s="128" t="str">
        <f>Oktober!C32</f>
        <v>Skema 1</v>
      </c>
      <c r="N26" s="575" t="str">
        <f>Oktober!DN32</f>
        <v/>
      </c>
      <c r="O26" s="570" t="str">
        <f>Aar!L26</f>
        <v/>
      </c>
      <c r="P26" s="568">
        <f>Aar!M26</f>
        <v>24</v>
      </c>
      <c r="Q26" s="127" t="str">
        <f>Aar!N26</f>
        <v>sø</v>
      </c>
      <c r="R26" s="128" t="str">
        <f>November!C32</f>
        <v>Weekend</v>
      </c>
      <c r="S26" s="577" t="str">
        <f>November!DN32</f>
        <v/>
      </c>
      <c r="T26" s="571" t="str">
        <f>Aar!P26</f>
        <v/>
      </c>
      <c r="U26" s="568">
        <f>Aar!Q26</f>
        <v>24</v>
      </c>
      <c r="V26" s="127" t="str">
        <f>Aar!R26</f>
        <v>ti</v>
      </c>
      <c r="W26" s="128" t="str">
        <f>December!C32</f>
        <v>Nul-dag</v>
      </c>
      <c r="X26" s="575" t="str">
        <f>December!DN32</f>
        <v>Juleaftensdag</v>
      </c>
      <c r="Y26" s="571" t="str">
        <f>Aar!T26</f>
        <v/>
      </c>
      <c r="Z26" s="568">
        <f>Aar!U26</f>
        <v>24</v>
      </c>
      <c r="AA26" s="127" t="str">
        <f>Aar!V26</f>
        <v>fr</v>
      </c>
      <c r="AB26" s="128" t="str">
        <f>Januar!C32</f>
        <v>Skema 1</v>
      </c>
      <c r="AC26" s="575" t="str">
        <f>Januar!DN32</f>
        <v/>
      </c>
      <c r="AD26" s="571" t="str">
        <f>Aar!X26</f>
        <v/>
      </c>
    </row>
    <row r="27" spans="1:30" ht="35" customHeight="1">
      <c r="A27" s="568">
        <f>Aar!A27</f>
        <v>25</v>
      </c>
      <c r="B27" s="127" t="str">
        <f>Aar!B27</f>
        <v>sø</v>
      </c>
      <c r="C27" s="128" t="str">
        <f>August!C34</f>
        <v>Weekend</v>
      </c>
      <c r="D27" s="575" t="str">
        <f>August!DN34</f>
        <v/>
      </c>
      <c r="E27" s="571" t="str">
        <f>Aar!D27</f>
        <v/>
      </c>
      <c r="F27" s="127">
        <f>Aar!E27</f>
        <v>25</v>
      </c>
      <c r="G27" s="127" t="str">
        <f>Aar!F27</f>
        <v>on</v>
      </c>
      <c r="H27" s="128" t="str">
        <f>September!C33</f>
        <v>Skema 1</v>
      </c>
      <c r="I27" s="575" t="str">
        <f>September!DN33</f>
        <v/>
      </c>
      <c r="J27" s="571" t="str">
        <f>Aar!H27</f>
        <v/>
      </c>
      <c r="K27" s="127">
        <f>Aar!I27</f>
        <v>25</v>
      </c>
      <c r="L27" s="127" t="str">
        <f>Aar!J27</f>
        <v>fr</v>
      </c>
      <c r="M27" s="128" t="str">
        <f>Oktober!C33</f>
        <v>Skema 1</v>
      </c>
      <c r="N27" s="575" t="str">
        <f>Oktober!DN33</f>
        <v/>
      </c>
      <c r="O27" s="570" t="str">
        <f>Aar!L27</f>
        <v/>
      </c>
      <c r="P27" s="568">
        <f>Aar!M27</f>
        <v>25</v>
      </c>
      <c r="Q27" s="127" t="str">
        <f>Aar!N27</f>
        <v>ma</v>
      </c>
      <c r="R27" s="128" t="str">
        <f>November!C33</f>
        <v>Skema 1</v>
      </c>
      <c r="S27" s="577" t="str">
        <f>November!DN33</f>
        <v/>
      </c>
      <c r="T27" s="571">
        <f>Aar!P27</f>
        <v>48</v>
      </c>
      <c r="U27" s="568">
        <f>Aar!Q27</f>
        <v>25</v>
      </c>
      <c r="V27" s="127" t="str">
        <f>Aar!R27</f>
        <v>on</v>
      </c>
      <c r="W27" s="128" t="str">
        <f>December!C33</f>
        <v>SH-dag</v>
      </c>
      <c r="X27" s="575" t="str">
        <f>December!DN33</f>
        <v>Juledag</v>
      </c>
      <c r="Y27" s="571" t="str">
        <f>Aar!T27</f>
        <v/>
      </c>
      <c r="Z27" s="568">
        <f>Aar!U27</f>
        <v>25</v>
      </c>
      <c r="AA27" s="127" t="str">
        <f>Aar!V27</f>
        <v>lø</v>
      </c>
      <c r="AB27" s="128" t="str">
        <f>Januar!C33</f>
        <v>Weekend</v>
      </c>
      <c r="AC27" s="575" t="str">
        <f>Januar!DN33</f>
        <v/>
      </c>
      <c r="AD27" s="571" t="str">
        <f>Aar!X27</f>
        <v/>
      </c>
    </row>
    <row r="28" spans="1:30" ht="35" customHeight="1">
      <c r="A28" s="568">
        <f>Aar!A28</f>
        <v>26</v>
      </c>
      <c r="B28" s="127" t="str">
        <f>Aar!B28</f>
        <v>ma</v>
      </c>
      <c r="C28" s="128" t="str">
        <f>August!C35</f>
        <v>Skema 1</v>
      </c>
      <c r="D28" s="575" t="str">
        <f>August!DN35</f>
        <v/>
      </c>
      <c r="E28" s="571">
        <f>Aar!D28</f>
        <v>35</v>
      </c>
      <c r="F28" s="127">
        <f>Aar!E28</f>
        <v>26</v>
      </c>
      <c r="G28" s="127" t="str">
        <f>Aar!F28</f>
        <v>to</v>
      </c>
      <c r="H28" s="128" t="str">
        <f>September!C34</f>
        <v>Skema 1</v>
      </c>
      <c r="I28" s="575" t="str">
        <f>September!DN34</f>
        <v/>
      </c>
      <c r="J28" s="571" t="str">
        <f>Aar!H28</f>
        <v/>
      </c>
      <c r="K28" s="127">
        <f>Aar!I28</f>
        <v>26</v>
      </c>
      <c r="L28" s="127" t="str">
        <f>Aar!J28</f>
        <v>lø</v>
      </c>
      <c r="M28" s="128" t="str">
        <f>Oktober!C34</f>
        <v>Weekend</v>
      </c>
      <c r="N28" s="575" t="str">
        <f>Oktober!DN34</f>
        <v/>
      </c>
      <c r="O28" s="570" t="str">
        <f>Aar!L28</f>
        <v/>
      </c>
      <c r="P28" s="568">
        <f>Aar!M28</f>
        <v>26</v>
      </c>
      <c r="Q28" s="127" t="str">
        <f>Aar!N28</f>
        <v>ti</v>
      </c>
      <c r="R28" s="128" t="str">
        <f>November!C34</f>
        <v>Skema 1</v>
      </c>
      <c r="S28" s="577" t="str">
        <f>November!DN34</f>
        <v/>
      </c>
      <c r="T28" s="571" t="str">
        <f>Aar!P28</f>
        <v/>
      </c>
      <c r="U28" s="568">
        <f>Aar!Q28</f>
        <v>26</v>
      </c>
      <c r="V28" s="127" t="str">
        <f>Aar!R28</f>
        <v>to</v>
      </c>
      <c r="W28" s="128" t="str">
        <f>December!C34</f>
        <v>SH-dag</v>
      </c>
      <c r="X28" s="575" t="str">
        <f>December!DN34</f>
        <v>2. juledag</v>
      </c>
      <c r="Y28" s="571" t="str">
        <f>Aar!T28</f>
        <v/>
      </c>
      <c r="Z28" s="568">
        <f>Aar!U28</f>
        <v>26</v>
      </c>
      <c r="AA28" s="127" t="str">
        <f>Aar!V28</f>
        <v>sø</v>
      </c>
      <c r="AB28" s="128" t="str">
        <f>Januar!C34</f>
        <v>Weekend</v>
      </c>
      <c r="AC28" s="575" t="str">
        <f>Januar!DN34</f>
        <v/>
      </c>
      <c r="AD28" s="571" t="str">
        <f>Aar!X28</f>
        <v/>
      </c>
    </row>
    <row r="29" spans="1:30" ht="35" customHeight="1">
      <c r="A29" s="568">
        <f>Aar!A29</f>
        <v>27</v>
      </c>
      <c r="B29" s="127" t="str">
        <f>Aar!B29</f>
        <v>ti</v>
      </c>
      <c r="C29" s="128" t="str">
        <f>August!C36</f>
        <v>Skema 1</v>
      </c>
      <c r="D29" s="575" t="str">
        <f>August!DN36</f>
        <v/>
      </c>
      <c r="E29" s="571" t="str">
        <f>Aar!D29</f>
        <v/>
      </c>
      <c r="F29" s="127">
        <f>Aar!E29</f>
        <v>27</v>
      </c>
      <c r="G29" s="127" t="str">
        <f>Aar!F29</f>
        <v>fr</v>
      </c>
      <c r="H29" s="128" t="str">
        <f>September!C35</f>
        <v>Skema 1</v>
      </c>
      <c r="I29" s="575" t="str">
        <f>September!DN35</f>
        <v/>
      </c>
      <c r="J29" s="571" t="str">
        <f>Aar!H29</f>
        <v/>
      </c>
      <c r="K29" s="127">
        <f>Aar!I29</f>
        <v>27</v>
      </c>
      <c r="L29" s="127" t="str">
        <f>Aar!J29</f>
        <v>sø</v>
      </c>
      <c r="M29" s="128" t="str">
        <f>Oktober!C35</f>
        <v>Weekend</v>
      </c>
      <c r="N29" s="575" t="str">
        <f>Oktober!DN35</f>
        <v/>
      </c>
      <c r="O29" s="570" t="str">
        <f>Aar!L29</f>
        <v/>
      </c>
      <c r="P29" s="568">
        <f>Aar!M29</f>
        <v>27</v>
      </c>
      <c r="Q29" s="127" t="str">
        <f>Aar!N29</f>
        <v>on</v>
      </c>
      <c r="R29" s="128" t="str">
        <f>November!C35</f>
        <v>Skema 1</v>
      </c>
      <c r="S29" s="577" t="str">
        <f>November!DN35</f>
        <v/>
      </c>
      <c r="T29" s="571" t="str">
        <f>Aar!P29</f>
        <v/>
      </c>
      <c r="U29" s="568">
        <f>Aar!Q29</f>
        <v>27</v>
      </c>
      <c r="V29" s="127" t="str">
        <f>Aar!R29</f>
        <v>fr</v>
      </c>
      <c r="W29" s="128" t="str">
        <f>December!C35</f>
        <v>Nul-dag</v>
      </c>
      <c r="X29" s="575" t="str">
        <f>December!DN35</f>
        <v/>
      </c>
      <c r="Y29" s="571" t="str">
        <f>Aar!T29</f>
        <v/>
      </c>
      <c r="Z29" s="568">
        <f>Aar!U29</f>
        <v>27</v>
      </c>
      <c r="AA29" s="127" t="str">
        <f>Aar!V29</f>
        <v>ma</v>
      </c>
      <c r="AB29" s="128" t="str">
        <f>Januar!C35</f>
        <v>Skema 1</v>
      </c>
      <c r="AC29" s="575" t="str">
        <f>Januar!DN35</f>
        <v/>
      </c>
      <c r="AD29" s="571">
        <f>Aar!X29</f>
        <v>4.7142857142857144</v>
      </c>
    </row>
    <row r="30" spans="1:30" ht="35" customHeight="1">
      <c r="A30" s="568">
        <f>Aar!A30</f>
        <v>28</v>
      </c>
      <c r="B30" s="127" t="str">
        <f>Aar!B30</f>
        <v>on</v>
      </c>
      <c r="C30" s="128" t="str">
        <f>August!C37</f>
        <v>Skema 1</v>
      </c>
      <c r="D30" s="575" t="str">
        <f>August!DN37</f>
        <v/>
      </c>
      <c r="E30" s="571" t="str">
        <f>Aar!D30</f>
        <v/>
      </c>
      <c r="F30" s="127">
        <f>Aar!E30</f>
        <v>28</v>
      </c>
      <c r="G30" s="127" t="str">
        <f>Aar!F30</f>
        <v>lø</v>
      </c>
      <c r="H30" s="128" t="str">
        <f>September!C36</f>
        <v>Weekend</v>
      </c>
      <c r="I30" s="575" t="str">
        <f>September!DN36</f>
        <v/>
      </c>
      <c r="J30" s="571" t="str">
        <f>Aar!H30</f>
        <v/>
      </c>
      <c r="K30" s="127">
        <f>Aar!I30</f>
        <v>28</v>
      </c>
      <c r="L30" s="127" t="str">
        <f>Aar!J30</f>
        <v>ma</v>
      </c>
      <c r="M30" s="128" t="str">
        <f>Oktober!C36</f>
        <v>Skema 1</v>
      </c>
      <c r="N30" s="575" t="str">
        <f>Oktober!DN36</f>
        <v/>
      </c>
      <c r="O30" s="570">
        <f>Aar!L30</f>
        <v>44</v>
      </c>
      <c r="P30" s="568">
        <f>Aar!M30</f>
        <v>28</v>
      </c>
      <c r="Q30" s="127" t="str">
        <f>Aar!N30</f>
        <v>to</v>
      </c>
      <c r="R30" s="128" t="str">
        <f>November!C36</f>
        <v>Skema 1</v>
      </c>
      <c r="S30" s="577" t="str">
        <f>November!DN36</f>
        <v/>
      </c>
      <c r="T30" s="571" t="str">
        <f>Aar!P30</f>
        <v/>
      </c>
      <c r="U30" s="568">
        <f>Aar!Q30</f>
        <v>28</v>
      </c>
      <c r="V30" s="127" t="str">
        <f>Aar!R30</f>
        <v>lø</v>
      </c>
      <c r="W30" s="128" t="str">
        <f>December!C36</f>
        <v>Weekend</v>
      </c>
      <c r="X30" s="575" t="str">
        <f>December!DN36</f>
        <v/>
      </c>
      <c r="Y30" s="571" t="str">
        <f>Aar!T30</f>
        <v/>
      </c>
      <c r="Z30" s="568">
        <f>Aar!U30</f>
        <v>28</v>
      </c>
      <c r="AA30" s="127" t="str">
        <f>Aar!V30</f>
        <v>ti</v>
      </c>
      <c r="AB30" s="128" t="str">
        <f>Januar!C36</f>
        <v>Skema 1</v>
      </c>
      <c r="AC30" s="575" t="str">
        <f>Januar!DN36</f>
        <v/>
      </c>
      <c r="AD30" s="571" t="str">
        <f>Aar!X30</f>
        <v/>
      </c>
    </row>
    <row r="31" spans="1:30" ht="35" customHeight="1">
      <c r="A31" s="568">
        <f>Aar!A31</f>
        <v>29</v>
      </c>
      <c r="B31" s="127" t="str">
        <f>Aar!B31</f>
        <v>to</v>
      </c>
      <c r="C31" s="128" t="str">
        <f>August!C38</f>
        <v>Skema 1</v>
      </c>
      <c r="D31" s="575" t="str">
        <f>August!DN38</f>
        <v/>
      </c>
      <c r="E31" s="571" t="str">
        <f>Aar!D31</f>
        <v/>
      </c>
      <c r="F31" s="127">
        <f>Aar!E31</f>
        <v>29</v>
      </c>
      <c r="G31" s="127" t="str">
        <f>Aar!F31</f>
        <v>sø</v>
      </c>
      <c r="H31" s="128" t="str">
        <f>September!C37</f>
        <v>Weekend</v>
      </c>
      <c r="I31" s="575" t="str">
        <f>September!DN37</f>
        <v/>
      </c>
      <c r="J31" s="571" t="str">
        <f>Aar!H31</f>
        <v/>
      </c>
      <c r="K31" s="127">
        <f>Aar!I31</f>
        <v>29</v>
      </c>
      <c r="L31" s="127" t="str">
        <f>Aar!J31</f>
        <v>ti</v>
      </c>
      <c r="M31" s="128" t="str">
        <f>Oktober!C37</f>
        <v>Skema 1</v>
      </c>
      <c r="N31" s="575" t="str">
        <f>Oktober!DN37</f>
        <v/>
      </c>
      <c r="O31" s="570" t="str">
        <f>Aar!L31</f>
        <v/>
      </c>
      <c r="P31" s="568">
        <f>Aar!M31</f>
        <v>29</v>
      </c>
      <c r="Q31" s="127" t="str">
        <f>Aar!N31</f>
        <v>fr</v>
      </c>
      <c r="R31" s="128" t="str">
        <f>November!C37</f>
        <v>Skema 1</v>
      </c>
      <c r="S31" s="577" t="str">
        <f>November!DN37</f>
        <v/>
      </c>
      <c r="T31" s="571" t="str">
        <f>Aar!P31</f>
        <v/>
      </c>
      <c r="U31" s="568">
        <f>Aar!Q31</f>
        <v>29</v>
      </c>
      <c r="V31" s="127" t="str">
        <f>Aar!R31</f>
        <v>sø</v>
      </c>
      <c r="W31" s="128" t="str">
        <f>December!C37</f>
        <v>Weekend</v>
      </c>
      <c r="X31" s="575" t="str">
        <f>December!DN37</f>
        <v/>
      </c>
      <c r="Y31" s="571" t="str">
        <f>Aar!T31</f>
        <v/>
      </c>
      <c r="Z31" s="568">
        <f>Aar!U31</f>
        <v>29</v>
      </c>
      <c r="AA31" s="127" t="str">
        <f>Aar!V31</f>
        <v>on</v>
      </c>
      <c r="AB31" s="128" t="str">
        <f>Januar!C37</f>
        <v>Skema 1</v>
      </c>
      <c r="AC31" s="575" t="str">
        <f>Januar!DN37</f>
        <v/>
      </c>
      <c r="AD31" s="571" t="str">
        <f>Aar!X31</f>
        <v/>
      </c>
    </row>
    <row r="32" spans="1:30" ht="35" customHeight="1">
      <c r="A32" s="568">
        <f>Aar!A32</f>
        <v>30</v>
      </c>
      <c r="B32" s="127" t="str">
        <f>Aar!B32</f>
        <v>fr</v>
      </c>
      <c r="C32" s="128" t="str">
        <f>August!C39</f>
        <v>Skema 1</v>
      </c>
      <c r="D32" s="575" t="str">
        <f>August!DN39</f>
        <v/>
      </c>
      <c r="E32" s="571" t="str">
        <f>Aar!D32</f>
        <v/>
      </c>
      <c r="F32" s="127">
        <f>Aar!E32</f>
        <v>30</v>
      </c>
      <c r="G32" s="127" t="str">
        <f>Aar!F32</f>
        <v>ma</v>
      </c>
      <c r="H32" s="128" t="str">
        <f>September!C38</f>
        <v>Skema 1</v>
      </c>
      <c r="I32" s="575" t="str">
        <f>September!DN38</f>
        <v/>
      </c>
      <c r="J32" s="571">
        <f>Aar!H32</f>
        <v>40</v>
      </c>
      <c r="K32" s="127">
        <f>Aar!I32</f>
        <v>30</v>
      </c>
      <c r="L32" s="127" t="str">
        <f>Aar!J32</f>
        <v>on</v>
      </c>
      <c r="M32" s="128" t="str">
        <f>Oktober!C38</f>
        <v>Skema 1</v>
      </c>
      <c r="N32" s="575" t="str">
        <f>Oktober!DN38</f>
        <v/>
      </c>
      <c r="O32" s="570" t="str">
        <f>Aar!L32</f>
        <v/>
      </c>
      <c r="P32" s="568">
        <f>Aar!M32</f>
        <v>30</v>
      </c>
      <c r="Q32" s="127" t="str">
        <f>Aar!N32</f>
        <v>lø</v>
      </c>
      <c r="R32" s="128" t="str">
        <f>November!C38</f>
        <v>Weekend</v>
      </c>
      <c r="S32" s="577" t="str">
        <f>November!DN38</f>
        <v/>
      </c>
      <c r="T32" s="571" t="str">
        <f>Aar!P32</f>
        <v/>
      </c>
      <c r="U32" s="568">
        <f>Aar!Q32</f>
        <v>30</v>
      </c>
      <c r="V32" s="127" t="str">
        <f>Aar!R32</f>
        <v>ma</v>
      </c>
      <c r="W32" s="128" t="str">
        <f>December!C38</f>
        <v>Nul-dag</v>
      </c>
      <c r="X32" s="575" t="str">
        <f>December!DN38</f>
        <v/>
      </c>
      <c r="Y32" s="571">
        <f>Aar!T32</f>
        <v>1</v>
      </c>
      <c r="Z32" s="568">
        <f>Aar!U32</f>
        <v>30</v>
      </c>
      <c r="AA32" s="127" t="str">
        <f>Aar!V32</f>
        <v>to</v>
      </c>
      <c r="AB32" s="128" t="str">
        <f>Januar!C38</f>
        <v>Skema 1</v>
      </c>
      <c r="AC32" s="575" t="str">
        <f>Januar!DN38</f>
        <v/>
      </c>
      <c r="AD32" s="571" t="str">
        <f>Aar!X32</f>
        <v/>
      </c>
    </row>
    <row r="33" spans="1:30" ht="35" customHeight="1" thickBot="1">
      <c r="A33" s="568">
        <f>Aar!A33</f>
        <v>31</v>
      </c>
      <c r="B33" s="127" t="str">
        <f>Aar!B33</f>
        <v>lø</v>
      </c>
      <c r="C33" s="128" t="str">
        <f>August!C40</f>
        <v>Weekend</v>
      </c>
      <c r="D33" s="575" t="str">
        <f>August!DN40</f>
        <v/>
      </c>
      <c r="E33" s="571" t="str">
        <f>Aar!D33</f>
        <v/>
      </c>
      <c r="F33" s="78"/>
      <c r="G33" s="78"/>
      <c r="H33" s="79"/>
      <c r="I33" s="79"/>
      <c r="J33" s="451"/>
      <c r="K33" s="544">
        <f>Aar!I33</f>
        <v>31</v>
      </c>
      <c r="L33" s="545" t="str">
        <f>Aar!J33</f>
        <v>to</v>
      </c>
      <c r="M33" s="546" t="str">
        <f>Oktober!C39</f>
        <v>Skema 1</v>
      </c>
      <c r="N33" s="576" t="str">
        <f>Oktober!DN39</f>
        <v/>
      </c>
      <c r="O33" s="547" t="str">
        <f>Aar!L33</f>
        <v/>
      </c>
      <c r="P33" s="78"/>
      <c r="Q33" s="78"/>
      <c r="R33" s="79"/>
      <c r="S33" s="79"/>
      <c r="T33" s="452"/>
      <c r="U33" s="568">
        <f>Aar!Q33</f>
        <v>31</v>
      </c>
      <c r="V33" s="127" t="str">
        <f>Aar!R33</f>
        <v>ti</v>
      </c>
      <c r="W33" s="128" t="str">
        <f>December!C39</f>
        <v>Nul-dag</v>
      </c>
      <c r="X33" s="575" t="str">
        <f>December!DN39</f>
        <v>Nytårsaftensdag</v>
      </c>
      <c r="Y33" s="571" t="str">
        <f>Aar!T33</f>
        <v/>
      </c>
      <c r="Z33" s="568">
        <f>Aar!U33</f>
        <v>31</v>
      </c>
      <c r="AA33" s="127" t="str">
        <f>Aar!V33</f>
        <v>fr</v>
      </c>
      <c r="AB33" s="128" t="str">
        <f>Januar!C39</f>
        <v>Skema 1</v>
      </c>
      <c r="AC33" s="575" t="str">
        <f>Januar!DN39</f>
        <v/>
      </c>
      <c r="AD33" s="571" t="str">
        <f>Aar!X33</f>
        <v/>
      </c>
    </row>
    <row r="34" spans="1:30" ht="23" customHeight="1" thickBot="1">
      <c r="A34" s="70"/>
      <c r="B34" s="70"/>
      <c r="C34" s="70">
        <f>Aar!B34</f>
        <v>22</v>
      </c>
      <c r="D34" s="70" t="str">
        <f>Aar!C34</f>
        <v xml:space="preserve"> arbejdsdage</v>
      </c>
      <c r="E34" s="70"/>
      <c r="F34" s="70"/>
      <c r="G34" s="70"/>
      <c r="H34" s="70">
        <f>Aar!F34</f>
        <v>21</v>
      </c>
      <c r="I34" s="70" t="str">
        <f>Aar!G34</f>
        <v xml:space="preserve"> arbejdsdage</v>
      </c>
      <c r="J34" s="70">
        <f>Aar!H34</f>
        <v>0</v>
      </c>
      <c r="K34" s="70">
        <f>Aar!I34</f>
        <v>0</v>
      </c>
      <c r="L34" s="70"/>
      <c r="M34" s="70">
        <f>Aar!J34</f>
        <v>23</v>
      </c>
      <c r="N34" s="70" t="str">
        <f>Aar!K34</f>
        <v xml:space="preserve"> arbejdsdage</v>
      </c>
      <c r="O34" s="70">
        <f>Aar!M34</f>
        <v>0</v>
      </c>
      <c r="P34" s="70"/>
      <c r="Q34" s="70"/>
      <c r="R34" s="70">
        <f>Aar!N34</f>
        <v>21</v>
      </c>
      <c r="S34" s="70" t="str">
        <f>Aar!O34</f>
        <v xml:space="preserve"> arbejdsdage</v>
      </c>
      <c r="T34" s="70"/>
      <c r="U34" s="70"/>
      <c r="V34" s="70"/>
      <c r="W34" s="70">
        <f>Aar!R34</f>
        <v>20</v>
      </c>
      <c r="X34" s="70" t="str">
        <f>Aar!S34</f>
        <v xml:space="preserve"> arbejdsdage</v>
      </c>
      <c r="Y34" s="70"/>
      <c r="Z34" s="109"/>
      <c r="AA34" s="109"/>
      <c r="AB34" s="70">
        <f>Aar!V34</f>
        <v>22</v>
      </c>
      <c r="AC34" s="70" t="str">
        <f>Aar!W34</f>
        <v xml:space="preserve"> arbejdsdage</v>
      </c>
      <c r="AD34" s="108"/>
    </row>
    <row r="35" spans="1:30" ht="31" customHeight="1" thickBot="1">
      <c r="A35" s="1505" t="str">
        <f>"I alt for hele skoleåret "&amp;Vejledning!B2&amp;""</f>
        <v>I alt for hele skoleåret 2024-2025</v>
      </c>
      <c r="B35" s="1506"/>
      <c r="C35" s="1506"/>
      <c r="D35" s="1506"/>
      <c r="E35" s="1506"/>
      <c r="F35" s="1506"/>
      <c r="G35" s="1506"/>
      <c r="H35" s="1506"/>
      <c r="I35" s="1506"/>
      <c r="J35" s="1506"/>
      <c r="K35" s="1506"/>
      <c r="L35" s="1506"/>
      <c r="M35" s="1506"/>
      <c r="N35" s="1506"/>
      <c r="O35" s="1506"/>
      <c r="P35" s="1506"/>
      <c r="Q35" s="1506"/>
      <c r="R35" s="1506"/>
      <c r="S35" s="1506"/>
      <c r="T35" s="1506"/>
      <c r="U35" s="1507"/>
      <c r="V35" s="115"/>
      <c r="W35" s="116"/>
      <c r="X35" s="112"/>
      <c r="Y35" s="70"/>
      <c r="Z35" s="109"/>
      <c r="AA35" s="109"/>
      <c r="AB35" s="70"/>
      <c r="AC35" s="70"/>
      <c r="AD35" s="108"/>
    </row>
    <row r="36" spans="1:30" ht="23" customHeight="1">
      <c r="A36" s="1508" t="s">
        <v>118</v>
      </c>
      <c r="B36" s="1509"/>
      <c r="C36" s="1509"/>
      <c r="D36" s="1509"/>
      <c r="E36" s="1509"/>
      <c r="F36" s="1509"/>
      <c r="G36" s="1509"/>
      <c r="H36" s="130">
        <f>Aar!G37</f>
        <v>200</v>
      </c>
      <c r="I36" s="171"/>
      <c r="J36" s="171"/>
      <c r="K36" s="171"/>
      <c r="L36" s="171"/>
      <c r="M36" s="171"/>
      <c r="N36" s="1510" t="s">
        <v>117</v>
      </c>
      <c r="O36" s="1511"/>
      <c r="P36" s="1511"/>
      <c r="Q36" s="1511"/>
      <c r="R36" s="1511"/>
      <c r="S36" s="1511"/>
      <c r="T36" s="1511"/>
      <c r="U36" s="170">
        <f>Aar!AE37</f>
        <v>0</v>
      </c>
      <c r="V36" s="113"/>
      <c r="W36" s="70"/>
      <c r="X36" s="109"/>
      <c r="Y36" s="109"/>
      <c r="Z36" s="70"/>
      <c r="AA36" s="70"/>
      <c r="AB36" s="108"/>
      <c r="AC36" s="62"/>
      <c r="AD36" s="62"/>
    </row>
    <row r="37" spans="1:30" ht="23" customHeight="1">
      <c r="A37" s="1512" t="s">
        <v>116</v>
      </c>
      <c r="B37" s="1513"/>
      <c r="C37" s="1513"/>
      <c r="D37" s="1513"/>
      <c r="E37" s="1513"/>
      <c r="F37" s="1513"/>
      <c r="G37" s="1513"/>
      <c r="H37" s="167">
        <f>Aar!O37</f>
        <v>0</v>
      </c>
      <c r="I37" s="172"/>
      <c r="J37" s="172"/>
      <c r="K37" s="172"/>
      <c r="L37" s="172"/>
      <c r="M37" s="172"/>
      <c r="N37" s="174" t="s">
        <v>143</v>
      </c>
      <c r="O37" s="1520">
        <f>Aar!O35</f>
        <v>104</v>
      </c>
      <c r="P37" s="1520"/>
      <c r="Q37" s="1520"/>
      <c r="R37" s="166" t="s">
        <v>144</v>
      </c>
      <c r="S37" s="166"/>
      <c r="T37" s="1516">
        <f>Aar!W35</f>
        <v>8</v>
      </c>
      <c r="U37" s="1517"/>
      <c r="V37" s="113"/>
      <c r="W37" s="70"/>
      <c r="X37" s="109"/>
      <c r="Y37" s="109"/>
      <c r="Z37" s="70"/>
      <c r="AA37" s="70"/>
      <c r="AB37" s="108"/>
      <c r="AC37" s="62"/>
      <c r="AD37" s="62"/>
    </row>
    <row r="38" spans="1:30" ht="23" customHeight="1">
      <c r="A38" s="1514" t="s">
        <v>121</v>
      </c>
      <c r="B38" s="1515"/>
      <c r="C38" s="1515"/>
      <c r="D38" s="1515"/>
      <c r="E38" s="1515"/>
      <c r="F38" s="1515"/>
      <c r="G38" s="1515"/>
      <c r="H38" s="168">
        <f>Aar!W37</f>
        <v>0</v>
      </c>
      <c r="I38" s="172"/>
      <c r="J38" s="172"/>
      <c r="K38" s="172"/>
      <c r="L38" s="172"/>
      <c r="M38" s="172"/>
      <c r="N38" s="182" t="s">
        <v>163</v>
      </c>
      <c r="O38" s="1518">
        <f>Aar!AE35</f>
        <v>25</v>
      </c>
      <c r="P38" s="1518"/>
      <c r="Q38" s="1519"/>
      <c r="R38" s="180" t="s">
        <v>164</v>
      </c>
      <c r="S38" s="180"/>
      <c r="T38" s="180"/>
      <c r="U38" s="453">
        <f>Aar!AV35</f>
        <v>1</v>
      </c>
      <c r="V38" s="114"/>
      <c r="W38" s="70"/>
      <c r="X38" s="109"/>
      <c r="Y38" s="109"/>
      <c r="Z38" s="70"/>
      <c r="AA38" s="70"/>
      <c r="AB38" s="108"/>
      <c r="AC38" s="62"/>
      <c r="AD38" s="62"/>
    </row>
    <row r="39" spans="1:30" ht="23" customHeight="1" thickBot="1">
      <c r="A39" s="164" t="s">
        <v>151</v>
      </c>
      <c r="B39" s="165"/>
      <c r="C39" s="165"/>
      <c r="D39" s="165"/>
      <c r="E39" s="165"/>
      <c r="F39" s="165"/>
      <c r="G39" s="165"/>
      <c r="H39" s="169">
        <f>SUM(H36:H38)</f>
        <v>200</v>
      </c>
      <c r="I39" s="173"/>
      <c r="J39" s="173"/>
      <c r="K39" s="173"/>
      <c r="L39" s="173"/>
      <c r="M39" s="173"/>
      <c r="N39" s="457" t="s">
        <v>168</v>
      </c>
      <c r="O39" s="458"/>
      <c r="P39" s="458"/>
      <c r="Q39" s="458">
        <f>Aar!AM35</f>
        <v>28</v>
      </c>
      <c r="R39" s="455" t="s">
        <v>419</v>
      </c>
      <c r="S39" s="455"/>
      <c r="T39" s="455"/>
      <c r="U39" s="456">
        <f>Aar!AV37</f>
        <v>0</v>
      </c>
      <c r="V39" s="113"/>
      <c r="W39" s="70"/>
      <c r="X39" s="109"/>
      <c r="Y39" s="109"/>
      <c r="Z39" s="70"/>
      <c r="AA39" s="70"/>
      <c r="AB39" s="108"/>
      <c r="AC39" s="62"/>
      <c r="AD39" s="62"/>
    </row>
    <row r="40" spans="1:30" ht="15" customHeight="1">
      <c r="B40" s="75"/>
      <c r="C40" s="73"/>
      <c r="D40" s="73"/>
      <c r="E40" s="74"/>
      <c r="G40" s="75"/>
      <c r="H40" s="73"/>
      <c r="I40" s="73"/>
      <c r="J40" s="76"/>
      <c r="K40" s="75"/>
      <c r="L40" s="73"/>
      <c r="M40" s="74"/>
      <c r="N40" s="74"/>
      <c r="O40" s="74"/>
      <c r="P40" s="75"/>
      <c r="Q40" s="73"/>
      <c r="R40" s="76"/>
      <c r="S40" s="76"/>
      <c r="T40" s="75"/>
      <c r="U40" s="73"/>
      <c r="W40" s="74"/>
      <c r="X40" s="74"/>
      <c r="Y40" s="75"/>
      <c r="Z40" s="73"/>
      <c r="AA40" s="62"/>
      <c r="AB40" s="62"/>
      <c r="AC40" s="62"/>
      <c r="AD40" s="62"/>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35433070866141736" right="0.35433070866141736" top="0.39370078740157483" bottom="0.39370078740157483" header="0.11811023622047245" footer="0.11811023622047245"/>
  <pageSetup paperSize="9" scale="4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111" stopIfTrue="1" id="{7E088C76-2C1B-4A4B-B72F-8E38A511E840}">
            <xm:f>OR(August!$C10="Orlov")</xm:f>
            <x14:dxf>
              <font>
                <color theme="0"/>
              </font>
              <fill>
                <patternFill patternType="solid">
                  <bgColor theme="6" tint="-0.24994659260841701"/>
                </patternFill>
              </fill>
            </x14:dxf>
          </x14:cfRule>
          <x14:cfRule type="expression" priority="110" id="{3D435629-D562-1843-BC8C-C49FD76A418A}">
            <xm:f>OR(August!$C10="weekend")</xm:f>
            <x14:dxf>
              <font>
                <color theme="1"/>
              </font>
              <fill>
                <patternFill>
                  <bgColor theme="0" tint="-0.14996795556505021"/>
                </patternFill>
              </fill>
            </x14:dxf>
          </x14:cfRule>
          <x14:cfRule type="expression" priority="109" id="{BDDE1528-B4C8-F547-9572-1788BDC0DBD0}">
            <xm:f>OR(August!$C10="feriedag")</xm:f>
            <x14:dxf>
              <font>
                <color theme="1"/>
              </font>
              <fill>
                <patternFill>
                  <bgColor theme="6" tint="0.39994506668294322"/>
                </patternFill>
              </fill>
            </x14:dxf>
          </x14:cfRule>
          <x14:cfRule type="expression" priority="108" id="{723F6421-6944-B64B-9A9F-457A9003CABE}">
            <xm:f>OR(August!$C10="fagdag")</xm:f>
            <x14:dxf>
              <font>
                <color theme="1"/>
              </font>
              <fill>
                <patternFill>
                  <bgColor theme="9" tint="0.59996337778862885"/>
                </patternFill>
              </fill>
            </x14:dxf>
          </x14:cfRule>
          <x14:cfRule type="expression" priority="107" id="{BED33284-DDF4-564F-A68F-1D8DD9E13F5F}">
            <xm:f>OR(August!$C10="emnedag")</xm:f>
            <x14:dxf>
              <font>
                <color theme="1"/>
              </font>
              <fill>
                <patternFill>
                  <bgColor theme="5" tint="0.59996337778862885"/>
                </patternFill>
              </fill>
            </x14:dxf>
          </x14:cfRule>
          <x14:cfRule type="expression" priority="106" id="{B3976725-7BC8-274D-A17A-06C54196C59B}">
            <xm:f>OR(August!$C10="lejrskole")</xm:f>
            <x14:dxf>
              <font>
                <color theme="1"/>
              </font>
              <fill>
                <patternFill>
                  <bgColor theme="8" tint="0.59996337778862885"/>
                </patternFill>
              </fill>
            </x14:dxf>
          </x14:cfRule>
          <x14:cfRule type="expression" priority="105" id="{56138BA0-8BE0-4047-9775-0C98271CE80A}">
            <xm:f>OR(August!$C10="ekskursion")</xm:f>
            <x14:dxf>
              <font>
                <color theme="1"/>
              </font>
              <fill>
                <patternFill>
                  <bgColor rgb="FFFFFF00"/>
                </patternFill>
              </fill>
            </x14:dxf>
          </x14:cfRule>
          <x14:cfRule type="expression" priority="104" id="{C726354F-05C3-9C43-946C-A3FB6A43F70E}">
            <xm:f>OR(August!$C10="SH-dag")</xm:f>
            <x14:dxf>
              <font>
                <color theme="1"/>
              </font>
              <fill>
                <patternFill>
                  <bgColor rgb="FFFF2F82"/>
                </patternFill>
              </fill>
            </x14:dxf>
          </x14:cfRule>
          <x14:cfRule type="expression" priority="31" id="{AF9AE05E-3605-5E4C-893C-6819AB1EE948}">
            <xm:f>OR(August!$C10="Ikke relevant")</xm:f>
            <x14:dxf>
              <font>
                <color theme="0"/>
              </font>
              <fill>
                <patternFill>
                  <bgColor theme="1"/>
                </patternFill>
              </fill>
            </x14:dxf>
          </x14:cfRule>
          <x14:cfRule type="expression" priority="102" id="{B78C599E-77F1-D644-9FE9-ABD5FC8F382C}">
            <xm:f>OR(August!$C10="pæd.dag")</xm:f>
            <x14:dxf>
              <font>
                <color theme="1"/>
              </font>
              <fill>
                <patternFill>
                  <bgColor theme="7" tint="0.39994506668294322"/>
                </patternFill>
              </fill>
            </x14:dxf>
          </x14:cfRule>
          <x14:cfRule type="expression" priority="103" id="{CDFF70CE-D945-F741-ADF6-03C1B6832B46}">
            <xm:f>OR(August!$C10="nul-dag")</xm:f>
            <x14:dxf>
              <font>
                <color theme="1"/>
              </font>
              <fill>
                <patternFill>
                  <bgColor theme="5" tint="0.79998168889431442"/>
                </patternFill>
              </fill>
            </x14:dxf>
          </x14:cfRule>
          <x14:cfRule type="expression" priority="25" id="{347B9104-5EB7-AA4F-9364-620AC86FE217}">
            <xm:f>OR(August!$C10="Skema 4")</xm:f>
            <x14:dxf>
              <font>
                <color theme="0"/>
              </font>
              <fill>
                <patternFill>
                  <bgColor theme="4" tint="-0.24994659260841701"/>
                </patternFill>
              </fill>
            </x14:dxf>
          </x14:cfRule>
          <x14:cfRule type="expression" priority="24" id="{268CA7B4-52BE-1443-93BC-121DA8356B11}">
            <xm:f>OR(August!$C10="Skema 3")</xm:f>
            <x14:dxf>
              <font>
                <color theme="0"/>
              </font>
              <fill>
                <patternFill>
                  <bgColor theme="4" tint="0.39994506668294322"/>
                </patternFill>
              </fill>
            </x14:dxf>
          </x14:cfRule>
          <x14:cfRule type="expression" priority="23" id="{A1951D69-4ADB-3047-8B42-4A5141429C7B}">
            <xm:f>OR(August!$C10="Skema 2")</xm:f>
            <x14:dxf>
              <font>
                <color theme="1"/>
              </font>
              <fill>
                <patternFill>
                  <bgColor theme="4" tint="0.59996337778862885"/>
                </patternFill>
              </fill>
            </x14:dxf>
          </x14:cfRule>
          <x14:cfRule type="expression" priority="22" stopIfTrue="1" id="{BCD76501-B6F8-B74D-98D4-F3CE391F978C}">
            <xm:f>OR(August!$C10="Skema 1")</xm:f>
            <x14:dxf>
              <font>
                <color theme="1"/>
              </font>
              <fill>
                <patternFill>
                  <bgColor theme="4" tint="0.79998168889431442"/>
                </patternFill>
              </fill>
            </x14:dxf>
          </x14:cfRule>
          <xm:sqref>A3:E33</xm:sqref>
        </x14:conditionalFormatting>
        <x14:conditionalFormatting xmlns:xm="http://schemas.microsoft.com/office/excel/2006/main">
          <x14:cfRule type="expression" priority="101" stopIfTrue="1" id="{FE91662E-4ED5-BC4E-9D99-6C70386FD5E4}">
            <xm:f>OR(September!$C9="Orlov")</xm:f>
            <x14:dxf>
              <font>
                <color theme="0"/>
              </font>
              <fill>
                <patternFill patternType="solid">
                  <bgColor theme="6" tint="-0.24994659260841701"/>
                </patternFill>
              </fill>
            </x14:dxf>
          </x14:cfRule>
          <x14:cfRule type="expression" priority="18" id="{A6A54F67-DB22-AB42-B807-1E094C48D97A}">
            <xm:f>OR(September!$C9="Skema 1")</xm:f>
            <x14:dxf>
              <font>
                <color theme="1"/>
              </font>
              <fill>
                <patternFill>
                  <bgColor theme="4" tint="0.79998168889431442"/>
                </patternFill>
              </fill>
            </x14:dxf>
          </x14:cfRule>
          <x14:cfRule type="expression" priority="19" id="{B8481A31-E298-9A4F-9913-506735F80059}">
            <xm:f>OR(September!$C9="Skema 2")</xm:f>
            <x14:dxf>
              <font>
                <color theme="1"/>
              </font>
              <fill>
                <patternFill>
                  <bgColor theme="4" tint="0.59996337778862885"/>
                </patternFill>
              </fill>
            </x14:dxf>
          </x14:cfRule>
          <x14:cfRule type="expression" priority="20" id="{2728A726-CE9E-574C-B3B3-5E1EDD834DDC}">
            <xm:f>OR(September!$C9="Skema 3")</xm:f>
            <x14:dxf>
              <font>
                <color theme="0"/>
              </font>
              <fill>
                <patternFill>
                  <bgColor theme="4" tint="0.39994506668294322"/>
                </patternFill>
              </fill>
            </x14:dxf>
          </x14:cfRule>
          <x14:cfRule type="expression" priority="21" id="{F8AFD9B1-8EEB-C144-83EB-300D51E1A14D}">
            <xm:f>OR(September!$C9="Skema 4")</xm:f>
            <x14:dxf>
              <font>
                <color theme="0"/>
              </font>
              <fill>
                <patternFill>
                  <bgColor theme="4" tint="-0.24994659260841701"/>
                </patternFill>
              </fill>
            </x14:dxf>
          </x14:cfRule>
          <x14:cfRule type="expression" priority="82" id="{DEF77C88-BD3C-6A45-8EEB-7A961DF3A37E}">
            <xm:f>OR(September!$C9="pæd.dag")</xm:f>
            <x14:dxf>
              <font>
                <color theme="1"/>
              </font>
              <fill>
                <patternFill>
                  <bgColor theme="7" tint="0.39994506668294322"/>
                </patternFill>
              </fill>
            </x14:dxf>
          </x14:cfRule>
          <x14:cfRule type="expression" priority="83" id="{DB8C7910-6163-4B4D-9819-AFD0627DBD4D}">
            <xm:f>OR(September!$C9="nul-dag")</xm:f>
            <x14:dxf>
              <font>
                <color theme="1"/>
              </font>
              <fill>
                <patternFill>
                  <bgColor theme="5" tint="0.79998168889431442"/>
                </patternFill>
              </fill>
            </x14:dxf>
          </x14:cfRule>
          <x14:cfRule type="expression" priority="84" id="{D026F715-A777-1349-B41E-F963FD6F7EA9}">
            <xm:f>OR(September!$C9="SH-dag")</xm:f>
            <x14:dxf>
              <font>
                <color theme="1"/>
              </font>
              <fill>
                <patternFill>
                  <bgColor rgb="FFFF2F82"/>
                </patternFill>
              </fill>
            </x14:dxf>
          </x14:cfRule>
          <x14:cfRule type="expression" priority="85" id="{EEADB28C-23C5-7D4E-B286-683226DD38E4}">
            <xm:f>OR(September!$C9="ekskursion")</xm:f>
            <x14:dxf>
              <font>
                <color theme="1"/>
              </font>
              <fill>
                <patternFill>
                  <bgColor rgb="FFFFFF00"/>
                </patternFill>
              </fill>
            </x14:dxf>
          </x14:cfRule>
          <x14:cfRule type="expression" priority="86" id="{6D234B6D-EBA5-3540-99F2-50B173C63F8E}">
            <xm:f>OR(September!$C9="lejrskole")</xm:f>
            <x14:dxf>
              <font>
                <color theme="1"/>
              </font>
              <fill>
                <patternFill>
                  <bgColor theme="8" tint="0.59996337778862885"/>
                </patternFill>
              </fill>
            </x14:dxf>
          </x14:cfRule>
          <x14:cfRule type="expression" priority="97" id="{A8990905-205C-FF44-8F8F-FEFDE39B50C0}">
            <xm:f>OR(September!$C9="emnedag")</xm:f>
            <x14:dxf>
              <font>
                <color theme="1"/>
              </font>
              <fill>
                <patternFill>
                  <bgColor theme="5" tint="0.59996337778862885"/>
                </patternFill>
              </fill>
            </x14:dxf>
          </x14:cfRule>
          <x14:cfRule type="expression" priority="98" id="{7078B40A-5F8B-4143-80AA-1AEA7E8FB8A5}">
            <xm:f>OR(September!$C9="fagdag")</xm:f>
            <x14:dxf>
              <font>
                <color theme="1"/>
              </font>
              <fill>
                <patternFill>
                  <bgColor theme="9" tint="0.59996337778862885"/>
                </patternFill>
              </fill>
            </x14:dxf>
          </x14:cfRule>
          <x14:cfRule type="expression" priority="99" id="{3AFDEDB1-87B0-3F45-9813-D01DCEBC4125}">
            <xm:f>OR(September!$C9="feriedag")</xm:f>
            <x14:dxf>
              <font>
                <color theme="1"/>
              </font>
              <fill>
                <patternFill>
                  <bgColor theme="6" tint="0.39994506668294322"/>
                </patternFill>
              </fill>
            </x14:dxf>
          </x14:cfRule>
          <x14:cfRule type="expression" priority="30" id="{ED26B2E1-0B14-3C45-AF63-E47A1587C77B}">
            <xm:f>OR(September!$C9="Ikke relevant")</xm:f>
            <x14:dxf>
              <font>
                <color theme="0"/>
              </font>
              <fill>
                <patternFill>
                  <bgColor theme="1"/>
                </patternFill>
              </fill>
            </x14:dxf>
          </x14:cfRule>
          <x14:cfRule type="expression" priority="100" id="{F83E5E55-9C4E-3C4E-BD25-E6F58D8EC187}">
            <xm:f>OR(September!$C9="weekend")</xm:f>
            <x14:dxf>
              <font>
                <color theme="1"/>
              </font>
              <fill>
                <patternFill>
                  <bgColor theme="0" tint="-0.14996795556505021"/>
                </patternFill>
              </fill>
            </x14:dxf>
          </x14:cfRule>
          <xm:sqref>F3:J32</xm:sqref>
        </x14:conditionalFormatting>
        <x14:conditionalFormatting xmlns:xm="http://schemas.microsoft.com/office/excel/2006/main">
          <x14:cfRule type="expression" priority="17" id="{61858BDA-AF1E-DA4B-A664-06BA7B26C092}">
            <xm:f>OR(Oktober!$C9="Skema 4")</xm:f>
            <x14:dxf>
              <font>
                <color theme="0"/>
              </font>
              <fill>
                <patternFill>
                  <bgColor theme="4" tint="-0.24994659260841701"/>
                </patternFill>
              </fill>
            </x14:dxf>
          </x14:cfRule>
          <x14:cfRule type="expression" priority="62" id="{B6C307A1-5DEC-0B42-8D75-84080930A7A4}">
            <xm:f>OR(Oktober!$C9="pæd.dag")</xm:f>
            <x14:dxf>
              <font>
                <color theme="1"/>
              </font>
              <fill>
                <patternFill>
                  <bgColor theme="7" tint="0.39994506668294322"/>
                </patternFill>
              </fill>
            </x14:dxf>
          </x14:cfRule>
          <x14:cfRule type="expression" priority="29" id="{81C04EAD-82C5-6845-A88A-C40691238A86}">
            <xm:f>OR(Oktober!$C9="Ikke relevant")</xm:f>
            <x14:dxf>
              <font>
                <color theme="0"/>
              </font>
              <fill>
                <patternFill>
                  <bgColor theme="1"/>
                </patternFill>
              </fill>
            </x14:dxf>
          </x14:cfRule>
          <x14:cfRule type="expression" priority="63" id="{6A855BD0-BA5F-C34B-B9C3-B5D46D20C054}">
            <xm:f>OR(Oktober!$C9="nul-dag")</xm:f>
            <x14:dxf>
              <font>
                <color theme="1"/>
              </font>
              <fill>
                <patternFill>
                  <bgColor theme="5" tint="0.79998168889431442"/>
                </patternFill>
              </fill>
            </x14:dxf>
          </x14:cfRule>
          <x14:cfRule type="expression" priority="64" id="{8AD9A72B-B3A5-4A45-9A4B-A2CCEEAA5CCB}">
            <xm:f>OR(Oktober!$C9="SH-dag")</xm:f>
            <x14:dxf>
              <font>
                <color theme="1"/>
              </font>
              <fill>
                <patternFill>
                  <bgColor rgb="FFFF2F82"/>
                </patternFill>
              </fill>
            </x14:dxf>
          </x14:cfRule>
          <x14:cfRule type="expression" priority="65" id="{37B2E358-D61F-4D4A-83D5-A34D1F5B5CFD}">
            <xm:f>OR(Oktober!$C9="ekskursion")</xm:f>
            <x14:dxf>
              <font>
                <color theme="1"/>
              </font>
              <fill>
                <patternFill>
                  <bgColor rgb="FFFFFF00"/>
                </patternFill>
              </fill>
            </x14:dxf>
          </x14:cfRule>
          <x14:cfRule type="expression" priority="66" id="{D8C38FF2-1905-C041-B360-E398BC807807}">
            <xm:f>OR(Oktober!$C9="lejrskole")</xm:f>
            <x14:dxf>
              <font>
                <color theme="1"/>
              </font>
              <fill>
                <patternFill>
                  <bgColor theme="8" tint="0.59996337778862885"/>
                </patternFill>
              </fill>
            </x14:dxf>
          </x14:cfRule>
          <x14:cfRule type="expression" priority="14" id="{4FEE00F1-A8EB-3D44-BE99-A45100690B53}">
            <xm:f>OR(Oktober!$C9="Skema 1")</xm:f>
            <x14:dxf>
              <font>
                <color theme="1"/>
              </font>
              <fill>
                <patternFill>
                  <bgColor theme="4" tint="0.79998168889431442"/>
                </patternFill>
              </fill>
            </x14:dxf>
          </x14:cfRule>
          <x14:cfRule type="expression" priority="15" id="{5251657E-5CB4-4F45-8A5D-CC0704DBE973}">
            <xm:f>OR(Oktober!$C9="Skema 2")</xm:f>
            <x14:dxf>
              <font>
                <color theme="1"/>
              </font>
              <fill>
                <patternFill>
                  <bgColor theme="4" tint="0.59996337778862885"/>
                </patternFill>
              </fill>
            </x14:dxf>
          </x14:cfRule>
          <x14:cfRule type="expression" priority="16" id="{1D690458-503E-EF45-9F3E-B7EFCD794C90}">
            <xm:f>OR(Oktober!$C9="Skema 3")</xm:f>
            <x14:dxf>
              <font>
                <color theme="0"/>
              </font>
              <fill>
                <patternFill>
                  <bgColor theme="4" tint="0.39994506668294322"/>
                </patternFill>
              </fill>
            </x14:dxf>
          </x14:cfRule>
          <x14:cfRule type="expression" priority="71" stopIfTrue="1" id="{21A4F459-3DCB-D341-934C-B6DE5F98A19C}">
            <xm:f>OR(Oktober!$C9="Orlov")</xm:f>
            <x14:dxf>
              <font>
                <color theme="0"/>
              </font>
              <fill>
                <patternFill patternType="solid">
                  <bgColor theme="6" tint="-0.24994659260841701"/>
                </patternFill>
              </fill>
            </x14:dxf>
          </x14:cfRule>
          <x14:cfRule type="expression" priority="70" id="{B23AAC2D-795E-5B49-BBFA-D2542B158A75}">
            <xm:f>OR(Oktober!$C9="weekend")</xm:f>
            <x14:dxf>
              <font>
                <color theme="1"/>
              </font>
              <fill>
                <patternFill>
                  <bgColor theme="0" tint="-0.14996795556505021"/>
                </patternFill>
              </fill>
            </x14:dxf>
          </x14:cfRule>
          <x14:cfRule type="expression" priority="69" id="{92238027-AC6B-5740-8C00-B99B2AA7D005}">
            <xm:f>OR(Oktober!$C9="feriedag")</xm:f>
            <x14:dxf>
              <font>
                <color theme="1"/>
              </font>
              <fill>
                <patternFill>
                  <bgColor theme="6" tint="0.39994506668294322"/>
                </patternFill>
              </fill>
            </x14:dxf>
          </x14:cfRule>
          <x14:cfRule type="expression" priority="68" id="{0C13C227-FB10-F94F-A80B-B1E19DFE6F84}">
            <xm:f>OR(Oktober!$C9="fagdag")</xm:f>
            <x14:dxf>
              <font>
                <color theme="1"/>
              </font>
              <fill>
                <patternFill>
                  <bgColor theme="9" tint="0.59996337778862885"/>
                </patternFill>
              </fill>
            </x14:dxf>
          </x14:cfRule>
          <x14:cfRule type="expression" priority="67" id="{709B2BB9-B1AA-814F-A84B-19E766EE7C43}">
            <xm:f>OR(Oktober!$C9="emnedag")</xm:f>
            <x14:dxf>
              <font>
                <color theme="1"/>
              </font>
              <fill>
                <patternFill>
                  <bgColor theme="5" tint="0.59996337778862885"/>
                </patternFill>
              </fill>
            </x14:dxf>
          </x14:cfRule>
          <xm:sqref>K3:O33</xm:sqref>
        </x14:conditionalFormatting>
        <x14:conditionalFormatting xmlns:xm="http://schemas.microsoft.com/office/excel/2006/main">
          <x14:cfRule type="expression" priority="13" id="{DD61B19E-8B3C-EF49-802C-8FD3F32076CA}">
            <xm:f>OR(November!$C9="Skema 4")</xm:f>
            <x14:dxf>
              <font>
                <color theme="0"/>
              </font>
              <fill>
                <patternFill>
                  <bgColor theme="4" tint="-0.24994659260841701"/>
                </patternFill>
              </fill>
            </x14:dxf>
          </x14:cfRule>
          <x14:cfRule type="expression" priority="12" id="{969B370B-0733-C84C-A898-E17064F14700}">
            <xm:f>OR(November!$C9="Skema 3")</xm:f>
            <x14:dxf>
              <font>
                <color theme="0"/>
              </font>
              <fill>
                <patternFill>
                  <bgColor theme="4" tint="0.39994506668294322"/>
                </patternFill>
              </fill>
            </x14:dxf>
          </x14:cfRule>
          <x14:cfRule type="expression" priority="11" id="{C39CFCCE-590E-594E-8C8F-DDAEEAB6361A}">
            <xm:f>OR(November!$C9="Skema 2")</xm:f>
            <x14:dxf>
              <font>
                <color theme="1"/>
              </font>
              <fill>
                <patternFill>
                  <bgColor theme="4" tint="0.59996337778862885"/>
                </patternFill>
              </fill>
            </x14:dxf>
          </x14:cfRule>
          <x14:cfRule type="expression" priority="28" id="{A170BAD0-3D79-FB41-B5D8-84995AE84347}">
            <xm:f>OR(November!$C9="Ikke relevant")</xm:f>
            <x14:dxf>
              <font>
                <color theme="0"/>
              </font>
              <fill>
                <patternFill>
                  <bgColor theme="1"/>
                </patternFill>
              </fill>
            </x14:dxf>
          </x14:cfRule>
          <x14:cfRule type="expression" priority="10" id="{317FFB8E-3019-7141-B243-77D777EC5A65}">
            <xm:f>OR(November!$C9="Skema 1")</xm:f>
            <x14:dxf>
              <font>
                <color theme="1"/>
              </font>
              <fill>
                <patternFill>
                  <bgColor theme="4" tint="0.79998168889431442"/>
                </patternFill>
              </fill>
            </x14:dxf>
          </x14:cfRule>
          <x14:cfRule type="expression" priority="52" id="{CED4A093-82D9-C644-B41E-DD3A41825021}">
            <xm:f>OR(November!$C9="pæd.dag")</xm:f>
            <x14:dxf>
              <font>
                <color theme="1"/>
              </font>
              <fill>
                <patternFill>
                  <bgColor theme="7" tint="0.39994506668294322"/>
                </patternFill>
              </fill>
            </x14:dxf>
          </x14:cfRule>
          <x14:cfRule type="expression" priority="53" id="{0E350EAE-BD99-3A46-9436-D482887C3178}">
            <xm:f>OR(November!$C9="nul-dag")</xm:f>
            <x14:dxf>
              <font>
                <color theme="1"/>
              </font>
              <fill>
                <patternFill>
                  <bgColor theme="5" tint="0.79998168889431442"/>
                </patternFill>
              </fill>
            </x14:dxf>
          </x14:cfRule>
          <x14:cfRule type="expression" priority="54" id="{63CD135A-29CA-194D-840C-48CAFE0078F0}">
            <xm:f>OR(November!$C9="SH-dag")</xm:f>
            <x14:dxf>
              <font>
                <color theme="1"/>
              </font>
              <fill>
                <patternFill>
                  <bgColor rgb="FFFF2F82"/>
                </patternFill>
              </fill>
            </x14:dxf>
          </x14:cfRule>
          <x14:cfRule type="expression" priority="55" id="{B2597A19-09A9-1A4F-A327-F393C182067B}">
            <xm:f>OR(November!$C9="ekskursion")</xm:f>
            <x14:dxf>
              <font>
                <color theme="1"/>
              </font>
              <fill>
                <patternFill>
                  <bgColor rgb="FFFFFF00"/>
                </patternFill>
              </fill>
            </x14:dxf>
          </x14:cfRule>
          <x14:cfRule type="expression" priority="56" id="{55362959-AF26-2744-85D8-C7595B5E2976}">
            <xm:f>OR(November!$C9="lejrskole")</xm:f>
            <x14:dxf>
              <font>
                <color theme="1"/>
              </font>
              <fill>
                <patternFill>
                  <bgColor theme="8" tint="0.59996337778862885"/>
                </patternFill>
              </fill>
            </x14:dxf>
          </x14:cfRule>
          <x14:cfRule type="expression" priority="57" id="{3B5C389C-3B05-4E44-A6F5-C3F1A1F27D69}">
            <xm:f>OR(November!$C9="emnedag")</xm:f>
            <x14:dxf>
              <font>
                <color theme="1"/>
              </font>
              <fill>
                <patternFill>
                  <bgColor theme="5" tint="0.59996337778862885"/>
                </patternFill>
              </fill>
            </x14:dxf>
          </x14:cfRule>
          <x14:cfRule type="expression" priority="58" id="{3F74E116-1BCF-674C-ADEA-3F09A8626D16}">
            <xm:f>OR(November!$C9="fagdag")</xm:f>
            <x14:dxf>
              <font>
                <color theme="1"/>
              </font>
              <fill>
                <patternFill>
                  <bgColor theme="9" tint="0.59996337778862885"/>
                </patternFill>
              </fill>
            </x14:dxf>
          </x14:cfRule>
          <x14:cfRule type="expression" priority="59" id="{3748DFC3-871A-A943-A15C-451B4B624013}">
            <xm:f>OR(November!$C9="feriedag")</xm:f>
            <x14:dxf>
              <font>
                <color theme="1"/>
              </font>
              <fill>
                <patternFill>
                  <bgColor theme="6" tint="0.39994506668294322"/>
                </patternFill>
              </fill>
            </x14:dxf>
          </x14:cfRule>
          <x14:cfRule type="expression" priority="60" id="{DCA403BE-4695-E243-9B31-CDE573D32BF5}">
            <xm:f>OR(November!$C9="weekend")</xm:f>
            <x14:dxf>
              <font>
                <color theme="1"/>
              </font>
              <fill>
                <patternFill>
                  <bgColor theme="0" tint="-0.14996795556505021"/>
                </patternFill>
              </fill>
            </x14:dxf>
          </x14:cfRule>
          <x14:cfRule type="expression" priority="61" stopIfTrue="1" id="{24164010-B51D-2D40-ACA9-B60FB02B040C}">
            <xm:f>OR(November!$C9="Orlov")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51" stopIfTrue="1" id="{D358BCF8-85AC-BA40-A836-B48949AC57B2}">
            <xm:f>OR(December!$C9="Orlov")</xm:f>
            <x14:dxf>
              <font>
                <color theme="0"/>
              </font>
              <fill>
                <patternFill patternType="solid">
                  <bgColor theme="6" tint="-0.24994659260841701"/>
                </patternFill>
              </fill>
            </x14:dxf>
          </x14:cfRule>
          <x14:cfRule type="expression" priority="50" id="{BDCCCECE-18A6-DD4D-8287-DDB782F9579C}">
            <xm:f>OR(December!$C9="weekend")</xm:f>
            <x14:dxf>
              <font>
                <color theme="1"/>
              </font>
              <fill>
                <patternFill>
                  <bgColor theme="0" tint="-0.14996795556505021"/>
                </patternFill>
              </fill>
            </x14:dxf>
          </x14:cfRule>
          <x14:cfRule type="expression" priority="49" id="{3B95DC54-79FB-6E4F-8DC6-A7F8452A83D1}">
            <xm:f>OR(December!$C9="feriedag")</xm:f>
            <x14:dxf>
              <font>
                <color theme="1"/>
              </font>
              <fill>
                <patternFill>
                  <bgColor theme="6" tint="0.39994506668294322"/>
                </patternFill>
              </fill>
            </x14:dxf>
          </x14:cfRule>
          <x14:cfRule type="expression" priority="48" id="{CA67FB30-F316-FD41-AA7D-A3FFA6ACA202}">
            <xm:f>OR(December!$C9="fagdag")</xm:f>
            <x14:dxf>
              <font>
                <color theme="1"/>
              </font>
              <fill>
                <patternFill>
                  <bgColor theme="9" tint="0.59996337778862885"/>
                </patternFill>
              </fill>
            </x14:dxf>
          </x14:cfRule>
          <x14:cfRule type="expression" priority="47" id="{31D0F7ED-008C-A643-9630-E35BCC2D5713}">
            <xm:f>OR(December!$C9="emnedag")</xm:f>
            <x14:dxf>
              <font>
                <color theme="1"/>
              </font>
              <fill>
                <patternFill>
                  <bgColor theme="5" tint="0.59996337778862885"/>
                </patternFill>
              </fill>
            </x14:dxf>
          </x14:cfRule>
          <x14:cfRule type="expression" priority="46" id="{1F34D948-7D51-6C4D-9C12-EA1C00ECAA0D}">
            <xm:f>OR(December!$C9="lejrskole")</xm:f>
            <x14:dxf>
              <font>
                <color theme="1"/>
              </font>
              <fill>
                <patternFill>
                  <bgColor theme="8" tint="0.59996337778862885"/>
                </patternFill>
              </fill>
            </x14:dxf>
          </x14:cfRule>
          <x14:cfRule type="expression" priority="45" id="{42C6D939-E342-794F-8D68-4D2A92B68661}">
            <xm:f>OR(December!$C9="ekskursion")</xm:f>
            <x14:dxf>
              <font>
                <color theme="1"/>
              </font>
              <fill>
                <patternFill>
                  <bgColor rgb="FFFFFF00"/>
                </patternFill>
              </fill>
            </x14:dxf>
          </x14:cfRule>
          <x14:cfRule type="expression" priority="44" id="{95FF3B6C-9C43-8444-AAF4-1564645F2098}">
            <xm:f>OR(December!$C9="SH-dag")</xm:f>
            <x14:dxf>
              <font>
                <color theme="1"/>
              </font>
              <fill>
                <patternFill>
                  <bgColor rgb="FFFF2F82"/>
                </patternFill>
              </fill>
            </x14:dxf>
          </x14:cfRule>
          <x14:cfRule type="expression" priority="43" id="{B713B3FF-E644-6F43-9A39-F213E292C09D}">
            <xm:f>OR(December!$C9="nul-dag")</xm:f>
            <x14:dxf>
              <font>
                <color theme="1"/>
              </font>
              <fill>
                <patternFill>
                  <bgColor theme="5" tint="0.79998168889431442"/>
                </patternFill>
              </fill>
            </x14:dxf>
          </x14:cfRule>
          <x14:cfRule type="expression" priority="42" id="{07ADBFA5-B73D-CF41-95CD-1AFA8C6192DD}">
            <xm:f>OR(December!$C9="pæd.dag")</xm:f>
            <x14:dxf>
              <font>
                <color theme="1"/>
              </font>
              <fill>
                <patternFill>
                  <bgColor theme="7" tint="0.39994506668294322"/>
                </patternFill>
              </fill>
            </x14:dxf>
          </x14:cfRule>
          <x14:cfRule type="expression" priority="6" id="{D7EBA1BC-C9AE-7D4C-B30E-EC1B416868F4}">
            <xm:f>OR(December!$C9="Skema 1")</xm:f>
            <x14:dxf>
              <font>
                <color theme="1"/>
              </font>
              <fill>
                <patternFill>
                  <bgColor theme="4" tint="0.79998168889431442"/>
                </patternFill>
              </fill>
            </x14:dxf>
          </x14:cfRule>
          <x14:cfRule type="expression" priority="7" id="{FD4C3246-21CD-9743-87F3-620C8162FD86}">
            <xm:f>OR(December!$C9="Skema 2")</xm:f>
            <x14:dxf>
              <font>
                <color theme="1"/>
              </font>
              <fill>
                <patternFill>
                  <bgColor theme="4" tint="0.59996337778862885"/>
                </patternFill>
              </fill>
            </x14:dxf>
          </x14:cfRule>
          <x14:cfRule type="expression" priority="8" id="{502BE986-C74F-B04A-8751-28403A9BF494}">
            <xm:f>OR(December!$C9="Skema 3")</xm:f>
            <x14:dxf>
              <font>
                <color theme="0"/>
              </font>
              <fill>
                <patternFill>
                  <bgColor theme="4" tint="0.39994506668294322"/>
                </patternFill>
              </fill>
            </x14:dxf>
          </x14:cfRule>
          <x14:cfRule type="expression" priority="9" id="{BEEEB4A5-6AC8-FE43-9BC2-6A542C8813C9}">
            <xm:f>OR(December!$C9="Skema 4")</xm:f>
            <x14:dxf>
              <font>
                <color theme="0"/>
              </font>
              <fill>
                <patternFill>
                  <bgColor theme="4" tint="-0.24994659260841701"/>
                </patternFill>
              </fill>
            </x14:dxf>
          </x14:cfRule>
          <x14:cfRule type="expression" priority="27" id="{9B0E3D34-4C10-B641-9750-3FD87A54691D}">
            <xm:f>OR(December!$C9="Ikke relevant")</xm:f>
            <x14:dxf>
              <font>
                <color theme="0"/>
              </font>
              <fill>
                <patternFill>
                  <bgColor theme="1"/>
                </patternFill>
              </fill>
            </x14:dxf>
          </x14:cfRule>
          <xm:sqref>U3:Y33</xm:sqref>
        </x14:conditionalFormatting>
        <x14:conditionalFormatting xmlns:xm="http://schemas.microsoft.com/office/excel/2006/main">
          <x14:cfRule type="expression" priority="36" id="{A0D0FAB6-EDC2-F04E-9AA0-AC37C2D8CFA0}">
            <xm:f>OR(Januar!$C9="lejrskole")</xm:f>
            <x14:dxf>
              <font>
                <color theme="1"/>
              </font>
              <fill>
                <patternFill>
                  <bgColor theme="8" tint="0.59996337778862885"/>
                </patternFill>
              </fill>
            </x14:dxf>
          </x14:cfRule>
          <x14:cfRule type="expression" priority="35" id="{0A364475-486F-F548-AA5E-0240AD74B6F5}">
            <xm:f>OR(Januar!$C9="ekskursion")</xm:f>
            <x14:dxf>
              <font>
                <color theme="1"/>
              </font>
              <fill>
                <patternFill>
                  <bgColor rgb="FFFFFF00"/>
                </patternFill>
              </fill>
            </x14:dxf>
          </x14:cfRule>
          <x14:cfRule type="expression" priority="34" id="{59A55BCC-8EC7-6B46-8D8B-F62C6CFA6265}">
            <xm:f>OR(Januar!$C9="SH-dag")</xm:f>
            <x14:dxf>
              <font>
                <color theme="1"/>
              </font>
              <fill>
                <patternFill>
                  <bgColor rgb="FFFF2F82"/>
                </patternFill>
              </fill>
            </x14:dxf>
          </x14:cfRule>
          <x14:cfRule type="expression" priority="33" id="{52D09256-9D97-6546-A35A-A627276E2390}">
            <xm:f>OR(Januar!$C9="nul-dag")</xm:f>
            <x14:dxf>
              <font>
                <color theme="1"/>
              </font>
              <fill>
                <patternFill>
                  <bgColor theme="5" tint="0.79998168889431442"/>
                </patternFill>
              </fill>
            </x14:dxf>
          </x14:cfRule>
          <x14:cfRule type="expression" priority="32" id="{7DE50EC5-7141-694F-940D-A8D18C9104D2}">
            <xm:f>OR(Januar!$C9="pæd.dag")</xm:f>
            <x14:dxf>
              <font>
                <color theme="1"/>
              </font>
              <fill>
                <patternFill>
                  <bgColor theme="7" tint="0.39994506668294322"/>
                </patternFill>
              </fill>
            </x14:dxf>
          </x14:cfRule>
          <x14:cfRule type="expression" priority="37" id="{C3669A06-ECE3-1C4C-8A9E-AC7AB2A13144}">
            <xm:f>OR(Januar!$C9="emnedag")</xm:f>
            <x14:dxf>
              <font>
                <color theme="1"/>
              </font>
              <fill>
                <patternFill>
                  <bgColor theme="5" tint="0.59996337778862885"/>
                </patternFill>
              </fill>
            </x14:dxf>
          </x14:cfRule>
          <x14:cfRule type="expression" priority="26" id="{FDE39F5A-D65C-1344-816C-86CD370A3ECF}">
            <xm:f>OR(Januar!$C9="Ikke relevant")</xm:f>
            <x14:dxf>
              <font>
                <color theme="0"/>
              </font>
              <fill>
                <patternFill>
                  <bgColor theme="1"/>
                </patternFill>
              </fill>
            </x14:dxf>
          </x14:cfRule>
          <x14:cfRule type="expression" priority="38" id="{2A6AFF4D-71BF-5445-99EA-CFA1FD023307}">
            <xm:f>OR(Januar!$C9="fagdag")</xm:f>
            <x14:dxf>
              <font>
                <color theme="1"/>
              </font>
              <fill>
                <patternFill>
                  <bgColor theme="9" tint="0.59996337778862885"/>
                </patternFill>
              </fill>
            </x14:dxf>
          </x14:cfRule>
          <x14:cfRule type="expression" priority="39" id="{D62CD6F0-FB94-BE49-8742-DBB545E12DAE}">
            <xm:f>OR(Januar!$C9="feriedag")</xm:f>
            <x14:dxf>
              <font>
                <color theme="1"/>
              </font>
              <fill>
                <patternFill>
                  <bgColor theme="6" tint="0.39994506668294322"/>
                </patternFill>
              </fill>
            </x14:dxf>
          </x14:cfRule>
          <x14:cfRule type="expression" priority="40" id="{90360773-D299-7A4E-8D20-330CE4CDECBF}">
            <xm:f>OR(Januar!$C9="weekend")</xm:f>
            <x14:dxf>
              <font>
                <color theme="1"/>
              </font>
              <fill>
                <patternFill>
                  <bgColor theme="0" tint="-0.14996795556505021"/>
                </patternFill>
              </fill>
            </x14:dxf>
          </x14:cfRule>
          <x14:cfRule type="expression" priority="41" stopIfTrue="1" id="{84623046-F60B-3C47-9B00-5232AB04FE96}">
            <xm:f>OR(Januar!$C9="Orlov")</xm:f>
            <x14:dxf>
              <font>
                <color theme="0"/>
              </font>
              <fill>
                <patternFill patternType="solid">
                  <bgColor theme="6" tint="-0.24994659260841701"/>
                </patternFill>
              </fill>
            </x14:dxf>
          </x14:cfRule>
          <x14:cfRule type="expression" priority="5" id="{62F71BAE-4588-E24E-A4E5-F0C02F99DE26}">
            <xm:f>OR(Januar!$C9="Skema 4")</xm:f>
            <x14:dxf>
              <font>
                <color theme="0"/>
              </font>
              <fill>
                <patternFill>
                  <bgColor theme="4" tint="-0.24994659260841701"/>
                </patternFill>
              </fill>
            </x14:dxf>
          </x14:cfRule>
          <x14:cfRule type="expression" priority="4" id="{F39B1262-9811-2243-A35C-56E5B44D5636}">
            <xm:f>OR(Januar!$C9="Skema 3")</xm:f>
            <x14:dxf>
              <font>
                <color theme="0"/>
              </font>
              <fill>
                <patternFill>
                  <bgColor theme="4" tint="0.39994506668294322"/>
                </patternFill>
              </fill>
            </x14:dxf>
          </x14:cfRule>
          <x14:cfRule type="expression" priority="3" id="{40A8624D-C4DB-6E47-AA8C-162FE7A3C02E}">
            <xm:f>OR(Januar!$C9="Skema 2")</xm:f>
            <x14:dxf>
              <font>
                <color theme="1"/>
              </font>
              <fill>
                <patternFill>
                  <bgColor theme="4" tint="0.59996337778862885"/>
                </patternFill>
              </fill>
            </x14:dxf>
          </x14:cfRule>
          <x14:cfRule type="expression" priority="2" id="{574FAC8E-B719-8248-AB94-253102EF7EAF}">
            <xm:f>OR(Januar!$C9="Skema 1")</xm:f>
            <x14:dxf>
              <font>
                <color theme="1"/>
              </font>
              <fill>
                <patternFill>
                  <bgColor theme="4" tint="0.79998168889431442"/>
                </patternFill>
              </fill>
            </x14:dxf>
          </x14:cfRule>
          <xm:sqref>Z3:AD33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zoomScale="80" zoomScaleNormal="80" zoomScalePageLayoutView="80" workbookViewId="0">
      <selection activeCell="C31" sqref="C31"/>
    </sheetView>
  </sheetViews>
  <sheetFormatPr baseColWidth="10" defaultColWidth="12.5" defaultRowHeight="36" customHeight="1"/>
  <cols>
    <col min="1" max="2" width="4.33203125" style="74" customWidth="1"/>
    <col min="3" max="3" width="7.83203125" style="75" customWidth="1"/>
    <col min="4" max="4" width="20.1640625" style="75" customWidth="1"/>
    <col min="5" max="5" width="3.1640625" style="73" customWidth="1"/>
    <col min="6" max="7" width="4.33203125" style="74" customWidth="1"/>
    <col min="8" max="8" width="8" style="75" customWidth="1"/>
    <col min="9" max="9" width="20.33203125" style="75" customWidth="1"/>
    <col min="10" max="10" width="5" style="73" customWidth="1"/>
    <col min="11" max="12" width="4.33203125" style="74" customWidth="1"/>
    <col min="13" max="13" width="7.83203125" style="75" customWidth="1"/>
    <col min="14" max="14" width="20.1640625" style="75" customWidth="1"/>
    <col min="15" max="15" width="4" style="73" customWidth="1"/>
    <col min="16" max="17" width="4.33203125" style="74" customWidth="1"/>
    <col min="18" max="18" width="7.83203125" style="75" customWidth="1"/>
    <col min="19" max="19" width="20.1640625" style="75" customWidth="1"/>
    <col min="20" max="20" width="4" style="73" customWidth="1"/>
    <col min="21" max="21" width="5.33203125" style="74" customWidth="1"/>
    <col min="22" max="22" width="4.33203125" style="74" customWidth="1"/>
    <col min="23" max="23" width="7.83203125" style="75" customWidth="1"/>
    <col min="24" max="24" width="20.1640625" style="75" customWidth="1"/>
    <col min="25" max="25" width="4" style="73" customWidth="1"/>
    <col min="26" max="27" width="4.33203125" style="74" customWidth="1"/>
    <col min="28" max="28" width="7.83203125" style="75" customWidth="1"/>
    <col min="29" max="29" width="20.1640625" style="75" customWidth="1"/>
    <col min="30" max="30" width="4" style="73" customWidth="1"/>
    <col min="31" max="16384" width="12.5" style="62"/>
  </cols>
  <sheetData>
    <row r="1" spans="1:30" ht="36" customHeight="1">
      <c r="A1" s="589" t="str">
        <f>'1.halvaar'!A1</f>
        <v>Halvårskalender for  vedr. skoleåret 2024-2025</v>
      </c>
      <c r="B1" s="590"/>
      <c r="C1" s="591"/>
      <c r="D1" s="591"/>
      <c r="E1" s="592"/>
      <c r="F1" s="593"/>
      <c r="G1" s="590"/>
      <c r="H1" s="591"/>
      <c r="I1" s="591"/>
      <c r="J1" s="594"/>
      <c r="K1" s="593"/>
      <c r="L1" s="590"/>
      <c r="M1" s="591"/>
      <c r="N1" s="591"/>
      <c r="O1" s="594"/>
      <c r="P1" s="593"/>
      <c r="Q1" s="590"/>
      <c r="R1" s="591"/>
      <c r="S1" s="591"/>
      <c r="T1" s="594"/>
      <c r="U1" s="593"/>
      <c r="V1" s="590"/>
      <c r="W1" s="591"/>
      <c r="X1" s="591"/>
      <c r="Y1" s="594"/>
      <c r="Z1" s="593"/>
      <c r="AA1" s="590"/>
      <c r="AB1" s="591"/>
      <c r="AC1" s="591"/>
      <c r="AD1" s="592"/>
    </row>
    <row r="2" spans="1:30" s="61" customFormat="1" ht="23" customHeight="1">
      <c r="A2" s="583" t="s">
        <v>99</v>
      </c>
      <c r="B2" s="579"/>
      <c r="C2" s="580"/>
      <c r="D2" s="580"/>
      <c r="E2" s="581"/>
      <c r="F2" s="578" t="s">
        <v>100</v>
      </c>
      <c r="G2" s="579"/>
      <c r="H2" s="580"/>
      <c r="I2" s="580"/>
      <c r="J2" s="581"/>
      <c r="K2" s="578" t="s">
        <v>101</v>
      </c>
      <c r="L2" s="579"/>
      <c r="M2" s="580"/>
      <c r="N2" s="580"/>
      <c r="O2" s="581"/>
      <c r="P2" s="578" t="s">
        <v>102</v>
      </c>
      <c r="Q2" s="579"/>
      <c r="R2" s="580"/>
      <c r="S2" s="580"/>
      <c r="T2" s="581"/>
      <c r="U2" s="578" t="s">
        <v>103</v>
      </c>
      <c r="V2" s="579"/>
      <c r="W2" s="580"/>
      <c r="X2" s="580"/>
      <c r="Y2" s="581"/>
      <c r="Z2" s="578" t="s">
        <v>104</v>
      </c>
      <c r="AA2" s="579"/>
      <c r="AB2" s="580"/>
      <c r="AC2" s="580"/>
      <c r="AD2" s="581"/>
    </row>
    <row r="3" spans="1:30" ht="23" customHeight="1">
      <c r="A3" s="584">
        <f>Aar!Y3</f>
        <v>1</v>
      </c>
      <c r="B3" s="585" t="str">
        <f>Aar!Z3</f>
        <v>lø</v>
      </c>
      <c r="C3" s="586" t="str">
        <f>Februar!C9</f>
        <v>Weekend</v>
      </c>
      <c r="D3" s="587" t="str">
        <f>Februar!DN9</f>
        <v/>
      </c>
      <c r="E3" s="588" t="str">
        <f>Februar!D9</f>
        <v/>
      </c>
      <c r="F3" s="127">
        <f>Aar!AC3</f>
        <v>1</v>
      </c>
      <c r="G3" s="127" t="str">
        <f>Aar!AD3</f>
        <v>lø</v>
      </c>
      <c r="H3" s="127" t="str">
        <f>Aar!AE3</f>
        <v>Weekend</v>
      </c>
      <c r="I3" s="573" t="str">
        <f>Marts!DN9</f>
        <v/>
      </c>
      <c r="J3" s="569" t="str">
        <f>Marts!D9</f>
        <v/>
      </c>
      <c r="K3" s="127">
        <f>Aar!AG3</f>
        <v>1</v>
      </c>
      <c r="L3" s="127" t="str">
        <f>Aar!AH3</f>
        <v>ti</v>
      </c>
      <c r="M3" s="127" t="str">
        <f>Aar!AI3</f>
        <v>Skema 1</v>
      </c>
      <c r="N3" s="573" t="str">
        <f>April!DN9</f>
        <v/>
      </c>
      <c r="O3" s="567" t="str">
        <f>April!D9</f>
        <v/>
      </c>
      <c r="P3" s="568">
        <f>Aar!AK3</f>
        <v>1</v>
      </c>
      <c r="Q3" s="127" t="str">
        <f>Aar!AL3</f>
        <v>to</v>
      </c>
      <c r="R3" s="127" t="str">
        <f>Aar!AM3</f>
        <v>Skema 1</v>
      </c>
      <c r="S3" s="573" t="str">
        <f>Maj!DN9</f>
        <v/>
      </c>
      <c r="T3" s="569" t="str">
        <f>Maj!D9</f>
        <v/>
      </c>
      <c r="U3" s="568">
        <f>Aar!AO3</f>
        <v>1</v>
      </c>
      <c r="V3" s="127" t="str">
        <f>Aar!AP3</f>
        <v>sø</v>
      </c>
      <c r="W3" s="127" t="str">
        <f>Aar!AQ3</f>
        <v>Weekend</v>
      </c>
      <c r="X3" s="573" t="str">
        <f>Juni!DN9</f>
        <v/>
      </c>
      <c r="Y3" s="567" t="str">
        <f>Juni!D9</f>
        <v/>
      </c>
      <c r="Z3" s="568">
        <f>Aar!AS3</f>
        <v>1</v>
      </c>
      <c r="AA3" s="127" t="str">
        <f>Aar!AT3</f>
        <v>ti</v>
      </c>
      <c r="AB3" s="127" t="str">
        <f>Aar!AU3</f>
        <v>Nul-dag</v>
      </c>
      <c r="AC3" s="573" t="str">
        <f>Juli!DN9</f>
        <v/>
      </c>
      <c r="AD3" s="569" t="str">
        <f>Juli!D9</f>
        <v/>
      </c>
    </row>
    <row r="4" spans="1:30" ht="23" customHeight="1">
      <c r="A4" s="568">
        <f>Aar!Y4</f>
        <v>2</v>
      </c>
      <c r="B4" s="127" t="str">
        <f>Aar!Z4</f>
        <v>sø</v>
      </c>
      <c r="C4" s="128" t="str">
        <f>Februar!C10</f>
        <v>Weekend</v>
      </c>
      <c r="D4" s="572" t="str">
        <f>Februar!DN10</f>
        <v/>
      </c>
      <c r="E4" s="571" t="str">
        <f>Aar!AB4</f>
        <v/>
      </c>
      <c r="F4" s="127">
        <f>Aar!AC4</f>
        <v>2</v>
      </c>
      <c r="G4" s="127" t="str">
        <f>Aar!AD4</f>
        <v>sø</v>
      </c>
      <c r="H4" s="127" t="str">
        <f>Aar!AE4</f>
        <v>Weekend</v>
      </c>
      <c r="I4" s="573" t="str">
        <f>Marts!DN10</f>
        <v/>
      </c>
      <c r="J4" s="569" t="str">
        <f>Marts!D10</f>
        <v/>
      </c>
      <c r="K4" s="127">
        <f>Aar!AG4</f>
        <v>2</v>
      </c>
      <c r="L4" s="127" t="str">
        <f>Aar!AH4</f>
        <v>on</v>
      </c>
      <c r="M4" s="127" t="str">
        <f>Aar!AI4</f>
        <v>Skema 1</v>
      </c>
      <c r="N4" s="573" t="str">
        <f>April!DN10</f>
        <v/>
      </c>
      <c r="O4" s="567" t="str">
        <f>April!D10</f>
        <v/>
      </c>
      <c r="P4" s="568">
        <f>Aar!AK4</f>
        <v>2</v>
      </c>
      <c r="Q4" s="127" t="str">
        <f>Aar!AL4</f>
        <v>fr</v>
      </c>
      <c r="R4" s="127" t="str">
        <f>Aar!AM4</f>
        <v>Skema 1</v>
      </c>
      <c r="S4" s="573" t="str">
        <f>Maj!DN10</f>
        <v/>
      </c>
      <c r="T4" s="569" t="str">
        <f>Maj!D10</f>
        <v/>
      </c>
      <c r="U4" s="568">
        <f>Aar!AO4</f>
        <v>2</v>
      </c>
      <c r="V4" s="127" t="str">
        <f>Aar!AP4</f>
        <v>ma</v>
      </c>
      <c r="W4" s="127" t="str">
        <f>Aar!AQ4</f>
        <v>Skema 1</v>
      </c>
      <c r="X4" s="573" t="str">
        <f>Juni!DN10</f>
        <v/>
      </c>
      <c r="Y4" s="567">
        <f>Juni!D10</f>
        <v>22.714285714285715</v>
      </c>
      <c r="Z4" s="568">
        <f>Aar!AS4</f>
        <v>2</v>
      </c>
      <c r="AA4" s="127" t="str">
        <f>Aar!AT4</f>
        <v>on</v>
      </c>
      <c r="AB4" s="127" t="str">
        <f>Aar!AU4</f>
        <v>Nul-dag</v>
      </c>
      <c r="AC4" s="573" t="str">
        <f>Juli!DN10</f>
        <v/>
      </c>
      <c r="AD4" s="569" t="str">
        <f>Juli!D10</f>
        <v/>
      </c>
    </row>
    <row r="5" spans="1:30" ht="23" customHeight="1">
      <c r="A5" s="568">
        <f>Aar!Y5</f>
        <v>3</v>
      </c>
      <c r="B5" s="127" t="str">
        <f>Aar!Z5</f>
        <v>ma</v>
      </c>
      <c r="C5" s="128" t="str">
        <f>Februar!C11</f>
        <v>Skema 1</v>
      </c>
      <c r="D5" s="572" t="str">
        <f>Februar!DN11</f>
        <v/>
      </c>
      <c r="E5" s="571">
        <f>Aar!AB5</f>
        <v>5.7142857142857144</v>
      </c>
      <c r="F5" s="127">
        <f>Aar!AC5</f>
        <v>3</v>
      </c>
      <c r="G5" s="127" t="str">
        <f>Aar!AD5</f>
        <v>ma</v>
      </c>
      <c r="H5" s="127" t="str">
        <f>Aar!AE5</f>
        <v>Skema 1</v>
      </c>
      <c r="I5" s="573" t="str">
        <f>Marts!DN11</f>
        <v/>
      </c>
      <c r="J5" s="569">
        <f>Marts!D11</f>
        <v>9.7142857142857135</v>
      </c>
      <c r="K5" s="127">
        <f>Aar!AG5</f>
        <v>3</v>
      </c>
      <c r="L5" s="127" t="str">
        <f>Aar!AH5</f>
        <v>to</v>
      </c>
      <c r="M5" s="127" t="str">
        <f>Aar!AI5</f>
        <v>Skema 1</v>
      </c>
      <c r="N5" s="573" t="str">
        <f>April!DN11</f>
        <v/>
      </c>
      <c r="O5" s="567" t="str">
        <f>April!D11</f>
        <v/>
      </c>
      <c r="P5" s="568">
        <f>Aar!AK5</f>
        <v>3</v>
      </c>
      <c r="Q5" s="127" t="str">
        <f>Aar!AL5</f>
        <v>lø</v>
      </c>
      <c r="R5" s="127" t="str">
        <f>Aar!AM5</f>
        <v>Weekend</v>
      </c>
      <c r="S5" s="573" t="str">
        <f>Maj!DN11</f>
        <v/>
      </c>
      <c r="T5" s="569" t="str">
        <f>Maj!D11</f>
        <v/>
      </c>
      <c r="U5" s="568">
        <f>Aar!AO5</f>
        <v>3</v>
      </c>
      <c r="V5" s="127" t="str">
        <f>Aar!AP5</f>
        <v>ti</v>
      </c>
      <c r="W5" s="127" t="str">
        <f>Aar!AQ5</f>
        <v>Skema 1</v>
      </c>
      <c r="X5" s="573" t="str">
        <f>Juni!DN11</f>
        <v/>
      </c>
      <c r="Y5" s="567" t="str">
        <f>Juni!D11</f>
        <v/>
      </c>
      <c r="Z5" s="568">
        <f>Aar!AS5</f>
        <v>3</v>
      </c>
      <c r="AA5" s="127" t="str">
        <f>Aar!AT5</f>
        <v>to</v>
      </c>
      <c r="AB5" s="127" t="str">
        <f>Aar!AU5</f>
        <v>Nul-dag</v>
      </c>
      <c r="AC5" s="573" t="str">
        <f>Juli!DN11</f>
        <v/>
      </c>
      <c r="AD5" s="569" t="str">
        <f>Juli!D11</f>
        <v/>
      </c>
    </row>
    <row r="6" spans="1:30" ht="23" customHeight="1">
      <c r="A6" s="568">
        <f>Aar!Y6</f>
        <v>4</v>
      </c>
      <c r="B6" s="127" t="str">
        <f>Aar!Z6</f>
        <v>ti</v>
      </c>
      <c r="C6" s="128" t="str">
        <f>Februar!C12</f>
        <v>Skema 1</v>
      </c>
      <c r="D6" s="572" t="str">
        <f>Februar!DN12</f>
        <v/>
      </c>
      <c r="E6" s="571" t="str">
        <f>Aar!AB6</f>
        <v/>
      </c>
      <c r="F6" s="127">
        <f>Aar!AC6</f>
        <v>4</v>
      </c>
      <c r="G6" s="127" t="str">
        <f>Aar!AD6</f>
        <v>ti</v>
      </c>
      <c r="H6" s="127" t="str">
        <f>Aar!AE6</f>
        <v>Skema 1</v>
      </c>
      <c r="I6" s="573" t="str">
        <f>Marts!DN12</f>
        <v/>
      </c>
      <c r="J6" s="569" t="str">
        <f>Marts!D12</f>
        <v/>
      </c>
      <c r="K6" s="127">
        <f>Aar!AG6</f>
        <v>4</v>
      </c>
      <c r="L6" s="127" t="str">
        <f>Aar!AH6</f>
        <v>fr</v>
      </c>
      <c r="M6" s="127" t="str">
        <f>Aar!AI6</f>
        <v>Skema 1</v>
      </c>
      <c r="N6" s="573" t="str">
        <f>April!DN12</f>
        <v/>
      </c>
      <c r="O6" s="567" t="str">
        <f>April!D12</f>
        <v/>
      </c>
      <c r="P6" s="568">
        <f>Aar!AK6</f>
        <v>4</v>
      </c>
      <c r="Q6" s="127" t="str">
        <f>Aar!AL6</f>
        <v>sø</v>
      </c>
      <c r="R6" s="127" t="str">
        <f>Aar!AM6</f>
        <v>Weekend</v>
      </c>
      <c r="S6" s="573" t="str">
        <f>Maj!DN12</f>
        <v/>
      </c>
      <c r="T6" s="569" t="str">
        <f>Maj!D12</f>
        <v/>
      </c>
      <c r="U6" s="568">
        <f>Aar!AO6</f>
        <v>4</v>
      </c>
      <c r="V6" s="127" t="str">
        <f>Aar!AP6</f>
        <v>on</v>
      </c>
      <c r="W6" s="127" t="str">
        <f>Aar!AQ6</f>
        <v>Skema 1</v>
      </c>
      <c r="X6" s="573" t="str">
        <f>Juni!DN12</f>
        <v/>
      </c>
      <c r="Y6" s="567" t="str">
        <f>Juni!D12</f>
        <v/>
      </c>
      <c r="Z6" s="568">
        <f>Aar!AS6</f>
        <v>4</v>
      </c>
      <c r="AA6" s="127" t="str">
        <f>Aar!AT6</f>
        <v>fr</v>
      </c>
      <c r="AB6" s="127" t="str">
        <f>Aar!AU6</f>
        <v>Nul-dag</v>
      </c>
      <c r="AC6" s="573" t="str">
        <f>Juli!DN12</f>
        <v/>
      </c>
      <c r="AD6" s="569" t="str">
        <f>Juli!D12</f>
        <v/>
      </c>
    </row>
    <row r="7" spans="1:30" ht="23" customHeight="1">
      <c r="A7" s="568">
        <f>Aar!Y7</f>
        <v>5</v>
      </c>
      <c r="B7" s="127" t="str">
        <f>Aar!Z7</f>
        <v>on</v>
      </c>
      <c r="C7" s="128" t="str">
        <f>Februar!C13</f>
        <v>Skema 1</v>
      </c>
      <c r="D7" s="572" t="str">
        <f>Februar!DN13</f>
        <v/>
      </c>
      <c r="E7" s="571" t="str">
        <f>Aar!AB7</f>
        <v/>
      </c>
      <c r="F7" s="127">
        <f>Aar!AC7</f>
        <v>5</v>
      </c>
      <c r="G7" s="127" t="str">
        <f>Aar!AD7</f>
        <v>on</v>
      </c>
      <c r="H7" s="127" t="str">
        <f>Aar!AE7</f>
        <v>Skema 1</v>
      </c>
      <c r="I7" s="573" t="str">
        <f>Marts!DN13</f>
        <v/>
      </c>
      <c r="J7" s="569" t="str">
        <f>Marts!D13</f>
        <v/>
      </c>
      <c r="K7" s="127">
        <f>Aar!AG7</f>
        <v>5</v>
      </c>
      <c r="L7" s="127" t="str">
        <f>Aar!AH7</f>
        <v>lø</v>
      </c>
      <c r="M7" s="127" t="str">
        <f>Aar!AI7</f>
        <v>Weekend</v>
      </c>
      <c r="N7" s="573" t="str">
        <f>April!DN13</f>
        <v/>
      </c>
      <c r="O7" s="567" t="str">
        <f>April!D13</f>
        <v/>
      </c>
      <c r="P7" s="568">
        <f>Aar!AK7</f>
        <v>5</v>
      </c>
      <c r="Q7" s="127" t="str">
        <f>Aar!AL7</f>
        <v>ma</v>
      </c>
      <c r="R7" s="127" t="str">
        <f>Aar!AM7</f>
        <v>Skema 1</v>
      </c>
      <c r="S7" s="573" t="str">
        <f>Maj!DN13</f>
        <v/>
      </c>
      <c r="T7" s="569">
        <f>Maj!D13</f>
        <v>18.714285714285715</v>
      </c>
      <c r="U7" s="568">
        <f>Aar!AO7</f>
        <v>5</v>
      </c>
      <c r="V7" s="127" t="str">
        <f>Aar!AP7</f>
        <v>to</v>
      </c>
      <c r="W7" s="127" t="str">
        <f>Aar!AQ7</f>
        <v>Nul-dag</v>
      </c>
      <c r="X7" s="573" t="str">
        <f>Juni!DN13</f>
        <v>Grundlovsdag</v>
      </c>
      <c r="Y7" s="567" t="str">
        <f>Juni!D13</f>
        <v/>
      </c>
      <c r="Z7" s="568">
        <f>Aar!AS7</f>
        <v>5</v>
      </c>
      <c r="AA7" s="127" t="str">
        <f>Aar!AT7</f>
        <v>lø</v>
      </c>
      <c r="AB7" s="127" t="str">
        <f>Aar!AU7</f>
        <v>Weekend</v>
      </c>
      <c r="AC7" s="573" t="str">
        <f>Juli!DN13</f>
        <v/>
      </c>
      <c r="AD7" s="569" t="str">
        <f>Juli!D13</f>
        <v/>
      </c>
    </row>
    <row r="8" spans="1:30" ht="23" customHeight="1">
      <c r="A8" s="568">
        <f>Aar!Y8</f>
        <v>6</v>
      </c>
      <c r="B8" s="127" t="str">
        <f>Aar!Z8</f>
        <v>to</v>
      </c>
      <c r="C8" s="128" t="str">
        <f>Februar!C14</f>
        <v>Skema 1</v>
      </c>
      <c r="D8" s="572" t="str">
        <f>Februar!DN14</f>
        <v/>
      </c>
      <c r="E8" s="571" t="str">
        <f>Aar!AB8</f>
        <v/>
      </c>
      <c r="F8" s="127">
        <f>Aar!AC8</f>
        <v>6</v>
      </c>
      <c r="G8" s="127" t="str">
        <f>Aar!AD8</f>
        <v>to</v>
      </c>
      <c r="H8" s="127" t="str">
        <f>Aar!AE8</f>
        <v>Skema 1</v>
      </c>
      <c r="I8" s="573" t="str">
        <f>Marts!DN14</f>
        <v/>
      </c>
      <c r="J8" s="569" t="str">
        <f>Marts!D14</f>
        <v/>
      </c>
      <c r="K8" s="127">
        <f>Aar!AG8</f>
        <v>6</v>
      </c>
      <c r="L8" s="127" t="str">
        <f>Aar!AH8</f>
        <v>sø</v>
      </c>
      <c r="M8" s="127" t="str">
        <f>Aar!AI8</f>
        <v>Weekend</v>
      </c>
      <c r="N8" s="573" t="str">
        <f>April!DN14</f>
        <v/>
      </c>
      <c r="O8" s="567" t="str">
        <f>April!D14</f>
        <v/>
      </c>
      <c r="P8" s="568">
        <f>Aar!AK8</f>
        <v>6</v>
      </c>
      <c r="Q8" s="127" t="str">
        <f>Aar!AL8</f>
        <v>ti</v>
      </c>
      <c r="R8" s="127" t="str">
        <f>Aar!AM8</f>
        <v>Skema 1</v>
      </c>
      <c r="S8" s="573" t="str">
        <f>Maj!DN14</f>
        <v/>
      </c>
      <c r="T8" s="569" t="str">
        <f>Maj!D14</f>
        <v/>
      </c>
      <c r="U8" s="568">
        <f>Aar!AO8</f>
        <v>6</v>
      </c>
      <c r="V8" s="127" t="str">
        <f>Aar!AP8</f>
        <v>fr</v>
      </c>
      <c r="W8" s="127" t="str">
        <f>Aar!AQ8</f>
        <v>Skema 1</v>
      </c>
      <c r="X8" s="573" t="str">
        <f>Juni!DN14</f>
        <v/>
      </c>
      <c r="Y8" s="567" t="str">
        <f>Juni!D14</f>
        <v/>
      </c>
      <c r="Z8" s="568">
        <f>Aar!AS8</f>
        <v>6</v>
      </c>
      <c r="AA8" s="127" t="str">
        <f>Aar!AT8</f>
        <v>sø</v>
      </c>
      <c r="AB8" s="127" t="str">
        <f>Aar!AU8</f>
        <v>Weekend</v>
      </c>
      <c r="AC8" s="573" t="str">
        <f>Juli!DN14</f>
        <v/>
      </c>
      <c r="AD8" s="569" t="str">
        <f>Juli!D14</f>
        <v/>
      </c>
    </row>
    <row r="9" spans="1:30" ht="23" customHeight="1">
      <c r="A9" s="568">
        <f>Aar!Y9</f>
        <v>7</v>
      </c>
      <c r="B9" s="127" t="str">
        <f>Aar!Z9</f>
        <v>fr</v>
      </c>
      <c r="C9" s="128" t="str">
        <f>Februar!C15</f>
        <v>Skema 1</v>
      </c>
      <c r="D9" s="572" t="str">
        <f>Februar!DN15</f>
        <v/>
      </c>
      <c r="E9" s="571" t="str">
        <f>Aar!AB9</f>
        <v/>
      </c>
      <c r="F9" s="127">
        <f>Aar!AC9</f>
        <v>7</v>
      </c>
      <c r="G9" s="127" t="str">
        <f>Aar!AD9</f>
        <v>fr</v>
      </c>
      <c r="H9" s="127" t="str">
        <f>Aar!AE9</f>
        <v>Skema 1</v>
      </c>
      <c r="I9" s="573" t="str">
        <f>Marts!DN15</f>
        <v/>
      </c>
      <c r="J9" s="569" t="str">
        <f>Marts!D15</f>
        <v/>
      </c>
      <c r="K9" s="127">
        <f>Aar!AG9</f>
        <v>7</v>
      </c>
      <c r="L9" s="127" t="str">
        <f>Aar!AH9</f>
        <v>ma</v>
      </c>
      <c r="M9" s="127" t="str">
        <f>Aar!AI9</f>
        <v>Skema 1</v>
      </c>
      <c r="N9" s="573" t="str">
        <f>April!DN15</f>
        <v/>
      </c>
      <c r="O9" s="567">
        <f>April!D15</f>
        <v>14.714285714285714</v>
      </c>
      <c r="P9" s="568">
        <f>Aar!AK9</f>
        <v>7</v>
      </c>
      <c r="Q9" s="127" t="str">
        <f>Aar!AL9</f>
        <v>on</v>
      </c>
      <c r="R9" s="127" t="str">
        <f>Aar!AM9</f>
        <v>Skema 1</v>
      </c>
      <c r="S9" s="573" t="str">
        <f>Maj!DN15</f>
        <v/>
      </c>
      <c r="T9" s="569" t="str">
        <f>Maj!D15</f>
        <v/>
      </c>
      <c r="U9" s="568">
        <f>Aar!AO9</f>
        <v>7</v>
      </c>
      <c r="V9" s="127" t="str">
        <f>Aar!AP9</f>
        <v>lø</v>
      </c>
      <c r="W9" s="127" t="str">
        <f>Aar!AQ9</f>
        <v>Weekend</v>
      </c>
      <c r="X9" s="573" t="str">
        <f>Juni!DN15</f>
        <v/>
      </c>
      <c r="Y9" s="567" t="str">
        <f>Juni!D15</f>
        <v/>
      </c>
      <c r="Z9" s="568">
        <f>Aar!AS9</f>
        <v>7</v>
      </c>
      <c r="AA9" s="127" t="str">
        <f>Aar!AT9</f>
        <v>ma</v>
      </c>
      <c r="AB9" s="127" t="str">
        <f>Aar!AU9</f>
        <v>Nul-dag</v>
      </c>
      <c r="AC9" s="573" t="str">
        <f>Juli!DN15</f>
        <v/>
      </c>
      <c r="AD9" s="569">
        <f>Juli!D15</f>
        <v>27.714285714285715</v>
      </c>
    </row>
    <row r="10" spans="1:30" ht="23" customHeight="1">
      <c r="A10" s="568">
        <f>Aar!Y10</f>
        <v>8</v>
      </c>
      <c r="B10" s="127" t="str">
        <f>Aar!Z10</f>
        <v>lø</v>
      </c>
      <c r="C10" s="128" t="str">
        <f>Februar!C16</f>
        <v>Weekend</v>
      </c>
      <c r="D10" s="572" t="str">
        <f>Februar!DN16</f>
        <v/>
      </c>
      <c r="E10" s="571" t="str">
        <f>Aar!AB10</f>
        <v/>
      </c>
      <c r="F10" s="127">
        <f>Aar!AC10</f>
        <v>8</v>
      </c>
      <c r="G10" s="127" t="str">
        <f>Aar!AD10</f>
        <v>lø</v>
      </c>
      <c r="H10" s="127" t="str">
        <f>Aar!AE10</f>
        <v>Weekend</v>
      </c>
      <c r="I10" s="573" t="str">
        <f>Marts!DN16</f>
        <v/>
      </c>
      <c r="J10" s="569" t="str">
        <f>Marts!D16</f>
        <v/>
      </c>
      <c r="K10" s="127">
        <f>Aar!AG10</f>
        <v>8</v>
      </c>
      <c r="L10" s="127" t="str">
        <f>Aar!AH10</f>
        <v>ti</v>
      </c>
      <c r="M10" s="127" t="str">
        <f>Aar!AI10</f>
        <v>Skema 1</v>
      </c>
      <c r="N10" s="573" t="str">
        <f>April!DN16</f>
        <v/>
      </c>
      <c r="O10" s="567" t="str">
        <f>April!D16</f>
        <v/>
      </c>
      <c r="P10" s="568">
        <f>Aar!AK10</f>
        <v>8</v>
      </c>
      <c r="Q10" s="127" t="str">
        <f>Aar!AL10</f>
        <v>to</v>
      </c>
      <c r="R10" s="127" t="str">
        <f>Aar!AM10</f>
        <v>Skema 1</v>
      </c>
      <c r="S10" s="573" t="str">
        <f>Maj!DN16</f>
        <v/>
      </c>
      <c r="T10" s="569" t="str">
        <f>Maj!D16</f>
        <v/>
      </c>
      <c r="U10" s="568">
        <f>Aar!AO10</f>
        <v>8</v>
      </c>
      <c r="V10" s="127" t="str">
        <f>Aar!AP10</f>
        <v>sø</v>
      </c>
      <c r="W10" s="127" t="str">
        <f>Aar!AQ10</f>
        <v>Weekend</v>
      </c>
      <c r="X10" s="573" t="str">
        <f>Juni!DN16</f>
        <v>Pinsedag</v>
      </c>
      <c r="Y10" s="567" t="str">
        <f>Juni!D16</f>
        <v/>
      </c>
      <c r="Z10" s="568">
        <f>Aar!AS10</f>
        <v>8</v>
      </c>
      <c r="AA10" s="127" t="str">
        <f>Aar!AT10</f>
        <v>ti</v>
      </c>
      <c r="AB10" s="127" t="str">
        <f>Aar!AU10</f>
        <v>Feriedag</v>
      </c>
      <c r="AC10" s="573" t="str">
        <f>Juli!DN16</f>
        <v>Sommerferie</v>
      </c>
      <c r="AD10" s="569" t="str">
        <f>Juli!D16</f>
        <v/>
      </c>
    </row>
    <row r="11" spans="1:30" ht="23" customHeight="1">
      <c r="A11" s="568">
        <f>Aar!Y11</f>
        <v>9</v>
      </c>
      <c r="B11" s="127" t="str">
        <f>Aar!Z11</f>
        <v>sø</v>
      </c>
      <c r="C11" s="128" t="str">
        <f>Februar!C17</f>
        <v>Weekend</v>
      </c>
      <c r="D11" s="572" t="str">
        <f>Februar!DN17</f>
        <v/>
      </c>
      <c r="E11" s="571" t="str">
        <f>Aar!AB11</f>
        <v/>
      </c>
      <c r="F11" s="127">
        <f>Aar!AC11</f>
        <v>9</v>
      </c>
      <c r="G11" s="127" t="str">
        <f>Aar!AD11</f>
        <v>sø</v>
      </c>
      <c r="H11" s="127" t="str">
        <f>Aar!AE11</f>
        <v>Weekend</v>
      </c>
      <c r="I11" s="573" t="str">
        <f>Marts!DN17</f>
        <v/>
      </c>
      <c r="J11" s="569" t="str">
        <f>Marts!D17</f>
        <v/>
      </c>
      <c r="K11" s="127">
        <f>Aar!AG11</f>
        <v>9</v>
      </c>
      <c r="L11" s="127" t="str">
        <f>Aar!AH11</f>
        <v>on</v>
      </c>
      <c r="M11" s="127" t="str">
        <f>Aar!AI11</f>
        <v>Skema 1</v>
      </c>
      <c r="N11" s="573" t="str">
        <f>April!DN17</f>
        <v/>
      </c>
      <c r="O11" s="567" t="str">
        <f>April!D17</f>
        <v/>
      </c>
      <c r="P11" s="568">
        <f>Aar!AK11</f>
        <v>9</v>
      </c>
      <c r="Q11" s="127" t="str">
        <f>Aar!AL11</f>
        <v>fr</v>
      </c>
      <c r="R11" s="127" t="str">
        <f>Aar!AM11</f>
        <v>Skema 1</v>
      </c>
      <c r="S11" s="573" t="str">
        <f>Maj!DN17</f>
        <v/>
      </c>
      <c r="T11" s="569" t="str">
        <f>Maj!D17</f>
        <v/>
      </c>
      <c r="U11" s="568">
        <f>Aar!AO11</f>
        <v>9</v>
      </c>
      <c r="V11" s="127" t="str">
        <f>Aar!AP11</f>
        <v>ma</v>
      </c>
      <c r="W11" s="127" t="str">
        <f>Aar!AQ11</f>
        <v>SH-dag</v>
      </c>
      <c r="X11" s="573" t="str">
        <f>Juni!DN17</f>
        <v>2. pinsedag</v>
      </c>
      <c r="Y11" s="567">
        <f>Juni!D17</f>
        <v>23.714285714285715</v>
      </c>
      <c r="Z11" s="568">
        <f>Aar!AS11</f>
        <v>9</v>
      </c>
      <c r="AA11" s="127" t="str">
        <f>Aar!AT11</f>
        <v>on</v>
      </c>
      <c r="AB11" s="127" t="str">
        <f>Aar!AU11</f>
        <v>Feriedag</v>
      </c>
      <c r="AC11" s="573" t="str">
        <f>Juli!DN17</f>
        <v>Sommerferie</v>
      </c>
      <c r="AD11" s="569" t="str">
        <f>Juli!D17</f>
        <v/>
      </c>
    </row>
    <row r="12" spans="1:30" ht="23" customHeight="1">
      <c r="A12" s="568">
        <f>Aar!Y12</f>
        <v>10</v>
      </c>
      <c r="B12" s="127" t="str">
        <f>Aar!Z12</f>
        <v>ma</v>
      </c>
      <c r="C12" s="128" t="str">
        <f>Februar!C18</f>
        <v>Nul-dag</v>
      </c>
      <c r="D12" s="572" t="str">
        <f>Februar!DN18</f>
        <v>Elevernes vinterferie</v>
      </c>
      <c r="E12" s="571">
        <f>Aar!AB12</f>
        <v>6.7142857142857144</v>
      </c>
      <c r="F12" s="127">
        <f>Aar!AC12</f>
        <v>10</v>
      </c>
      <c r="G12" s="127" t="str">
        <f>Aar!AD12</f>
        <v>ma</v>
      </c>
      <c r="H12" s="127" t="str">
        <f>Aar!AE12</f>
        <v>Skema 1</v>
      </c>
      <c r="I12" s="573" t="str">
        <f>Marts!DN18</f>
        <v/>
      </c>
      <c r="J12" s="569">
        <f>Marts!D18</f>
        <v>10.714285714285714</v>
      </c>
      <c r="K12" s="127">
        <f>Aar!AG12</f>
        <v>10</v>
      </c>
      <c r="L12" s="127" t="str">
        <f>Aar!AH12</f>
        <v>to</v>
      </c>
      <c r="M12" s="127" t="str">
        <f>Aar!AI12</f>
        <v>Skema 1</v>
      </c>
      <c r="N12" s="573" t="str">
        <f>April!DN18</f>
        <v/>
      </c>
      <c r="O12" s="567" t="str">
        <f>April!D18</f>
        <v/>
      </c>
      <c r="P12" s="568">
        <f>Aar!AK12</f>
        <v>10</v>
      </c>
      <c r="Q12" s="127" t="str">
        <f>Aar!AL12</f>
        <v>lø</v>
      </c>
      <c r="R12" s="127" t="str">
        <f>Aar!AM12</f>
        <v>Weekend</v>
      </c>
      <c r="S12" s="573" t="str">
        <f>Maj!DN18</f>
        <v/>
      </c>
      <c r="T12" s="569" t="str">
        <f>Maj!D18</f>
        <v/>
      </c>
      <c r="U12" s="568">
        <f>Aar!AO12</f>
        <v>10</v>
      </c>
      <c r="V12" s="127" t="str">
        <f>Aar!AP12</f>
        <v>ti</v>
      </c>
      <c r="W12" s="127" t="str">
        <f>Aar!AQ12</f>
        <v>Skema 1</v>
      </c>
      <c r="X12" s="573" t="str">
        <f>Juni!DN18</f>
        <v/>
      </c>
      <c r="Y12" s="567" t="str">
        <f>Juni!D18</f>
        <v/>
      </c>
      <c r="Z12" s="568">
        <f>Aar!AS12</f>
        <v>10</v>
      </c>
      <c r="AA12" s="127" t="str">
        <f>Aar!AT12</f>
        <v>to</v>
      </c>
      <c r="AB12" s="127" t="str">
        <f>Aar!AU12</f>
        <v>Feriedag</v>
      </c>
      <c r="AC12" s="573" t="str">
        <f>Juli!DN18</f>
        <v>Sommerferie</v>
      </c>
      <c r="AD12" s="569" t="str">
        <f>Juli!D18</f>
        <v/>
      </c>
    </row>
    <row r="13" spans="1:30" ht="23" customHeight="1">
      <c r="A13" s="568">
        <f>Aar!Y13</f>
        <v>11</v>
      </c>
      <c r="B13" s="127" t="str">
        <f>Aar!Z13</f>
        <v>ti</v>
      </c>
      <c r="C13" s="128" t="str">
        <f>Februar!C19</f>
        <v>Nul-dag</v>
      </c>
      <c r="D13" s="572" t="str">
        <f>Februar!DN19</f>
        <v>Elevernes vinterferie</v>
      </c>
      <c r="E13" s="571" t="str">
        <f>Aar!AB13</f>
        <v/>
      </c>
      <c r="F13" s="127">
        <f>Aar!AC13</f>
        <v>11</v>
      </c>
      <c r="G13" s="127" t="str">
        <f>Aar!AD13</f>
        <v>ti</v>
      </c>
      <c r="H13" s="127" t="str">
        <f>Aar!AE13</f>
        <v>Skema 1</v>
      </c>
      <c r="I13" s="573" t="str">
        <f>Marts!DN19</f>
        <v/>
      </c>
      <c r="J13" s="569" t="str">
        <f>Marts!D19</f>
        <v/>
      </c>
      <c r="K13" s="127">
        <f>Aar!AG13</f>
        <v>11</v>
      </c>
      <c r="L13" s="127" t="str">
        <f>Aar!AH13</f>
        <v>fr</v>
      </c>
      <c r="M13" s="127" t="str">
        <f>Aar!AI13</f>
        <v>Skema 1</v>
      </c>
      <c r="N13" s="573" t="str">
        <f>April!DN19</f>
        <v/>
      </c>
      <c r="O13" s="567" t="str">
        <f>April!D19</f>
        <v/>
      </c>
      <c r="P13" s="568">
        <f>Aar!AK13</f>
        <v>11</v>
      </c>
      <c r="Q13" s="127" t="str">
        <f>Aar!AL13</f>
        <v>sø</v>
      </c>
      <c r="R13" s="127" t="str">
        <f>Aar!AM13</f>
        <v>Weekend</v>
      </c>
      <c r="S13" s="573" t="str">
        <f>Maj!DN19</f>
        <v/>
      </c>
      <c r="T13" s="569" t="str">
        <f>Maj!D19</f>
        <v/>
      </c>
      <c r="U13" s="568">
        <f>Aar!AO13</f>
        <v>11</v>
      </c>
      <c r="V13" s="127" t="str">
        <f>Aar!AP13</f>
        <v>on</v>
      </c>
      <c r="W13" s="127" t="str">
        <f>Aar!AQ13</f>
        <v>Skema 1</v>
      </c>
      <c r="X13" s="573" t="str">
        <f>Juni!DN19</f>
        <v/>
      </c>
      <c r="Y13" s="567" t="str">
        <f>Juni!D19</f>
        <v/>
      </c>
      <c r="Z13" s="568">
        <f>Aar!AS13</f>
        <v>11</v>
      </c>
      <c r="AA13" s="127" t="str">
        <f>Aar!AT13</f>
        <v>fr</v>
      </c>
      <c r="AB13" s="127" t="str">
        <f>Aar!AU13</f>
        <v>Feriedag</v>
      </c>
      <c r="AC13" s="573" t="str">
        <f>Juli!DN19</f>
        <v>Sommerferie</v>
      </c>
      <c r="AD13" s="569" t="str">
        <f>Juli!D19</f>
        <v/>
      </c>
    </row>
    <row r="14" spans="1:30" ht="23" customHeight="1">
      <c r="A14" s="568">
        <f>Aar!Y14</f>
        <v>12</v>
      </c>
      <c r="B14" s="127" t="str">
        <f>Aar!Z14</f>
        <v>on</v>
      </c>
      <c r="C14" s="128" t="str">
        <f>Februar!C20</f>
        <v>Nul-dag</v>
      </c>
      <c r="D14" s="572" t="str">
        <f>Februar!DN20</f>
        <v>Elevernes vinterferie</v>
      </c>
      <c r="E14" s="571" t="str">
        <f>Aar!AB14</f>
        <v/>
      </c>
      <c r="F14" s="127">
        <f>Aar!AC14</f>
        <v>12</v>
      </c>
      <c r="G14" s="127" t="str">
        <f>Aar!AD14</f>
        <v>on</v>
      </c>
      <c r="H14" s="127" t="str">
        <f>Aar!AE14</f>
        <v>Skema 1</v>
      </c>
      <c r="I14" s="573" t="str">
        <f>Marts!DN20</f>
        <v/>
      </c>
      <c r="J14" s="569" t="str">
        <f>Marts!D20</f>
        <v/>
      </c>
      <c r="K14" s="127">
        <f>Aar!AG14</f>
        <v>12</v>
      </c>
      <c r="L14" s="127" t="str">
        <f>Aar!AH14</f>
        <v>lø</v>
      </c>
      <c r="M14" s="127" t="str">
        <f>Aar!AI14</f>
        <v>Weekend</v>
      </c>
      <c r="N14" s="573" t="str">
        <f>April!DN20</f>
        <v/>
      </c>
      <c r="O14" s="567" t="str">
        <f>April!D20</f>
        <v/>
      </c>
      <c r="P14" s="568">
        <f>Aar!AK14</f>
        <v>12</v>
      </c>
      <c r="Q14" s="127" t="str">
        <f>Aar!AL14</f>
        <v>ma</v>
      </c>
      <c r="R14" s="127" t="str">
        <f>Aar!AM14</f>
        <v>Skema 1</v>
      </c>
      <c r="S14" s="573" t="str">
        <f>Maj!DN20</f>
        <v/>
      </c>
      <c r="T14" s="569">
        <f>Maj!D20</f>
        <v>19.714285714285715</v>
      </c>
      <c r="U14" s="568">
        <f>Aar!AO14</f>
        <v>12</v>
      </c>
      <c r="V14" s="127" t="str">
        <f>Aar!AP14</f>
        <v>to</v>
      </c>
      <c r="W14" s="127" t="str">
        <f>Aar!AQ14</f>
        <v>Skema 1</v>
      </c>
      <c r="X14" s="573" t="str">
        <f>Juni!DN20</f>
        <v/>
      </c>
      <c r="Y14" s="567" t="str">
        <f>Juni!D20</f>
        <v/>
      </c>
      <c r="Z14" s="568">
        <f>Aar!AS14</f>
        <v>12</v>
      </c>
      <c r="AA14" s="127" t="str">
        <f>Aar!AT14</f>
        <v>lø</v>
      </c>
      <c r="AB14" s="127" t="str">
        <f>Aar!AU14</f>
        <v>Weekend</v>
      </c>
      <c r="AC14" s="573" t="str">
        <f>Juli!DN20</f>
        <v/>
      </c>
      <c r="AD14" s="569" t="str">
        <f>Juli!D20</f>
        <v/>
      </c>
    </row>
    <row r="15" spans="1:30" ht="23" customHeight="1">
      <c r="A15" s="568">
        <f>Aar!Y15</f>
        <v>13</v>
      </c>
      <c r="B15" s="127" t="str">
        <f>Aar!Z15</f>
        <v>to</v>
      </c>
      <c r="C15" s="128" t="str">
        <f>Februar!C21</f>
        <v>Nul-dag</v>
      </c>
      <c r="D15" s="572" t="str">
        <f>Februar!DN21</f>
        <v>Elevernes vinterferie</v>
      </c>
      <c r="E15" s="571" t="str">
        <f>Aar!AB15</f>
        <v/>
      </c>
      <c r="F15" s="127">
        <f>Aar!AC15</f>
        <v>13</v>
      </c>
      <c r="G15" s="127" t="str">
        <f>Aar!AD15</f>
        <v>to</v>
      </c>
      <c r="H15" s="127" t="str">
        <f>Aar!AE15</f>
        <v>Skema 1</v>
      </c>
      <c r="I15" s="573" t="str">
        <f>Marts!DN21</f>
        <v/>
      </c>
      <c r="J15" s="569" t="str">
        <f>Marts!D21</f>
        <v/>
      </c>
      <c r="K15" s="127">
        <f>Aar!AG15</f>
        <v>13</v>
      </c>
      <c r="L15" s="127" t="str">
        <f>Aar!AH15</f>
        <v>sø</v>
      </c>
      <c r="M15" s="127" t="str">
        <f>Aar!AI15</f>
        <v>Weekend</v>
      </c>
      <c r="N15" s="573" t="str">
        <f>April!DN21</f>
        <v/>
      </c>
      <c r="O15" s="567" t="str">
        <f>April!D21</f>
        <v/>
      </c>
      <c r="P15" s="568">
        <f>Aar!AK15</f>
        <v>13</v>
      </c>
      <c r="Q15" s="127" t="str">
        <f>Aar!AL15</f>
        <v>ti</v>
      </c>
      <c r="R15" s="127" t="str">
        <f>Aar!AM15</f>
        <v>Skema 1</v>
      </c>
      <c r="S15" s="573" t="str">
        <f>Maj!DN21</f>
        <v/>
      </c>
      <c r="T15" s="569" t="str">
        <f>Maj!D21</f>
        <v/>
      </c>
      <c r="U15" s="568">
        <f>Aar!AO15</f>
        <v>13</v>
      </c>
      <c r="V15" s="127" t="str">
        <f>Aar!AP15</f>
        <v>fr</v>
      </c>
      <c r="W15" s="127" t="str">
        <f>Aar!AQ15</f>
        <v>Skema 1</v>
      </c>
      <c r="X15" s="573" t="str">
        <f>Juni!DN21</f>
        <v/>
      </c>
      <c r="Y15" s="567" t="str">
        <f>Juni!D21</f>
        <v/>
      </c>
      <c r="Z15" s="568">
        <f>Aar!AS15</f>
        <v>13</v>
      </c>
      <c r="AA15" s="127" t="str">
        <f>Aar!AT15</f>
        <v>sø</v>
      </c>
      <c r="AB15" s="127" t="str">
        <f>Aar!AU15</f>
        <v>Weekend</v>
      </c>
      <c r="AC15" s="573" t="str">
        <f>Juli!DN21</f>
        <v/>
      </c>
      <c r="AD15" s="569" t="str">
        <f>Juli!D21</f>
        <v/>
      </c>
    </row>
    <row r="16" spans="1:30" ht="23" customHeight="1">
      <c r="A16" s="568">
        <f>Aar!Y16</f>
        <v>14</v>
      </c>
      <c r="B16" s="127" t="str">
        <f>Aar!Z16</f>
        <v>fr</v>
      </c>
      <c r="C16" s="128" t="str">
        <f>Februar!C22</f>
        <v>Nul-dag</v>
      </c>
      <c r="D16" s="572" t="str">
        <f>Februar!DN22</f>
        <v>Elevernes vinterferie</v>
      </c>
      <c r="E16" s="571" t="str">
        <f>Aar!AB16</f>
        <v/>
      </c>
      <c r="F16" s="127">
        <f>Aar!AC16</f>
        <v>14</v>
      </c>
      <c r="G16" s="127" t="str">
        <f>Aar!AD16</f>
        <v>fr</v>
      </c>
      <c r="H16" s="127" t="str">
        <f>Aar!AE16</f>
        <v>Skema 1</v>
      </c>
      <c r="I16" s="573" t="str">
        <f>Marts!DN22</f>
        <v/>
      </c>
      <c r="J16" s="569" t="str">
        <f>Marts!D22</f>
        <v/>
      </c>
      <c r="K16" s="127">
        <f>Aar!AG16</f>
        <v>14</v>
      </c>
      <c r="L16" s="127" t="str">
        <f>Aar!AH16</f>
        <v>ma</v>
      </c>
      <c r="M16" s="127" t="str">
        <f>Aar!AI16</f>
        <v>Nul-dag</v>
      </c>
      <c r="N16" s="573" t="str">
        <f>April!DN22</f>
        <v/>
      </c>
      <c r="O16" s="567">
        <f>April!D22</f>
        <v>15.714285714285714</v>
      </c>
      <c r="P16" s="568">
        <f>Aar!AK16</f>
        <v>14</v>
      </c>
      <c r="Q16" s="127" t="str">
        <f>Aar!AL16</f>
        <v>on</v>
      </c>
      <c r="R16" s="127" t="str">
        <f>Aar!AM16</f>
        <v>Skema 1</v>
      </c>
      <c r="S16" s="573" t="str">
        <f>Maj!DN22</f>
        <v/>
      </c>
      <c r="T16" s="569" t="str">
        <f>Maj!D22</f>
        <v/>
      </c>
      <c r="U16" s="568">
        <f>Aar!AO16</f>
        <v>14</v>
      </c>
      <c r="V16" s="127" t="str">
        <f>Aar!AP16</f>
        <v>lø</v>
      </c>
      <c r="W16" s="127" t="str">
        <f>Aar!AQ16</f>
        <v>Weekend</v>
      </c>
      <c r="X16" s="573" t="str">
        <f>Juni!DN22</f>
        <v/>
      </c>
      <c r="Y16" s="567" t="str">
        <f>Juni!D22</f>
        <v/>
      </c>
      <c r="Z16" s="568">
        <f>Aar!AS16</f>
        <v>14</v>
      </c>
      <c r="AA16" s="127" t="str">
        <f>Aar!AT16</f>
        <v>ma</v>
      </c>
      <c r="AB16" s="127" t="str">
        <f>Aar!AU16</f>
        <v>Feriedag</v>
      </c>
      <c r="AC16" s="573" t="str">
        <f>Juli!DN22</f>
        <v>Sommerferie</v>
      </c>
      <c r="AD16" s="569">
        <f>Juli!D22</f>
        <v>28.714285714285715</v>
      </c>
    </row>
    <row r="17" spans="1:30" ht="23" customHeight="1">
      <c r="A17" s="568">
        <f>Aar!Y17</f>
        <v>15</v>
      </c>
      <c r="B17" s="127" t="str">
        <f>Aar!Z17</f>
        <v>lø</v>
      </c>
      <c r="C17" s="128" t="str">
        <f>Februar!C23</f>
        <v>Weekend</v>
      </c>
      <c r="D17" s="572" t="str">
        <f>Februar!DN23</f>
        <v/>
      </c>
      <c r="E17" s="571" t="str">
        <f>Aar!AB17</f>
        <v/>
      </c>
      <c r="F17" s="127">
        <f>Aar!AC17</f>
        <v>15</v>
      </c>
      <c r="G17" s="127" t="str">
        <f>Aar!AD17</f>
        <v>lø</v>
      </c>
      <c r="H17" s="127" t="str">
        <f>Aar!AE17</f>
        <v>Weekend</v>
      </c>
      <c r="I17" s="573" t="str">
        <f>Marts!DN23</f>
        <v/>
      </c>
      <c r="J17" s="569" t="str">
        <f>Marts!D23</f>
        <v/>
      </c>
      <c r="K17" s="127">
        <f>Aar!AG17</f>
        <v>15</v>
      </c>
      <c r="L17" s="127" t="str">
        <f>Aar!AH17</f>
        <v>ti</v>
      </c>
      <c r="M17" s="127" t="str">
        <f>Aar!AI17</f>
        <v>Nul-dag</v>
      </c>
      <c r="N17" s="573" t="str">
        <f>April!DN23</f>
        <v/>
      </c>
      <c r="O17" s="567" t="str">
        <f>April!D23</f>
        <v/>
      </c>
      <c r="P17" s="568">
        <f>Aar!AK17</f>
        <v>15</v>
      </c>
      <c r="Q17" s="127" t="str">
        <f>Aar!AL17</f>
        <v>to</v>
      </c>
      <c r="R17" s="127" t="str">
        <f>Aar!AM17</f>
        <v>Skema 1</v>
      </c>
      <c r="S17" s="573" t="str">
        <f>Maj!DN23</f>
        <v/>
      </c>
      <c r="T17" s="569" t="str">
        <f>Maj!D23</f>
        <v/>
      </c>
      <c r="U17" s="568">
        <f>Aar!AO17</f>
        <v>15</v>
      </c>
      <c r="V17" s="127" t="str">
        <f>Aar!AP17</f>
        <v>sø</v>
      </c>
      <c r="W17" s="127" t="str">
        <f>Aar!AQ17</f>
        <v>Weekend</v>
      </c>
      <c r="X17" s="573" t="str">
        <f>Juni!DN23</f>
        <v/>
      </c>
      <c r="Y17" s="567" t="str">
        <f>Juni!D23</f>
        <v/>
      </c>
      <c r="Z17" s="568">
        <f>Aar!AS17</f>
        <v>15</v>
      </c>
      <c r="AA17" s="127" t="str">
        <f>Aar!AT17</f>
        <v>ti</v>
      </c>
      <c r="AB17" s="127" t="str">
        <f>Aar!AU17</f>
        <v>Feriedag</v>
      </c>
      <c r="AC17" s="573" t="str">
        <f>Juli!DN23</f>
        <v>Sommerferie</v>
      </c>
      <c r="AD17" s="569" t="str">
        <f>Juli!D23</f>
        <v/>
      </c>
    </row>
    <row r="18" spans="1:30" ht="23" customHeight="1">
      <c r="A18" s="568">
        <f>Aar!Y18</f>
        <v>16</v>
      </c>
      <c r="B18" s="127" t="str">
        <f>Aar!Z18</f>
        <v>sø</v>
      </c>
      <c r="C18" s="128" t="str">
        <f>Februar!C24</f>
        <v>Weekend</v>
      </c>
      <c r="D18" s="572" t="str">
        <f>Februar!DN24</f>
        <v/>
      </c>
      <c r="E18" s="571" t="str">
        <f>Aar!AB18</f>
        <v/>
      </c>
      <c r="F18" s="127">
        <f>Aar!AC18</f>
        <v>16</v>
      </c>
      <c r="G18" s="127" t="str">
        <f>Aar!AD18</f>
        <v>sø</v>
      </c>
      <c r="H18" s="127" t="str">
        <f>Aar!AE18</f>
        <v>Weekend</v>
      </c>
      <c r="I18" s="573" t="str">
        <f>Marts!DN24</f>
        <v/>
      </c>
      <c r="J18" s="569" t="str">
        <f>Marts!D24</f>
        <v/>
      </c>
      <c r="K18" s="127">
        <f>Aar!AG18</f>
        <v>16</v>
      </c>
      <c r="L18" s="127" t="str">
        <f>Aar!AH18</f>
        <v>on</v>
      </c>
      <c r="M18" s="127" t="str">
        <f>Aar!AI18</f>
        <v>Nul-dag</v>
      </c>
      <c r="N18" s="573" t="str">
        <f>April!DN24</f>
        <v/>
      </c>
      <c r="O18" s="567" t="str">
        <f>April!D24</f>
        <v/>
      </c>
      <c r="P18" s="568">
        <f>Aar!AK18</f>
        <v>16</v>
      </c>
      <c r="Q18" s="127" t="str">
        <f>Aar!AL18</f>
        <v>fr</v>
      </c>
      <c r="R18" s="127" t="str">
        <f>Aar!AM18</f>
        <v>Skema 1</v>
      </c>
      <c r="S18" s="573" t="str">
        <f>Maj!DN24</f>
        <v/>
      </c>
      <c r="T18" s="569" t="str">
        <f>Maj!D24</f>
        <v/>
      </c>
      <c r="U18" s="568">
        <f>Aar!AO18</f>
        <v>16</v>
      </c>
      <c r="V18" s="127" t="str">
        <f>Aar!AP18</f>
        <v>ma</v>
      </c>
      <c r="W18" s="127" t="str">
        <f>Aar!AQ18</f>
        <v>Skema 1</v>
      </c>
      <c r="X18" s="573" t="str">
        <f>Juni!DN24</f>
        <v/>
      </c>
      <c r="Y18" s="567">
        <f>Juni!D24</f>
        <v>24.714285714285715</v>
      </c>
      <c r="Z18" s="568">
        <f>Aar!AS18</f>
        <v>16</v>
      </c>
      <c r="AA18" s="127" t="str">
        <f>Aar!AT18</f>
        <v>on</v>
      </c>
      <c r="AB18" s="127" t="str">
        <f>Aar!AU18</f>
        <v>Feriedag</v>
      </c>
      <c r="AC18" s="573" t="str">
        <f>Juli!DN24</f>
        <v>Sommerferie</v>
      </c>
      <c r="AD18" s="569" t="str">
        <f>Juli!D24</f>
        <v/>
      </c>
    </row>
    <row r="19" spans="1:30" ht="23" customHeight="1">
      <c r="A19" s="568">
        <f>Aar!Y19</f>
        <v>17</v>
      </c>
      <c r="B19" s="127" t="str">
        <f>Aar!Z19</f>
        <v>ma</v>
      </c>
      <c r="C19" s="128" t="str">
        <f>Februar!C25</f>
        <v>Skema 1</v>
      </c>
      <c r="D19" s="572" t="str">
        <f>Februar!DN25</f>
        <v/>
      </c>
      <c r="E19" s="571">
        <f>Aar!AB19</f>
        <v>7.7142857142857144</v>
      </c>
      <c r="F19" s="127">
        <f>Aar!AC19</f>
        <v>17</v>
      </c>
      <c r="G19" s="127" t="str">
        <f>Aar!AD19</f>
        <v>ma</v>
      </c>
      <c r="H19" s="127" t="str">
        <f>Aar!AE19</f>
        <v>Skema 1</v>
      </c>
      <c r="I19" s="573" t="str">
        <f>Marts!DN25</f>
        <v/>
      </c>
      <c r="J19" s="569">
        <f>Marts!D25</f>
        <v>11.714285714285714</v>
      </c>
      <c r="K19" s="127">
        <f>Aar!AG19</f>
        <v>17</v>
      </c>
      <c r="L19" s="127" t="str">
        <f>Aar!AH19</f>
        <v>to</v>
      </c>
      <c r="M19" s="127" t="str">
        <f>Aar!AI19</f>
        <v>SH-dag</v>
      </c>
      <c r="N19" s="573" t="str">
        <f>April!DN25</f>
        <v>Skærtorsdag</v>
      </c>
      <c r="O19" s="567" t="str">
        <f>April!D25</f>
        <v/>
      </c>
      <c r="P19" s="568">
        <f>Aar!AK19</f>
        <v>17</v>
      </c>
      <c r="Q19" s="127" t="str">
        <f>Aar!AL19</f>
        <v>lø</v>
      </c>
      <c r="R19" s="127" t="str">
        <f>Aar!AM19</f>
        <v>Weekend</v>
      </c>
      <c r="S19" s="573" t="str">
        <f>Maj!DN25</f>
        <v/>
      </c>
      <c r="T19" s="569" t="str">
        <f>Maj!D25</f>
        <v/>
      </c>
      <c r="U19" s="568">
        <f>Aar!AO19</f>
        <v>17</v>
      </c>
      <c r="V19" s="127" t="str">
        <f>Aar!AP19</f>
        <v>ti</v>
      </c>
      <c r="W19" s="127" t="str">
        <f>Aar!AQ19</f>
        <v>Skema 1</v>
      </c>
      <c r="X19" s="573" t="str">
        <f>Juni!DN25</f>
        <v/>
      </c>
      <c r="Y19" s="567" t="str">
        <f>Juni!D25</f>
        <v/>
      </c>
      <c r="Z19" s="568">
        <f>Aar!AS19</f>
        <v>17</v>
      </c>
      <c r="AA19" s="127" t="str">
        <f>Aar!AT19</f>
        <v>to</v>
      </c>
      <c r="AB19" s="127" t="str">
        <f>Aar!AU19</f>
        <v>Feriedag</v>
      </c>
      <c r="AC19" s="573" t="str">
        <f>Juli!DN25</f>
        <v>Sommerferie</v>
      </c>
      <c r="AD19" s="569" t="str">
        <f>Juli!D25</f>
        <v/>
      </c>
    </row>
    <row r="20" spans="1:30" ht="23" customHeight="1">
      <c r="A20" s="568">
        <f>Aar!Y20</f>
        <v>18</v>
      </c>
      <c r="B20" s="127" t="str">
        <f>Aar!Z20</f>
        <v>ti</v>
      </c>
      <c r="C20" s="128" t="str">
        <f>Februar!C26</f>
        <v>Skema 1</v>
      </c>
      <c r="D20" s="572" t="str">
        <f>Februar!DN26</f>
        <v/>
      </c>
      <c r="E20" s="571" t="str">
        <f>Aar!AB20</f>
        <v/>
      </c>
      <c r="F20" s="127">
        <f>Aar!AC20</f>
        <v>18</v>
      </c>
      <c r="G20" s="127" t="str">
        <f>Aar!AD20</f>
        <v>ti</v>
      </c>
      <c r="H20" s="127" t="str">
        <f>Aar!AE20</f>
        <v>Skema 1</v>
      </c>
      <c r="I20" s="573" t="str">
        <f>Marts!DN26</f>
        <v/>
      </c>
      <c r="J20" s="569" t="str">
        <f>Marts!D26</f>
        <v/>
      </c>
      <c r="K20" s="127">
        <f>Aar!AG20</f>
        <v>18</v>
      </c>
      <c r="L20" s="127" t="str">
        <f>Aar!AH20</f>
        <v>fr</v>
      </c>
      <c r="M20" s="127" t="str">
        <f>Aar!AI20</f>
        <v>SH-dag</v>
      </c>
      <c r="N20" s="573" t="str">
        <f>April!DN26</f>
        <v>Langfredag</v>
      </c>
      <c r="O20" s="567" t="str">
        <f>April!D26</f>
        <v/>
      </c>
      <c r="P20" s="568">
        <f>Aar!AK20</f>
        <v>18</v>
      </c>
      <c r="Q20" s="127" t="str">
        <f>Aar!AL20</f>
        <v>sø</v>
      </c>
      <c r="R20" s="127" t="str">
        <f>Aar!AM20</f>
        <v>Weekend</v>
      </c>
      <c r="S20" s="573" t="str">
        <f>Maj!DN26</f>
        <v/>
      </c>
      <c r="T20" s="569" t="str">
        <f>Maj!D26</f>
        <v/>
      </c>
      <c r="U20" s="568">
        <f>Aar!AO20</f>
        <v>18</v>
      </c>
      <c r="V20" s="127" t="str">
        <f>Aar!AP20</f>
        <v>on</v>
      </c>
      <c r="W20" s="127" t="str">
        <f>Aar!AQ20</f>
        <v>Skema 1</v>
      </c>
      <c r="X20" s="573" t="str">
        <f>Juni!DN26</f>
        <v/>
      </c>
      <c r="Y20" s="567" t="str">
        <f>Juni!D26</f>
        <v/>
      </c>
      <c r="Z20" s="568">
        <f>Aar!AS20</f>
        <v>18</v>
      </c>
      <c r="AA20" s="127" t="str">
        <f>Aar!AT20</f>
        <v>fr</v>
      </c>
      <c r="AB20" s="127" t="str">
        <f>Aar!AU20</f>
        <v>Feriedag</v>
      </c>
      <c r="AC20" s="573" t="str">
        <f>Juli!DN26</f>
        <v>Sommerferie</v>
      </c>
      <c r="AD20" s="569" t="str">
        <f>Juli!D26</f>
        <v/>
      </c>
    </row>
    <row r="21" spans="1:30" ht="23" customHeight="1">
      <c r="A21" s="568">
        <f>Aar!Y21</f>
        <v>19</v>
      </c>
      <c r="B21" s="127" t="str">
        <f>Aar!Z21</f>
        <v>on</v>
      </c>
      <c r="C21" s="128" t="str">
        <f>Februar!C27</f>
        <v>Skema 1</v>
      </c>
      <c r="D21" s="572" t="str">
        <f>Februar!DN27</f>
        <v/>
      </c>
      <c r="E21" s="571" t="str">
        <f>Aar!AB21</f>
        <v/>
      </c>
      <c r="F21" s="127">
        <f>Aar!AC21</f>
        <v>19</v>
      </c>
      <c r="G21" s="127" t="str">
        <f>Aar!AD21</f>
        <v>on</v>
      </c>
      <c r="H21" s="127" t="str">
        <f>Aar!AE21</f>
        <v>Skema 1</v>
      </c>
      <c r="I21" s="573" t="str">
        <f>Marts!DN27</f>
        <v/>
      </c>
      <c r="J21" s="569" t="str">
        <f>Marts!D27</f>
        <v/>
      </c>
      <c r="K21" s="127">
        <f>Aar!AG21</f>
        <v>19</v>
      </c>
      <c r="L21" s="127" t="str">
        <f>Aar!AH21</f>
        <v>lø</v>
      </c>
      <c r="M21" s="127" t="str">
        <f>Aar!AI21</f>
        <v>Weekend</v>
      </c>
      <c r="N21" s="573" t="str">
        <f>April!DN27</f>
        <v/>
      </c>
      <c r="O21" s="567" t="str">
        <f>April!D27</f>
        <v/>
      </c>
      <c r="P21" s="568">
        <f>Aar!AK21</f>
        <v>19</v>
      </c>
      <c r="Q21" s="127" t="str">
        <f>Aar!AL21</f>
        <v>ma</v>
      </c>
      <c r="R21" s="127" t="str">
        <f>Aar!AM21</f>
        <v>Skema 1</v>
      </c>
      <c r="S21" s="573" t="str">
        <f>Maj!DN27</f>
        <v/>
      </c>
      <c r="T21" s="569">
        <f>Maj!D27</f>
        <v>20.714285714285715</v>
      </c>
      <c r="U21" s="568">
        <f>Aar!AO21</f>
        <v>19</v>
      </c>
      <c r="V21" s="127" t="str">
        <f>Aar!AP21</f>
        <v>to</v>
      </c>
      <c r="W21" s="127" t="str">
        <f>Aar!AQ21</f>
        <v>Skema 1</v>
      </c>
      <c r="X21" s="573" t="str">
        <f>Juni!DN27</f>
        <v/>
      </c>
      <c r="Y21" s="567" t="str">
        <f>Juni!D27</f>
        <v/>
      </c>
      <c r="Z21" s="568">
        <f>Aar!AS21</f>
        <v>19</v>
      </c>
      <c r="AA21" s="127" t="str">
        <f>Aar!AT21</f>
        <v>lø</v>
      </c>
      <c r="AB21" s="127" t="str">
        <f>Aar!AU21</f>
        <v>Weekend</v>
      </c>
      <c r="AC21" s="573" t="str">
        <f>Juli!DN27</f>
        <v/>
      </c>
      <c r="AD21" s="569" t="str">
        <f>Juli!D27</f>
        <v/>
      </c>
    </row>
    <row r="22" spans="1:30" ht="23" customHeight="1">
      <c r="A22" s="568">
        <f>Aar!Y22</f>
        <v>20</v>
      </c>
      <c r="B22" s="127" t="str">
        <f>Aar!Z22</f>
        <v>to</v>
      </c>
      <c r="C22" s="128" t="str">
        <f>Februar!C28</f>
        <v>Skema 1</v>
      </c>
      <c r="D22" s="572" t="str">
        <f>Februar!DN28</f>
        <v/>
      </c>
      <c r="E22" s="571" t="str">
        <f>Aar!AB22</f>
        <v/>
      </c>
      <c r="F22" s="127">
        <f>Aar!AC22</f>
        <v>20</v>
      </c>
      <c r="G22" s="127" t="str">
        <f>Aar!AD22</f>
        <v>to</v>
      </c>
      <c r="H22" s="127" t="str">
        <f>Aar!AE22</f>
        <v>Skema 1</v>
      </c>
      <c r="I22" s="573" t="str">
        <f>Marts!DN28</f>
        <v/>
      </c>
      <c r="J22" s="569" t="str">
        <f>Marts!D28</f>
        <v/>
      </c>
      <c r="K22" s="127">
        <f>Aar!AG22</f>
        <v>20</v>
      </c>
      <c r="L22" s="127" t="str">
        <f>Aar!AH22</f>
        <v>sø</v>
      </c>
      <c r="M22" s="127" t="str">
        <f>Aar!AI22</f>
        <v>Weekend</v>
      </c>
      <c r="N22" s="573" t="str">
        <f>April!DN28</f>
        <v>Påskedag</v>
      </c>
      <c r="O22" s="567" t="str">
        <f>April!D28</f>
        <v/>
      </c>
      <c r="P22" s="568">
        <f>Aar!AK22</f>
        <v>20</v>
      </c>
      <c r="Q22" s="127" t="str">
        <f>Aar!AL22</f>
        <v>ti</v>
      </c>
      <c r="R22" s="127" t="str">
        <f>Aar!AM22</f>
        <v>Skema 1</v>
      </c>
      <c r="S22" s="573" t="str">
        <f>Maj!DN28</f>
        <v/>
      </c>
      <c r="T22" s="569" t="str">
        <f>Maj!D28</f>
        <v/>
      </c>
      <c r="U22" s="568">
        <f>Aar!AO22</f>
        <v>20</v>
      </c>
      <c r="V22" s="127" t="str">
        <f>Aar!AP22</f>
        <v>fr</v>
      </c>
      <c r="W22" s="127" t="str">
        <f>Aar!AQ22</f>
        <v>Skema 1</v>
      </c>
      <c r="X22" s="573" t="str">
        <f>Juni!DN28</f>
        <v/>
      </c>
      <c r="Y22" s="567" t="str">
        <f>Juni!D28</f>
        <v/>
      </c>
      <c r="Z22" s="568">
        <f>Aar!AS22</f>
        <v>20</v>
      </c>
      <c r="AA22" s="127" t="str">
        <f>Aar!AT22</f>
        <v>sø</v>
      </c>
      <c r="AB22" s="127" t="str">
        <f>Aar!AU22</f>
        <v>Weekend</v>
      </c>
      <c r="AC22" s="573" t="str">
        <f>Juli!DN28</f>
        <v/>
      </c>
      <c r="AD22" s="569" t="str">
        <f>Juli!D28</f>
        <v/>
      </c>
    </row>
    <row r="23" spans="1:30" ht="23" customHeight="1">
      <c r="A23" s="568">
        <f>Aar!Y23</f>
        <v>21</v>
      </c>
      <c r="B23" s="127" t="str">
        <f>Aar!Z23</f>
        <v>fr</v>
      </c>
      <c r="C23" s="128" t="str">
        <f>Februar!C29</f>
        <v>Skema 1</v>
      </c>
      <c r="D23" s="572" t="str">
        <f>Februar!DN29</f>
        <v/>
      </c>
      <c r="E23" s="571" t="str">
        <f>Aar!AB23</f>
        <v/>
      </c>
      <c r="F23" s="127">
        <f>Aar!AC23</f>
        <v>21</v>
      </c>
      <c r="G23" s="127" t="str">
        <f>Aar!AD23</f>
        <v>fr</v>
      </c>
      <c r="H23" s="127" t="str">
        <f>Aar!AE23</f>
        <v>Skema 1</v>
      </c>
      <c r="I23" s="573" t="str">
        <f>Marts!DN29</f>
        <v/>
      </c>
      <c r="J23" s="569" t="str">
        <f>Marts!D29</f>
        <v/>
      </c>
      <c r="K23" s="127">
        <f>Aar!AG23</f>
        <v>21</v>
      </c>
      <c r="L23" s="127" t="str">
        <f>Aar!AH23</f>
        <v>ma</v>
      </c>
      <c r="M23" s="127" t="str">
        <f>Aar!AI23</f>
        <v>SH-dag</v>
      </c>
      <c r="N23" s="573" t="str">
        <f>April!DN29</f>
        <v>2. påskedag</v>
      </c>
      <c r="O23" s="567">
        <f>April!D29</f>
        <v>16.714285714285715</v>
      </c>
      <c r="P23" s="568">
        <f>Aar!AK23</f>
        <v>21</v>
      </c>
      <c r="Q23" s="127" t="str">
        <f>Aar!AL23</f>
        <v>on</v>
      </c>
      <c r="R23" s="127" t="str">
        <f>Aar!AM23</f>
        <v>Skema 1</v>
      </c>
      <c r="S23" s="573" t="str">
        <f>Maj!DN29</f>
        <v/>
      </c>
      <c r="T23" s="569" t="str">
        <f>Maj!D29</f>
        <v/>
      </c>
      <c r="U23" s="568">
        <f>Aar!AO23</f>
        <v>21</v>
      </c>
      <c r="V23" s="127" t="str">
        <f>Aar!AP23</f>
        <v>lø</v>
      </c>
      <c r="W23" s="127" t="str">
        <f>Aar!AQ23</f>
        <v>Weekend</v>
      </c>
      <c r="X23" s="573" t="str">
        <f>Juni!DN29</f>
        <v/>
      </c>
      <c r="Y23" s="567" t="str">
        <f>Juni!D29</f>
        <v/>
      </c>
      <c r="Z23" s="568">
        <f>Aar!AS23</f>
        <v>21</v>
      </c>
      <c r="AA23" s="127" t="str">
        <f>Aar!AT23</f>
        <v>ma</v>
      </c>
      <c r="AB23" s="127" t="str">
        <f>Aar!AU23</f>
        <v>Feriedag</v>
      </c>
      <c r="AC23" s="573" t="str">
        <f>Juli!DN29</f>
        <v>Sommerferie</v>
      </c>
      <c r="AD23" s="569">
        <f>Juli!D29</f>
        <v>29.714285714285715</v>
      </c>
    </row>
    <row r="24" spans="1:30" ht="23" customHeight="1">
      <c r="A24" s="568">
        <f>Aar!Y24</f>
        <v>22</v>
      </c>
      <c r="B24" s="127" t="str">
        <f>Aar!Z24</f>
        <v>lø</v>
      </c>
      <c r="C24" s="128" t="str">
        <f>Februar!C30</f>
        <v>Weekend</v>
      </c>
      <c r="D24" s="572" t="str">
        <f>Februar!DN30</f>
        <v/>
      </c>
      <c r="E24" s="571" t="str">
        <f>Aar!AB24</f>
        <v/>
      </c>
      <c r="F24" s="127">
        <f>Aar!AC24</f>
        <v>22</v>
      </c>
      <c r="G24" s="127" t="str">
        <f>Aar!AD24</f>
        <v>lø</v>
      </c>
      <c r="H24" s="127" t="str">
        <f>Aar!AE24</f>
        <v>Weekend</v>
      </c>
      <c r="I24" s="573" t="str">
        <f>Marts!DN30</f>
        <v/>
      </c>
      <c r="J24" s="569" t="str">
        <f>Marts!D30</f>
        <v/>
      </c>
      <c r="K24" s="127">
        <f>Aar!AG24</f>
        <v>22</v>
      </c>
      <c r="L24" s="127" t="str">
        <f>Aar!AH24</f>
        <v>ti</v>
      </c>
      <c r="M24" s="127" t="str">
        <f>Aar!AI24</f>
        <v>Skema 1</v>
      </c>
      <c r="N24" s="573" t="str">
        <f>April!DN30</f>
        <v/>
      </c>
      <c r="O24" s="567" t="str">
        <f>April!D30</f>
        <v/>
      </c>
      <c r="P24" s="568">
        <f>Aar!AK24</f>
        <v>22</v>
      </c>
      <c r="Q24" s="127" t="str">
        <f>Aar!AL24</f>
        <v>to</v>
      </c>
      <c r="R24" s="127" t="str">
        <f>Aar!AM24</f>
        <v>Skema 1</v>
      </c>
      <c r="S24" s="573" t="str">
        <f>Maj!DN30</f>
        <v/>
      </c>
      <c r="T24" s="569" t="str">
        <f>Maj!D30</f>
        <v/>
      </c>
      <c r="U24" s="568">
        <f>Aar!AO24</f>
        <v>22</v>
      </c>
      <c r="V24" s="127" t="str">
        <f>Aar!AP24</f>
        <v>sø</v>
      </c>
      <c r="W24" s="127" t="str">
        <f>Aar!AQ24</f>
        <v>Weekend</v>
      </c>
      <c r="X24" s="573" t="str">
        <f>Juni!DN30</f>
        <v/>
      </c>
      <c r="Y24" s="567" t="str">
        <f>Juni!D30</f>
        <v/>
      </c>
      <c r="Z24" s="568">
        <f>Aar!AS24</f>
        <v>22</v>
      </c>
      <c r="AA24" s="127" t="str">
        <f>Aar!AT24</f>
        <v>ti</v>
      </c>
      <c r="AB24" s="127" t="str">
        <f>Aar!AU24</f>
        <v>Feriedag</v>
      </c>
      <c r="AC24" s="573" t="str">
        <f>Juli!DN30</f>
        <v>Sommerferie</v>
      </c>
      <c r="AD24" s="569" t="str">
        <f>Juli!D30</f>
        <v/>
      </c>
    </row>
    <row r="25" spans="1:30" ht="23" customHeight="1">
      <c r="A25" s="568">
        <f>Aar!Y25</f>
        <v>23</v>
      </c>
      <c r="B25" s="127" t="str">
        <f>Aar!Z25</f>
        <v>sø</v>
      </c>
      <c r="C25" s="128" t="str">
        <f>Februar!C31</f>
        <v>Weekend</v>
      </c>
      <c r="D25" s="572" t="str">
        <f>Februar!DN31</f>
        <v/>
      </c>
      <c r="E25" s="571" t="str">
        <f>Aar!AB25</f>
        <v/>
      </c>
      <c r="F25" s="127">
        <f>Aar!AC25</f>
        <v>23</v>
      </c>
      <c r="G25" s="127" t="str">
        <f>Aar!AD25</f>
        <v>sø</v>
      </c>
      <c r="H25" s="127" t="str">
        <f>Aar!AE25</f>
        <v>Weekend</v>
      </c>
      <c r="I25" s="573" t="str">
        <f>Marts!DN31</f>
        <v/>
      </c>
      <c r="J25" s="569" t="str">
        <f>Marts!D31</f>
        <v/>
      </c>
      <c r="K25" s="127">
        <f>Aar!AG25</f>
        <v>23</v>
      </c>
      <c r="L25" s="127" t="str">
        <f>Aar!AH25</f>
        <v>on</v>
      </c>
      <c r="M25" s="127" t="str">
        <f>Aar!AI25</f>
        <v>Skema 1</v>
      </c>
      <c r="N25" s="573" t="str">
        <f>April!DN31</f>
        <v/>
      </c>
      <c r="O25" s="567" t="str">
        <f>April!D31</f>
        <v/>
      </c>
      <c r="P25" s="568">
        <f>Aar!AK25</f>
        <v>23</v>
      </c>
      <c r="Q25" s="127" t="str">
        <f>Aar!AL25</f>
        <v>fr</v>
      </c>
      <c r="R25" s="127" t="str">
        <f>Aar!AM25</f>
        <v>Skema 1</v>
      </c>
      <c r="S25" s="573" t="str">
        <f>Maj!DN31</f>
        <v/>
      </c>
      <c r="T25" s="569" t="str">
        <f>Maj!D31</f>
        <v/>
      </c>
      <c r="U25" s="568">
        <f>Aar!AO25</f>
        <v>23</v>
      </c>
      <c r="V25" s="127" t="str">
        <f>Aar!AP25</f>
        <v>ma</v>
      </c>
      <c r="W25" s="127" t="str">
        <f>Aar!AQ25</f>
        <v>Skema 1</v>
      </c>
      <c r="X25" s="573" t="str">
        <f>Juni!DN31</f>
        <v/>
      </c>
      <c r="Y25" s="567">
        <f>Juni!D31</f>
        <v>25.714285714285715</v>
      </c>
      <c r="Z25" s="568">
        <f>Aar!AS25</f>
        <v>23</v>
      </c>
      <c r="AA25" s="127" t="str">
        <f>Aar!AT25</f>
        <v>on</v>
      </c>
      <c r="AB25" s="127" t="str">
        <f>Aar!AU25</f>
        <v>Feriedag</v>
      </c>
      <c r="AC25" s="573" t="str">
        <f>Juli!DN31</f>
        <v>Sommerferie</v>
      </c>
      <c r="AD25" s="569" t="str">
        <f>Juli!D31</f>
        <v/>
      </c>
    </row>
    <row r="26" spans="1:30" ht="23" customHeight="1">
      <c r="A26" s="568">
        <f>Aar!Y26</f>
        <v>24</v>
      </c>
      <c r="B26" s="127" t="str">
        <f>Aar!Z26</f>
        <v>ma</v>
      </c>
      <c r="C26" s="128" t="str">
        <f>Februar!C32</f>
        <v>Skema 1</v>
      </c>
      <c r="D26" s="572" t="str">
        <f>Februar!DN32</f>
        <v/>
      </c>
      <c r="E26" s="571">
        <f>Aar!AB26</f>
        <v>8.7142857142857135</v>
      </c>
      <c r="F26" s="127">
        <f>Aar!AC26</f>
        <v>24</v>
      </c>
      <c r="G26" s="127" t="str">
        <f>Aar!AD26</f>
        <v>ma</v>
      </c>
      <c r="H26" s="127" t="str">
        <f>Aar!AE26</f>
        <v>Skema 1</v>
      </c>
      <c r="I26" s="573" t="str">
        <f>Marts!DN32</f>
        <v/>
      </c>
      <c r="J26" s="569">
        <f>Marts!D32</f>
        <v>12.714285714285714</v>
      </c>
      <c r="K26" s="127">
        <f>Aar!AG26</f>
        <v>24</v>
      </c>
      <c r="L26" s="127" t="str">
        <f>Aar!AH26</f>
        <v>to</v>
      </c>
      <c r="M26" s="127" t="str">
        <f>Aar!AI26</f>
        <v>Skema 1</v>
      </c>
      <c r="N26" s="573" t="str">
        <f>April!DN32</f>
        <v/>
      </c>
      <c r="O26" s="567" t="str">
        <f>April!D32</f>
        <v/>
      </c>
      <c r="P26" s="568">
        <f>Aar!AK26</f>
        <v>24</v>
      </c>
      <c r="Q26" s="127" t="str">
        <f>Aar!AL26</f>
        <v>lø</v>
      </c>
      <c r="R26" s="127" t="str">
        <f>Aar!AM26</f>
        <v>Weekend</v>
      </c>
      <c r="S26" s="573" t="str">
        <f>Maj!DN32</f>
        <v/>
      </c>
      <c r="T26" s="569" t="str">
        <f>Maj!D32</f>
        <v/>
      </c>
      <c r="U26" s="568">
        <f>Aar!AO26</f>
        <v>24</v>
      </c>
      <c r="V26" s="127" t="str">
        <f>Aar!AP26</f>
        <v>ti</v>
      </c>
      <c r="W26" s="127" t="str">
        <f>Aar!AQ26</f>
        <v>Skema 1</v>
      </c>
      <c r="X26" s="573" t="str">
        <f>Juni!DN32</f>
        <v/>
      </c>
      <c r="Y26" s="567" t="str">
        <f>Juni!D32</f>
        <v/>
      </c>
      <c r="Z26" s="568">
        <f>Aar!AS26</f>
        <v>24</v>
      </c>
      <c r="AA26" s="127" t="str">
        <f>Aar!AT26</f>
        <v>to</v>
      </c>
      <c r="AB26" s="127" t="str">
        <f>Aar!AU26</f>
        <v>Feriedag</v>
      </c>
      <c r="AC26" s="573" t="str">
        <f>Juli!DN32</f>
        <v>Sommerferie</v>
      </c>
      <c r="AD26" s="569" t="str">
        <f>Juli!D32</f>
        <v/>
      </c>
    </row>
    <row r="27" spans="1:30" ht="23" customHeight="1">
      <c r="A27" s="568">
        <f>Aar!Y27</f>
        <v>25</v>
      </c>
      <c r="B27" s="127" t="str">
        <f>Aar!Z27</f>
        <v>ti</v>
      </c>
      <c r="C27" s="128" t="str">
        <f>Februar!C33</f>
        <v>Skema 1</v>
      </c>
      <c r="D27" s="572" t="str">
        <f>Februar!DN33</f>
        <v/>
      </c>
      <c r="E27" s="571" t="str">
        <f>Aar!AB27</f>
        <v/>
      </c>
      <c r="F27" s="127">
        <f>Aar!AC27</f>
        <v>25</v>
      </c>
      <c r="G27" s="127" t="str">
        <f>Aar!AD27</f>
        <v>ti</v>
      </c>
      <c r="H27" s="127" t="str">
        <f>Aar!AE27</f>
        <v>Skema 1</v>
      </c>
      <c r="I27" s="573" t="str">
        <f>Marts!DN33</f>
        <v/>
      </c>
      <c r="J27" s="569" t="str">
        <f>Marts!D33</f>
        <v/>
      </c>
      <c r="K27" s="127">
        <f>Aar!AG27</f>
        <v>25</v>
      </c>
      <c r="L27" s="127" t="str">
        <f>Aar!AH27</f>
        <v>fr</v>
      </c>
      <c r="M27" s="127" t="str">
        <f>Aar!AI27</f>
        <v>Skema 1</v>
      </c>
      <c r="N27" s="573" t="str">
        <f>April!DN33</f>
        <v/>
      </c>
      <c r="O27" s="567" t="str">
        <f>April!D33</f>
        <v/>
      </c>
      <c r="P27" s="568">
        <f>Aar!AK27</f>
        <v>25</v>
      </c>
      <c r="Q27" s="127" t="str">
        <f>Aar!AL27</f>
        <v>sø</v>
      </c>
      <c r="R27" s="127" t="str">
        <f>Aar!AM27</f>
        <v>Weekend</v>
      </c>
      <c r="S27" s="573" t="str">
        <f>Maj!DN33</f>
        <v/>
      </c>
      <c r="T27" s="569" t="str">
        <f>Maj!D33</f>
        <v/>
      </c>
      <c r="U27" s="568">
        <f>Aar!AO27</f>
        <v>25</v>
      </c>
      <c r="V27" s="127" t="str">
        <f>Aar!AP27</f>
        <v>on</v>
      </c>
      <c r="W27" s="127" t="str">
        <f>Aar!AQ27</f>
        <v>Skema 1</v>
      </c>
      <c r="X27" s="573" t="str">
        <f>Juni!DN33</f>
        <v/>
      </c>
      <c r="Y27" s="567" t="str">
        <f>Juni!D33</f>
        <v/>
      </c>
      <c r="Z27" s="568">
        <f>Aar!AS27</f>
        <v>25</v>
      </c>
      <c r="AA27" s="127" t="str">
        <f>Aar!AT27</f>
        <v>fr</v>
      </c>
      <c r="AB27" s="127" t="str">
        <f>Aar!AU27</f>
        <v>Feriedag</v>
      </c>
      <c r="AC27" s="573" t="str">
        <f>Juli!DN33</f>
        <v>Sommerferie</v>
      </c>
      <c r="AD27" s="569" t="str">
        <f>Juli!D33</f>
        <v/>
      </c>
    </row>
    <row r="28" spans="1:30" ht="23" customHeight="1">
      <c r="A28" s="568">
        <f>Aar!Y28</f>
        <v>26</v>
      </c>
      <c r="B28" s="127" t="str">
        <f>Aar!Z28</f>
        <v>on</v>
      </c>
      <c r="C28" s="128" t="str">
        <f>Februar!C34</f>
        <v>Skema 1</v>
      </c>
      <c r="D28" s="572" t="str">
        <f>Februar!DN34</f>
        <v/>
      </c>
      <c r="E28" s="571" t="str">
        <f>Aar!AB28</f>
        <v/>
      </c>
      <c r="F28" s="127">
        <f>Aar!AC28</f>
        <v>26</v>
      </c>
      <c r="G28" s="127" t="str">
        <f>Aar!AD28</f>
        <v>on</v>
      </c>
      <c r="H28" s="127" t="str">
        <f>Aar!AE28</f>
        <v>Skema 1</v>
      </c>
      <c r="I28" s="573" t="str">
        <f>Marts!DN34</f>
        <v/>
      </c>
      <c r="J28" s="569" t="str">
        <f>Marts!D34</f>
        <v/>
      </c>
      <c r="K28" s="127">
        <f>Aar!AG28</f>
        <v>26</v>
      </c>
      <c r="L28" s="127" t="str">
        <f>Aar!AH28</f>
        <v>lø</v>
      </c>
      <c r="M28" s="127" t="str">
        <f>Aar!AI28</f>
        <v>Weekend</v>
      </c>
      <c r="N28" s="573" t="str">
        <f>April!DN34</f>
        <v/>
      </c>
      <c r="O28" s="567" t="str">
        <f>April!D34</f>
        <v/>
      </c>
      <c r="P28" s="568">
        <f>Aar!AK28</f>
        <v>26</v>
      </c>
      <c r="Q28" s="127" t="str">
        <f>Aar!AL28</f>
        <v>ma</v>
      </c>
      <c r="R28" s="127" t="str">
        <f>Aar!AM28</f>
        <v>Skema 1</v>
      </c>
      <c r="S28" s="573" t="str">
        <f>Maj!DN34</f>
        <v/>
      </c>
      <c r="T28" s="569">
        <f>Maj!D34</f>
        <v>21.714285714285715</v>
      </c>
      <c r="U28" s="568">
        <f>Aar!AO28</f>
        <v>26</v>
      </c>
      <c r="V28" s="127" t="str">
        <f>Aar!AP28</f>
        <v>to</v>
      </c>
      <c r="W28" s="127" t="str">
        <f>Aar!AQ28</f>
        <v>Skema 1</v>
      </c>
      <c r="X28" s="573" t="str">
        <f>Juni!DN34</f>
        <v/>
      </c>
      <c r="Y28" s="567" t="str">
        <f>Juni!D34</f>
        <v/>
      </c>
      <c r="Z28" s="568">
        <f>Aar!AS28</f>
        <v>26</v>
      </c>
      <c r="AA28" s="127" t="str">
        <f>Aar!AT28</f>
        <v>lø</v>
      </c>
      <c r="AB28" s="127" t="str">
        <f>Aar!AU28</f>
        <v>Weekend</v>
      </c>
      <c r="AC28" s="573" t="str">
        <f>Juli!DN34</f>
        <v/>
      </c>
      <c r="AD28" s="569" t="str">
        <f>Juli!D34</f>
        <v/>
      </c>
    </row>
    <row r="29" spans="1:30" ht="23" customHeight="1">
      <c r="A29" s="568">
        <f>Aar!Y29</f>
        <v>27</v>
      </c>
      <c r="B29" s="127" t="str">
        <f>Aar!Z29</f>
        <v>to</v>
      </c>
      <c r="C29" s="128" t="str">
        <f>Februar!C35</f>
        <v>Skema 1</v>
      </c>
      <c r="D29" s="572" t="str">
        <f>Februar!DN35</f>
        <v/>
      </c>
      <c r="E29" s="571" t="str">
        <f>Aar!AB29</f>
        <v/>
      </c>
      <c r="F29" s="127">
        <f>Aar!AC29</f>
        <v>27</v>
      </c>
      <c r="G29" s="127" t="str">
        <f>Aar!AD29</f>
        <v>to</v>
      </c>
      <c r="H29" s="127" t="str">
        <f>Aar!AE29</f>
        <v>Skema 1</v>
      </c>
      <c r="I29" s="573" t="str">
        <f>Marts!DN35</f>
        <v/>
      </c>
      <c r="J29" s="569" t="str">
        <f>Marts!D35</f>
        <v/>
      </c>
      <c r="K29" s="127">
        <f>Aar!AG29</f>
        <v>27</v>
      </c>
      <c r="L29" s="127" t="str">
        <f>Aar!AH29</f>
        <v>sø</v>
      </c>
      <c r="M29" s="127" t="str">
        <f>Aar!AI29</f>
        <v>Weekend</v>
      </c>
      <c r="N29" s="573" t="str">
        <f>April!DN35</f>
        <v/>
      </c>
      <c r="O29" s="567" t="str">
        <f>April!D35</f>
        <v/>
      </c>
      <c r="P29" s="568">
        <f>Aar!AK29</f>
        <v>27</v>
      </c>
      <c r="Q29" s="127" t="str">
        <f>Aar!AL29</f>
        <v>ti</v>
      </c>
      <c r="R29" s="127" t="str">
        <f>Aar!AM29</f>
        <v>Skema 1</v>
      </c>
      <c r="S29" s="573" t="str">
        <f>Maj!DN35</f>
        <v/>
      </c>
      <c r="T29" s="569" t="str">
        <f>Maj!D35</f>
        <v/>
      </c>
      <c r="U29" s="568">
        <f>Aar!AO29</f>
        <v>27</v>
      </c>
      <c r="V29" s="127" t="str">
        <f>Aar!AP29</f>
        <v>fr</v>
      </c>
      <c r="W29" s="127" t="str">
        <f>Aar!AQ29</f>
        <v>Skema 1</v>
      </c>
      <c r="X29" s="573" t="str">
        <f>Juni!DN35</f>
        <v/>
      </c>
      <c r="Y29" s="567" t="str">
        <f>Juni!D35</f>
        <v/>
      </c>
      <c r="Z29" s="568">
        <f>Aar!AS29</f>
        <v>27</v>
      </c>
      <c r="AA29" s="127" t="str">
        <f>Aar!AT29</f>
        <v>sø</v>
      </c>
      <c r="AB29" s="127" t="str">
        <f>Aar!AU29</f>
        <v>Weekend</v>
      </c>
      <c r="AC29" s="573" t="str">
        <f>Juli!DN35</f>
        <v/>
      </c>
      <c r="AD29" s="569" t="str">
        <f>Juli!D35</f>
        <v/>
      </c>
    </row>
    <row r="30" spans="1:30" ht="23" customHeight="1">
      <c r="A30" s="568">
        <f>Aar!Y30</f>
        <v>28</v>
      </c>
      <c r="B30" s="127" t="str">
        <f>Aar!Z30</f>
        <v>fr</v>
      </c>
      <c r="C30" s="128" t="str">
        <f>Februar!C36</f>
        <v>Skema 1</v>
      </c>
      <c r="D30" s="572" t="str">
        <f>Februar!DN36</f>
        <v/>
      </c>
      <c r="E30" s="571" t="str">
        <f>Aar!AB30</f>
        <v/>
      </c>
      <c r="F30" s="127">
        <f>Aar!AC30</f>
        <v>28</v>
      </c>
      <c r="G30" s="127" t="str">
        <f>Aar!AD30</f>
        <v>fr</v>
      </c>
      <c r="H30" s="127" t="str">
        <f>Aar!AE30</f>
        <v>Skema 1</v>
      </c>
      <c r="I30" s="573" t="str">
        <f>Marts!DN36</f>
        <v/>
      </c>
      <c r="J30" s="569" t="str">
        <f>Marts!D36</f>
        <v/>
      </c>
      <c r="K30" s="127">
        <f>Aar!AG30</f>
        <v>28</v>
      </c>
      <c r="L30" s="127" t="str">
        <f>Aar!AH30</f>
        <v>ma</v>
      </c>
      <c r="M30" s="127" t="str">
        <f>Aar!AI30</f>
        <v>Skema 1</v>
      </c>
      <c r="N30" s="573" t="str">
        <f>April!DN36</f>
        <v/>
      </c>
      <c r="O30" s="567">
        <f>April!D36</f>
        <v>17.714285714285715</v>
      </c>
      <c r="P30" s="568">
        <f>Aar!AK30</f>
        <v>28</v>
      </c>
      <c r="Q30" s="127" t="str">
        <f>Aar!AL30</f>
        <v>on</v>
      </c>
      <c r="R30" s="127" t="str">
        <f>Aar!AM30</f>
        <v>Skema 1</v>
      </c>
      <c r="S30" s="573" t="str">
        <f>Maj!DN36</f>
        <v/>
      </c>
      <c r="T30" s="569" t="str">
        <f>Maj!D36</f>
        <v/>
      </c>
      <c r="U30" s="568">
        <f>Aar!AO30</f>
        <v>28</v>
      </c>
      <c r="V30" s="127" t="str">
        <f>Aar!AP30</f>
        <v>lø</v>
      </c>
      <c r="W30" s="127" t="str">
        <f>Aar!AQ30</f>
        <v>Weekend</v>
      </c>
      <c r="X30" s="573" t="str">
        <f>Juni!DN36</f>
        <v/>
      </c>
      <c r="Y30" s="567" t="str">
        <f>Juni!D36</f>
        <v/>
      </c>
      <c r="Z30" s="568">
        <f>Aar!AS30</f>
        <v>28</v>
      </c>
      <c r="AA30" s="127" t="str">
        <f>Aar!AT30</f>
        <v>ma</v>
      </c>
      <c r="AB30" s="127" t="str">
        <f>Aar!AU30</f>
        <v>Feriedag</v>
      </c>
      <c r="AC30" s="573" t="str">
        <f>Juli!DN36</f>
        <v>Sommerferie</v>
      </c>
      <c r="AD30" s="569">
        <f>Juli!D36</f>
        <v>30.714285714285715</v>
      </c>
    </row>
    <row r="31" spans="1:30" ht="23" customHeight="1">
      <c r="A31" s="196">
        <f>Aar!Y31</f>
        <v>0</v>
      </c>
      <c r="B31" s="197">
        <f>Aar!Z31</f>
        <v>0</v>
      </c>
      <c r="C31" s="733" t="str">
        <f>Februar!C37</f>
        <v>Ikke relevant</v>
      </c>
      <c r="D31" s="606" t="str">
        <f>Februar!DN37</f>
        <v/>
      </c>
      <c r="E31" s="607">
        <f>Aar!AB31</f>
        <v>0</v>
      </c>
      <c r="F31" s="127">
        <f>Aar!AC31</f>
        <v>29</v>
      </c>
      <c r="G31" s="127" t="str">
        <f>Aar!AD31</f>
        <v>lø</v>
      </c>
      <c r="H31" s="127" t="str">
        <f>Aar!AE31</f>
        <v>Weekend</v>
      </c>
      <c r="I31" s="573" t="str">
        <f>Marts!DN37</f>
        <v/>
      </c>
      <c r="J31" s="569" t="str">
        <f>Marts!D37</f>
        <v/>
      </c>
      <c r="K31" s="127">
        <f>Aar!AG31</f>
        <v>29</v>
      </c>
      <c r="L31" s="127" t="str">
        <f>Aar!AH31</f>
        <v>ti</v>
      </c>
      <c r="M31" s="127" t="str">
        <f>Aar!AI31</f>
        <v>Skema 1</v>
      </c>
      <c r="N31" s="573" t="str">
        <f>April!DN37</f>
        <v/>
      </c>
      <c r="O31" s="567" t="str">
        <f>April!D37</f>
        <v/>
      </c>
      <c r="P31" s="568">
        <f>Aar!AK31</f>
        <v>29</v>
      </c>
      <c r="Q31" s="127" t="str">
        <f>Aar!AL31</f>
        <v>to</v>
      </c>
      <c r="R31" s="127" t="str">
        <f>Aar!AM31</f>
        <v>SH-dag</v>
      </c>
      <c r="S31" s="573" t="str">
        <f>Maj!DN37</f>
        <v>Kristi himmelfatsdag</v>
      </c>
      <c r="T31" s="569" t="str">
        <f>Maj!D37</f>
        <v/>
      </c>
      <c r="U31" s="568">
        <f>Aar!AO31</f>
        <v>29</v>
      </c>
      <c r="V31" s="127" t="str">
        <f>Aar!AP31</f>
        <v>sø</v>
      </c>
      <c r="W31" s="127" t="str">
        <f>Aar!AQ31</f>
        <v>Weekend</v>
      </c>
      <c r="X31" s="573" t="str">
        <f>Juni!DN37</f>
        <v/>
      </c>
      <c r="Y31" s="567" t="str">
        <f>Juni!D37</f>
        <v/>
      </c>
      <c r="Z31" s="568">
        <f>Aar!AS31</f>
        <v>29</v>
      </c>
      <c r="AA31" s="127" t="str">
        <f>Aar!AT31</f>
        <v>ti</v>
      </c>
      <c r="AB31" s="127" t="str">
        <f>Aar!AU31</f>
        <v>Feriedag</v>
      </c>
      <c r="AC31" s="573" t="str">
        <f>Juli!DN37</f>
        <v>Sommerferie</v>
      </c>
      <c r="AD31" s="569" t="str">
        <f>Juli!D37</f>
        <v/>
      </c>
    </row>
    <row r="32" spans="1:30" ht="23" customHeight="1">
      <c r="A32" s="78"/>
      <c r="B32" s="78"/>
      <c r="C32" s="79"/>
      <c r="D32" s="79"/>
      <c r="E32" s="452"/>
      <c r="F32" s="568">
        <f>Aar!AC32</f>
        <v>30</v>
      </c>
      <c r="G32" s="127" t="str">
        <f>Aar!AD32</f>
        <v>sø</v>
      </c>
      <c r="H32" s="127" t="str">
        <f>Aar!AE32</f>
        <v>Weekend</v>
      </c>
      <c r="I32" s="548" t="str">
        <f>Marts!DN38</f>
        <v/>
      </c>
      <c r="J32" s="569" t="str">
        <f>Marts!D38</f>
        <v/>
      </c>
      <c r="K32" s="127">
        <f>Aar!AG32</f>
        <v>30</v>
      </c>
      <c r="L32" s="127" t="str">
        <f>Aar!AH32</f>
        <v>on</v>
      </c>
      <c r="M32" s="127" t="str">
        <f>Aar!AI32</f>
        <v>Skema 1</v>
      </c>
      <c r="N32" s="573" t="str">
        <f>April!DN38</f>
        <v/>
      </c>
      <c r="O32" s="567" t="str">
        <f>April!D38</f>
        <v/>
      </c>
      <c r="P32" s="568">
        <f>Aar!AK32</f>
        <v>30</v>
      </c>
      <c r="Q32" s="127" t="str">
        <f>Aar!AL32</f>
        <v>fr</v>
      </c>
      <c r="R32" s="127" t="str">
        <f>Aar!AM32</f>
        <v>Nul-dag</v>
      </c>
      <c r="S32" s="573" t="str">
        <f>Maj!DN38</f>
        <v/>
      </c>
      <c r="T32" s="569" t="str">
        <f>Maj!D38</f>
        <v/>
      </c>
      <c r="U32" s="568">
        <f>Aar!AO32</f>
        <v>30</v>
      </c>
      <c r="V32" s="127" t="str">
        <f>Aar!AP32</f>
        <v>ma</v>
      </c>
      <c r="W32" s="127" t="str">
        <f>Aar!AQ32</f>
        <v>Nul-dag</v>
      </c>
      <c r="X32" s="573" t="str">
        <f>Juni!DN38</f>
        <v/>
      </c>
      <c r="Y32" s="567">
        <f>Juni!D38</f>
        <v>26.714285714285715</v>
      </c>
      <c r="Z32" s="568">
        <f>Aar!AS32</f>
        <v>30</v>
      </c>
      <c r="AA32" s="127" t="str">
        <f>Aar!AT32</f>
        <v>on</v>
      </c>
      <c r="AB32" s="127" t="str">
        <f>Aar!AU32</f>
        <v>Feriedag</v>
      </c>
      <c r="AC32" s="573" t="str">
        <f>Juli!DN38</f>
        <v>Sommerferie</v>
      </c>
      <c r="AD32" s="569" t="str">
        <f>Juli!D38</f>
        <v/>
      </c>
    </row>
    <row r="33" spans="1:30" ht="23" customHeight="1">
      <c r="A33" s="78"/>
      <c r="B33" s="78"/>
      <c r="C33" s="79"/>
      <c r="D33" s="79"/>
      <c r="E33" s="452"/>
      <c r="F33" s="568">
        <f>Aar!AC33</f>
        <v>31</v>
      </c>
      <c r="G33" s="127" t="str">
        <f>Aar!AD33</f>
        <v>ma</v>
      </c>
      <c r="H33" s="127" t="str">
        <f>Aar!AE33</f>
        <v>Skema 1</v>
      </c>
      <c r="I33" s="573" t="str">
        <f>Marts!DN39</f>
        <v/>
      </c>
      <c r="J33" s="569">
        <f>Marts!D39</f>
        <v>13.714285714285714</v>
      </c>
      <c r="K33" s="78"/>
      <c r="L33" s="78"/>
      <c r="M33" s="79"/>
      <c r="N33" s="574"/>
      <c r="O33" s="452"/>
      <c r="P33" s="568">
        <f>Aar!AK33</f>
        <v>31</v>
      </c>
      <c r="Q33" s="127" t="str">
        <f>Aar!AL33</f>
        <v>lø</v>
      </c>
      <c r="R33" s="127" t="str">
        <f>Aar!AM33</f>
        <v>Weekend</v>
      </c>
      <c r="S33" s="573" t="str">
        <f>Maj!DN39</f>
        <v/>
      </c>
      <c r="T33" s="569" t="str">
        <f>Maj!D39</f>
        <v/>
      </c>
      <c r="U33" s="78"/>
      <c r="V33" s="78"/>
      <c r="W33" s="79"/>
      <c r="X33" s="79"/>
      <c r="Y33" s="452"/>
      <c r="Z33" s="568">
        <f>Aar!AS33</f>
        <v>31</v>
      </c>
      <c r="AA33" s="127" t="str">
        <f>Aar!AT33</f>
        <v>to</v>
      </c>
      <c r="AB33" s="127" t="str">
        <f>Aar!AU33</f>
        <v>Feriedag</v>
      </c>
      <c r="AC33" s="573" t="str">
        <f>Juli!DN39</f>
        <v>Sommerferie</v>
      </c>
      <c r="AD33" s="569" t="str">
        <f>Juli!D39</f>
        <v/>
      </c>
    </row>
    <row r="34" spans="1:30" ht="23" customHeight="1">
      <c r="A34" s="70"/>
      <c r="B34" s="70"/>
      <c r="C34" s="70">
        <f>Aar!Z34</f>
        <v>20</v>
      </c>
      <c r="D34" s="70" t="str">
        <f>Aar!AA34</f>
        <v xml:space="preserve"> arbejdsdage</v>
      </c>
      <c r="E34" s="70"/>
      <c r="F34" s="70"/>
      <c r="G34" s="70"/>
      <c r="H34" s="70">
        <f>Aar!AD34</f>
        <v>21</v>
      </c>
      <c r="I34" s="70" t="str">
        <f>Aar!AE34</f>
        <v xml:space="preserve"> arbejdsdage</v>
      </c>
      <c r="J34" s="70"/>
      <c r="K34" s="70"/>
      <c r="L34" s="70"/>
      <c r="M34" s="70">
        <f>Aar!AH34</f>
        <v>19</v>
      </c>
      <c r="N34" s="70" t="str">
        <f>Aar!AI34</f>
        <v xml:space="preserve"> arbejdsdage</v>
      </c>
      <c r="O34" s="70"/>
      <c r="P34" s="70"/>
      <c r="Q34" s="70"/>
      <c r="R34" s="70">
        <f>Aar!AL34</f>
        <v>21</v>
      </c>
      <c r="S34" s="70" t="str">
        <f>Aar!AM34</f>
        <v xml:space="preserve"> arbejdsdage</v>
      </c>
      <c r="T34" s="70"/>
      <c r="U34" s="70"/>
      <c r="V34" s="70"/>
      <c r="W34" s="70">
        <f>Aar!AP34</f>
        <v>20</v>
      </c>
      <c r="X34" s="70" t="str">
        <f>Aar!AQ34</f>
        <v xml:space="preserve"> arbejdsdage</v>
      </c>
      <c r="Y34" s="70"/>
      <c r="Z34" s="70"/>
      <c r="AA34" s="70"/>
      <c r="AB34" s="521">
        <f>Aar!AT34</f>
        <v>23</v>
      </c>
      <c r="AC34" s="521" t="str">
        <f>Aar!AU34</f>
        <v xml:space="preserve"> arbejdsdage</v>
      </c>
      <c r="AD34" s="70"/>
    </row>
    <row r="35" spans="1:30" ht="23" customHeight="1" thickBot="1">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row>
    <row r="36" spans="1:30" ht="29" customHeight="1" thickBot="1">
      <c r="A36" s="1505" t="str">
        <f>"I alt for hele skoleåret "&amp;Vejledning!B3&amp;""</f>
        <v>I alt for hele skoleåret Vejledning til planlægningsværtøj vedr.</v>
      </c>
      <c r="B36" s="1506"/>
      <c r="C36" s="1506"/>
      <c r="D36" s="1506"/>
      <c r="E36" s="1506"/>
      <c r="F36" s="1506"/>
      <c r="G36" s="1506"/>
      <c r="H36" s="1506"/>
      <c r="I36" s="1506"/>
      <c r="J36" s="1506"/>
      <c r="K36" s="1506"/>
      <c r="L36" s="1506"/>
      <c r="M36" s="1506"/>
      <c r="N36" s="1506"/>
      <c r="O36" s="1506"/>
      <c r="P36" s="1506"/>
      <c r="Q36" s="1506"/>
      <c r="R36" s="1506"/>
      <c r="S36" s="1506"/>
      <c r="T36" s="1506"/>
      <c r="U36" s="1507"/>
      <c r="V36" s="115"/>
      <c r="W36" s="116"/>
      <c r="X36" s="112"/>
      <c r="Y36" s="70"/>
      <c r="Z36" s="70"/>
      <c r="AA36" s="70"/>
      <c r="AB36" s="70"/>
      <c r="AC36" s="70"/>
      <c r="AD36" s="70"/>
    </row>
    <row r="37" spans="1:30" ht="23" customHeight="1">
      <c r="A37" s="1508" t="s">
        <v>118</v>
      </c>
      <c r="B37" s="1509"/>
      <c r="C37" s="1509"/>
      <c r="D37" s="1509"/>
      <c r="E37" s="1509"/>
      <c r="F37" s="1509"/>
      <c r="G37" s="1509"/>
      <c r="H37" s="130">
        <f>Aar!G37</f>
        <v>200</v>
      </c>
      <c r="I37" s="171"/>
      <c r="J37" s="171"/>
      <c r="K37" s="171"/>
      <c r="L37" s="171"/>
      <c r="M37" s="171"/>
      <c r="N37" s="1510" t="s">
        <v>117</v>
      </c>
      <c r="O37" s="1511"/>
      <c r="P37" s="1511"/>
      <c r="Q37" s="1511"/>
      <c r="R37" s="1511"/>
      <c r="S37" s="1511"/>
      <c r="T37" s="1511"/>
      <c r="U37" s="170">
        <f>Aar!AE37</f>
        <v>0</v>
      </c>
      <c r="V37" s="113"/>
      <c r="W37" s="70"/>
      <c r="X37" s="109"/>
      <c r="Y37" s="109"/>
      <c r="Z37" s="70"/>
      <c r="AA37" s="70"/>
      <c r="AB37" s="108"/>
      <c r="AC37" s="62"/>
      <c r="AD37" s="62"/>
    </row>
    <row r="38" spans="1:30" ht="23" customHeight="1">
      <c r="A38" s="1512" t="s">
        <v>116</v>
      </c>
      <c r="B38" s="1513"/>
      <c r="C38" s="1513"/>
      <c r="D38" s="1513"/>
      <c r="E38" s="1513"/>
      <c r="F38" s="1513"/>
      <c r="G38" s="1513"/>
      <c r="H38" s="167">
        <f>Aar!O37</f>
        <v>0</v>
      </c>
      <c r="I38" s="172"/>
      <c r="J38" s="172"/>
      <c r="K38" s="172"/>
      <c r="L38" s="172"/>
      <c r="M38" s="172"/>
      <c r="N38" s="174" t="s">
        <v>143</v>
      </c>
      <c r="O38" s="1520">
        <f>Aar!O35</f>
        <v>104</v>
      </c>
      <c r="P38" s="1520"/>
      <c r="Q38" s="1520"/>
      <c r="R38" s="166" t="s">
        <v>144</v>
      </c>
      <c r="S38" s="166"/>
      <c r="T38" s="1516">
        <f>Aar!W35</f>
        <v>8</v>
      </c>
      <c r="U38" s="1517"/>
      <c r="V38" s="113"/>
      <c r="W38" s="70"/>
      <c r="X38" s="109"/>
      <c r="Y38" s="109"/>
      <c r="Z38" s="70"/>
      <c r="AA38" s="70"/>
      <c r="AB38" s="108"/>
      <c r="AC38" s="62"/>
      <c r="AD38" s="62"/>
    </row>
    <row r="39" spans="1:30" ht="23" customHeight="1">
      <c r="A39" s="1514" t="s">
        <v>121</v>
      </c>
      <c r="B39" s="1515"/>
      <c r="C39" s="1515"/>
      <c r="D39" s="1515"/>
      <c r="E39" s="1515"/>
      <c r="F39" s="1515"/>
      <c r="G39" s="1515"/>
      <c r="H39" s="168">
        <f>Aar!W37</f>
        <v>0</v>
      </c>
      <c r="I39" s="172"/>
      <c r="J39" s="172"/>
      <c r="K39" s="172"/>
      <c r="L39" s="172"/>
      <c r="M39" s="172"/>
      <c r="N39" s="182" t="s">
        <v>163</v>
      </c>
      <c r="O39" s="1518">
        <f>Aar!AE35</f>
        <v>25</v>
      </c>
      <c r="P39" s="1518"/>
      <c r="Q39" s="1519"/>
      <c r="R39" s="180" t="s">
        <v>164</v>
      </c>
      <c r="S39" s="180"/>
      <c r="T39" s="180"/>
      <c r="U39" s="453">
        <f>Aar!AV35</f>
        <v>1</v>
      </c>
      <c r="V39" s="114"/>
      <c r="W39" s="70"/>
      <c r="X39" s="109"/>
      <c r="Y39" s="109"/>
      <c r="Z39" s="70"/>
      <c r="AA39" s="70"/>
      <c r="AB39" s="108"/>
      <c r="AC39" s="62"/>
      <c r="AD39" s="62"/>
    </row>
    <row r="40" spans="1:30" ht="23" customHeight="1" thickBot="1">
      <c r="A40" s="164" t="s">
        <v>151</v>
      </c>
      <c r="B40" s="165"/>
      <c r="C40" s="165"/>
      <c r="D40" s="165"/>
      <c r="E40" s="165"/>
      <c r="F40" s="165"/>
      <c r="G40" s="165"/>
      <c r="H40" s="169">
        <f>SUM(H37:H39)</f>
        <v>200</v>
      </c>
      <c r="I40" s="173"/>
      <c r="J40" s="173"/>
      <c r="K40" s="173"/>
      <c r="L40" s="173"/>
      <c r="M40" s="173"/>
      <c r="N40" s="457" t="s">
        <v>168</v>
      </c>
      <c r="O40" s="458"/>
      <c r="P40" s="458"/>
      <c r="Q40" s="458">
        <f>Aar!AM35</f>
        <v>28</v>
      </c>
      <c r="R40" s="455" t="s">
        <v>419</v>
      </c>
      <c r="S40" s="455"/>
      <c r="T40" s="455"/>
      <c r="U40" s="456">
        <f>Aar!AV37</f>
        <v>0</v>
      </c>
      <c r="V40" s="113"/>
      <c r="W40" s="70"/>
      <c r="X40" s="109"/>
      <c r="Y40" s="109"/>
      <c r="Z40" s="70"/>
      <c r="AA40" s="70"/>
      <c r="AB40" s="108"/>
      <c r="AC40" s="62"/>
      <c r="AD40" s="62"/>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35433070866141736" right="0.35433070866141736" top="0.39370078740157483" bottom="0.39370078740157483" header="0.19685039370078741" footer="0.11811023622047245"/>
  <pageSetup paperSize="9" scale="53"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2" id="{AA8D41F6-A3CD-5249-A8C0-AF6CB62E51FE}">
            <xm:f>OR(Februar!$C9="Ikke relevant")</xm:f>
            <x14:dxf>
              <font>
                <color theme="0"/>
              </font>
              <fill>
                <patternFill>
                  <bgColor theme="1"/>
                </patternFill>
              </fill>
            </x14:dxf>
          </x14:cfRule>
          <xm:sqref>A3:E30</xm:sqref>
        </x14:conditionalFormatting>
        <x14:conditionalFormatting xmlns:xm="http://schemas.microsoft.com/office/excel/2006/main">
          <x14:cfRule type="expression" priority="91" id="{10B48BC6-8EAF-2942-BB6D-13EE2B42F7DD}">
            <xm:f>OR(Februar!$C9="weekend")</xm:f>
            <x14:dxf>
              <font>
                <color theme="1"/>
              </font>
              <fill>
                <patternFill>
                  <bgColor theme="0" tint="-0.14996795556505021"/>
                </patternFill>
              </fill>
            </x14:dxf>
          </x14:cfRule>
          <x14:cfRule type="expression" priority="90" id="{F6CC4708-7E92-A745-9939-7594EE6EADA0}">
            <xm:f>OR(Februar!$C9="feriedag")</xm:f>
            <x14:dxf>
              <font>
                <color theme="1"/>
              </font>
              <fill>
                <patternFill>
                  <bgColor theme="6" tint="0.39994506668294322"/>
                </patternFill>
              </fill>
            </x14:dxf>
          </x14:cfRule>
          <x14:cfRule type="expression" priority="89" id="{57E068A6-D249-1E4A-84B8-176519CE97D6}">
            <xm:f>OR(Februar!$C9="fagdag")</xm:f>
            <x14:dxf>
              <font>
                <color theme="1"/>
              </font>
              <fill>
                <patternFill>
                  <bgColor theme="9" tint="0.59996337778862885"/>
                </patternFill>
              </fill>
            </x14:dxf>
          </x14:cfRule>
          <x14:cfRule type="expression" priority="88" id="{D5F29B49-D605-7245-83DF-DFB7B5E07041}">
            <xm:f>OR(Februar!$C9="emnedag")</xm:f>
            <x14:dxf>
              <font>
                <color theme="1"/>
              </font>
              <fill>
                <patternFill>
                  <bgColor theme="5" tint="0.59996337778862885"/>
                </patternFill>
              </fill>
            </x14:dxf>
          </x14:cfRule>
          <x14:cfRule type="expression" priority="87" id="{16BF4041-5844-EF42-A47B-6A70837B4FEC}">
            <xm:f>OR(Februar!$C9="lejrskole")</xm:f>
            <x14:dxf>
              <font>
                <color theme="1"/>
              </font>
              <fill>
                <patternFill>
                  <bgColor theme="8" tint="0.59996337778862885"/>
                </patternFill>
              </fill>
            </x14:dxf>
          </x14:cfRule>
          <x14:cfRule type="expression" priority="86" id="{0CC0AE7B-459A-DE49-8983-75A273A5D06F}">
            <xm:f>OR(Februar!$C9="ekskursion")</xm:f>
            <x14:dxf>
              <font>
                <color theme="1"/>
              </font>
              <fill>
                <patternFill>
                  <bgColor rgb="FFFFFF00"/>
                </patternFill>
              </fill>
            </x14:dxf>
          </x14:cfRule>
          <x14:cfRule type="expression" priority="85" id="{06C03DDE-3533-E649-9DE8-8AD68AEE153F}">
            <xm:f>OR(Februar!$C9="SH-dag")</xm:f>
            <x14:dxf>
              <font>
                <color theme="1"/>
              </font>
              <fill>
                <patternFill>
                  <bgColor rgb="FFFF2F82"/>
                </patternFill>
              </fill>
            </x14:dxf>
          </x14:cfRule>
          <x14:cfRule type="expression" priority="92" stopIfTrue="1" id="{97279CEF-ECAE-2646-970C-2A7450844C7C}">
            <xm:f>OR(Februar!$C9="Orlov")</xm:f>
            <x14:dxf>
              <font>
                <color theme="0"/>
              </font>
              <fill>
                <patternFill patternType="solid">
                  <bgColor theme="6" tint="-0.24994659260841701"/>
                </patternFill>
              </fill>
            </x14:dxf>
          </x14:cfRule>
          <x14:cfRule type="expression" priority="83" id="{4869A631-E5B2-AC4A-9F64-07F866BAB5B5}">
            <xm:f>OR(Februar!$C9="pæd.dag")</xm:f>
            <x14:dxf>
              <font>
                <color theme="1"/>
              </font>
              <fill>
                <patternFill>
                  <bgColor theme="7" tint="0.39994506668294322"/>
                </patternFill>
              </fill>
            </x14:dxf>
          </x14:cfRule>
          <x14:cfRule type="expression" priority="84" id="{39C4D426-F21A-FE41-AD48-523EDD85B599}">
            <xm:f>OR(Februar!$C9="nul-dag")</xm:f>
            <x14:dxf>
              <font>
                <color theme="1"/>
              </font>
              <fill>
                <patternFill>
                  <bgColor theme="5" tint="0.79998168889431442"/>
                </patternFill>
              </fill>
            </x14:dxf>
          </x14:cfRule>
          <x14:cfRule type="expression" priority="24" id="{E96A00CC-49F7-8B42-B1D7-8CF5307B2C13}">
            <xm:f>OR(Februar!$C9="Skema 4")</xm:f>
            <x14:dxf>
              <font>
                <color theme="0"/>
              </font>
              <fill>
                <patternFill>
                  <bgColor theme="4" tint="-0.24994659260841701"/>
                </patternFill>
              </fill>
            </x14:dxf>
          </x14:cfRule>
          <x14:cfRule type="expression" priority="23" id="{F7929E43-28A2-6B4D-8A95-49373E998490}">
            <xm:f>OR(Februar!$C9="Skema 3")</xm:f>
            <x14:dxf>
              <font>
                <color theme="0"/>
              </font>
              <fill>
                <patternFill>
                  <bgColor theme="4" tint="0.39994506668294322"/>
                </patternFill>
              </fill>
            </x14:dxf>
          </x14:cfRule>
          <x14:cfRule type="expression" priority="22" id="{E6DCFBEB-E6D1-244B-BC94-3093EE48BAFD}">
            <xm:f>OR(Februar!$C9="Skema 2")</xm:f>
            <x14:dxf>
              <font>
                <color theme="1"/>
              </font>
              <fill>
                <patternFill>
                  <bgColor theme="4" tint="0.59996337778862885"/>
                </patternFill>
              </fill>
            </x14:dxf>
          </x14:cfRule>
          <x14:cfRule type="expression" priority="21" id="{0AB281AD-E70D-B542-939D-EF5BD8824FD8}">
            <xm:f>OR(Februar!$C9="Skema 1")</xm:f>
            <x14:dxf>
              <font>
                <color theme="1"/>
              </font>
              <fill>
                <patternFill>
                  <bgColor theme="4" tint="0.79998168889431442"/>
                </patternFill>
              </fill>
            </x14:dxf>
          </x14:cfRule>
          <xm:sqref>A3:E31</xm:sqref>
        </x14:conditionalFormatting>
        <x14:conditionalFormatting xmlns:xm="http://schemas.microsoft.com/office/excel/2006/main">
          <x14:cfRule type="expression" priority="82" stopIfTrue="1" id="{A19BC286-75C7-384E-9180-53B85FFC3066}">
            <xm:f>OR(Marts!$C9="Orlov")</xm:f>
            <x14:dxf>
              <font>
                <color theme="0"/>
              </font>
              <fill>
                <patternFill patternType="solid">
                  <bgColor theme="6" tint="-0.24994659260841701"/>
                </patternFill>
              </fill>
            </x14:dxf>
          </x14:cfRule>
          <x14:cfRule type="expression" priority="17" id="{D2EC0C15-42B0-6D4C-A256-9BBBA2237861}">
            <xm:f>OR(Marts!$C9="Skema 1")</xm:f>
            <x14:dxf>
              <font>
                <color theme="1"/>
              </font>
              <fill>
                <patternFill>
                  <bgColor theme="4" tint="0.79998168889431442"/>
                </patternFill>
              </fill>
            </x14:dxf>
          </x14:cfRule>
          <x14:cfRule type="expression" priority="18" id="{2668D4B4-6813-6441-B780-22F04DA03A65}">
            <xm:f>OR(Marts!$C9="Skema 2")</xm:f>
            <x14:dxf>
              <font>
                <color theme="1"/>
              </font>
              <fill>
                <patternFill>
                  <bgColor theme="4" tint="0.59996337778862885"/>
                </patternFill>
              </fill>
            </x14:dxf>
          </x14:cfRule>
          <x14:cfRule type="expression" priority="19" id="{183EF8EE-7380-EA42-A43E-539681C98578}">
            <xm:f>OR(Marts!$C9="Skema 3")</xm:f>
            <x14:dxf>
              <font>
                <color theme="0"/>
              </font>
              <fill>
                <patternFill>
                  <bgColor theme="4" tint="0.39994506668294322"/>
                </patternFill>
              </fill>
            </x14:dxf>
          </x14:cfRule>
          <x14:cfRule type="expression" priority="20" id="{45049CC7-BA0C-4E4F-8BA7-F857EC8F7012}">
            <xm:f>OR(Marts!$C9="Skema 4")</xm:f>
            <x14:dxf>
              <font>
                <color theme="0"/>
              </font>
              <fill>
                <patternFill>
                  <bgColor theme="4" tint="-0.24994659260841701"/>
                </patternFill>
              </fill>
            </x14:dxf>
          </x14:cfRule>
          <x14:cfRule type="expression" priority="73" id="{6D6BFA12-E389-EF41-92A5-388BBB962CF0}">
            <xm:f>OR(Marts!$C9="pæd.dag")</xm:f>
            <x14:dxf>
              <font>
                <color theme="1"/>
              </font>
              <fill>
                <patternFill>
                  <bgColor theme="7" tint="0.39994506668294322"/>
                </patternFill>
              </fill>
            </x14:dxf>
          </x14:cfRule>
          <x14:cfRule type="expression" priority="74" id="{537C09DA-DA59-4148-AEB0-9861A919B227}">
            <xm:f>OR(Marts!$C9="nul-dag")</xm:f>
            <x14:dxf>
              <font>
                <color theme="1"/>
              </font>
              <fill>
                <patternFill>
                  <bgColor theme="5" tint="0.79998168889431442"/>
                </patternFill>
              </fill>
            </x14:dxf>
          </x14:cfRule>
          <x14:cfRule type="expression" priority="75" id="{58971DDF-F166-E042-B167-6C2F1BBE6AD0}">
            <xm:f>OR(Marts!$C9="SH-dag")</xm:f>
            <x14:dxf>
              <font>
                <color theme="1"/>
              </font>
              <fill>
                <patternFill>
                  <bgColor rgb="FFFF2F82"/>
                </patternFill>
              </fill>
            </x14:dxf>
          </x14:cfRule>
          <x14:cfRule type="expression" priority="76" id="{0F5CAAAC-B94A-0946-BE6A-D17B3DED7811}">
            <xm:f>OR(Marts!$C9="ekskursion")</xm:f>
            <x14:dxf>
              <font>
                <color theme="1"/>
              </font>
              <fill>
                <patternFill>
                  <bgColor rgb="FFFFFF00"/>
                </patternFill>
              </fill>
            </x14:dxf>
          </x14:cfRule>
          <x14:cfRule type="expression" priority="77" id="{2B18A6A9-445C-114D-B7BF-725EB47AD762}">
            <xm:f>OR(Marts!$C9="lejrskole")</xm:f>
            <x14:dxf>
              <font>
                <color theme="1"/>
              </font>
              <fill>
                <patternFill>
                  <bgColor theme="8" tint="0.59996337778862885"/>
                </patternFill>
              </fill>
            </x14:dxf>
          </x14:cfRule>
          <x14:cfRule type="expression" priority="78" id="{8E5C35AA-8A39-4A4A-9284-8B2E3E35C756}">
            <xm:f>OR(Marts!$C9="emnedag")</xm:f>
            <x14:dxf>
              <font>
                <color theme="1"/>
              </font>
              <fill>
                <patternFill>
                  <bgColor theme="5" tint="0.59996337778862885"/>
                </patternFill>
              </fill>
            </x14:dxf>
          </x14:cfRule>
          <x14:cfRule type="expression" priority="79" id="{373C7241-B62D-9B49-AF38-D031587F45C8}">
            <xm:f>OR(Marts!$C9="fagdag")</xm:f>
            <x14:dxf>
              <font>
                <color theme="1"/>
              </font>
              <fill>
                <patternFill>
                  <bgColor theme="9" tint="0.59996337778862885"/>
                </patternFill>
              </fill>
            </x14:dxf>
          </x14:cfRule>
          <x14:cfRule type="expression" priority="80" id="{0D652B04-5C4F-1145-9D7E-C15326BC13C5}">
            <xm:f>OR(Marts!$C9="feriedag")</xm:f>
            <x14:dxf>
              <font>
                <color theme="1"/>
              </font>
              <fill>
                <patternFill>
                  <bgColor theme="6" tint="0.39994506668294322"/>
                </patternFill>
              </fill>
            </x14:dxf>
          </x14:cfRule>
          <x14:cfRule type="expression" priority="31" id="{3AB6D212-85A0-F04D-920B-A92267DB488B}">
            <xm:f>OR(Marts!$C9="Ikke relevant")</xm:f>
            <x14:dxf>
              <font>
                <color theme="0"/>
              </font>
              <fill>
                <patternFill>
                  <bgColor theme="1"/>
                </patternFill>
              </fill>
            </x14:dxf>
          </x14:cfRule>
          <x14:cfRule type="expression" priority="81" id="{2F51A462-F28C-7B4A-8F6B-B8F18F2E47B6}">
            <xm:f>OR(Marts!$C9="weekend")</xm:f>
            <x14:dxf>
              <font>
                <color theme="1"/>
              </font>
              <fill>
                <patternFill>
                  <bgColor theme="0" tint="-0.14996795556505021"/>
                </patternFill>
              </fill>
            </x14:dxf>
          </x14:cfRule>
          <xm:sqref>F3:J33</xm:sqref>
        </x14:conditionalFormatting>
        <x14:conditionalFormatting xmlns:xm="http://schemas.microsoft.com/office/excel/2006/main">
          <x14:cfRule type="expression" priority="16" id="{B911483F-34B1-0841-AE6D-1366C2EBA141}">
            <xm:f>OR(April!$C9="Skema 4")</xm:f>
            <x14:dxf>
              <font>
                <color theme="0"/>
              </font>
              <fill>
                <patternFill>
                  <bgColor theme="4" tint="-0.24994659260841701"/>
                </patternFill>
              </fill>
            </x14:dxf>
          </x14:cfRule>
          <x14:cfRule type="expression" priority="63" id="{DC92B041-9CB0-7C47-B533-E9085F59E8A9}">
            <xm:f>OR(April!$C9="pæd.dag")</xm:f>
            <x14:dxf>
              <font>
                <color theme="1"/>
              </font>
              <fill>
                <patternFill>
                  <bgColor theme="7" tint="0.39994506668294322"/>
                </patternFill>
              </fill>
            </x14:dxf>
          </x14:cfRule>
          <x14:cfRule type="expression" priority="30" id="{6306EA6E-7EFD-BB4E-8E6A-C4B3394E39EE}">
            <xm:f>OR(April!$C9="ikke relevant")</xm:f>
            <x14:dxf>
              <font>
                <color theme="0"/>
              </font>
              <fill>
                <patternFill>
                  <bgColor theme="1"/>
                </patternFill>
              </fill>
            </x14:dxf>
          </x14:cfRule>
          <x14:cfRule type="expression" priority="64" id="{7CE152F0-A425-1248-8322-25979A2FFD16}">
            <xm:f>OR(April!$C9="nul-dag")</xm:f>
            <x14:dxf>
              <font>
                <color theme="1"/>
              </font>
              <fill>
                <patternFill>
                  <bgColor theme="5" tint="0.79998168889431442"/>
                </patternFill>
              </fill>
            </x14:dxf>
          </x14:cfRule>
          <x14:cfRule type="expression" priority="65" id="{D075334A-CE3A-494E-9982-667528C25034}">
            <xm:f>OR(April!$C9="SH-dag")</xm:f>
            <x14:dxf>
              <font>
                <color theme="1"/>
              </font>
              <fill>
                <patternFill>
                  <bgColor rgb="FFFF2F82"/>
                </patternFill>
              </fill>
            </x14:dxf>
          </x14:cfRule>
          <x14:cfRule type="expression" priority="66" id="{86C9FF40-FEB8-0C4D-973A-8E7738579157}">
            <xm:f>OR(April!$C9="ekskursion")</xm:f>
            <x14:dxf>
              <font>
                <color theme="1"/>
              </font>
              <fill>
                <patternFill>
                  <bgColor rgb="FFFFFF00"/>
                </patternFill>
              </fill>
            </x14:dxf>
          </x14:cfRule>
          <x14:cfRule type="expression" priority="67" id="{AEDC18A4-7A62-8344-BB27-BC03F4283E41}">
            <xm:f>OR(April!$C9="lejrskole")</xm:f>
            <x14:dxf>
              <font>
                <color theme="1"/>
              </font>
              <fill>
                <patternFill>
                  <bgColor theme="8" tint="0.59996337778862885"/>
                </patternFill>
              </fill>
            </x14:dxf>
          </x14:cfRule>
          <x14:cfRule type="expression" priority="13" id="{7477664D-0AAF-0243-81B7-83C3931736AA}">
            <xm:f>OR(April!$C9="Skema 1")</xm:f>
            <x14:dxf>
              <font>
                <color theme="1"/>
              </font>
              <fill>
                <patternFill>
                  <bgColor theme="4" tint="0.79998168889431442"/>
                </patternFill>
              </fill>
            </x14:dxf>
          </x14:cfRule>
          <x14:cfRule type="expression" priority="14" id="{47044C37-6CDB-764B-8156-51B877293132}">
            <xm:f>OR(April!$C9="Skema 2")</xm:f>
            <x14:dxf>
              <font>
                <color theme="1"/>
              </font>
              <fill>
                <patternFill>
                  <bgColor theme="4" tint="0.59996337778862885"/>
                </patternFill>
              </fill>
            </x14:dxf>
          </x14:cfRule>
          <x14:cfRule type="expression" priority="15" id="{9F6CA0E6-3F7E-A742-8DFE-4D197D13EA50}">
            <xm:f>OR(April!$C9="Skema 3")</xm:f>
            <x14:dxf>
              <font>
                <color theme="0"/>
              </font>
              <fill>
                <patternFill>
                  <bgColor theme="4" tint="0.39994506668294322"/>
                </patternFill>
              </fill>
            </x14:dxf>
          </x14:cfRule>
          <x14:cfRule type="expression" priority="72" stopIfTrue="1" id="{75133B94-247C-034A-8A6D-3FA79206DDF4}">
            <xm:f>OR(April!$C9="Orlov")</xm:f>
            <x14:dxf>
              <font>
                <color theme="0"/>
              </font>
              <fill>
                <patternFill patternType="solid">
                  <bgColor theme="6" tint="-0.24994659260841701"/>
                </patternFill>
              </fill>
            </x14:dxf>
          </x14:cfRule>
          <x14:cfRule type="expression" priority="71" id="{A75B3236-996A-9B43-B894-25887F31CA82}">
            <xm:f>OR(April!$C9="weekend")</xm:f>
            <x14:dxf>
              <font>
                <color theme="1"/>
              </font>
              <fill>
                <patternFill>
                  <bgColor theme="0" tint="-0.14996795556505021"/>
                </patternFill>
              </fill>
            </x14:dxf>
          </x14:cfRule>
          <x14:cfRule type="expression" priority="70" id="{65DBF272-472D-7A49-B91E-CDD7C79D2FE8}">
            <xm:f>OR(April!$C9="feriedag")</xm:f>
            <x14:dxf>
              <font>
                <color theme="1"/>
              </font>
              <fill>
                <patternFill>
                  <bgColor theme="6" tint="0.39994506668294322"/>
                </patternFill>
              </fill>
            </x14:dxf>
          </x14:cfRule>
          <x14:cfRule type="expression" priority="69" id="{D6B95BC6-48E7-BE4E-953A-B0B01E962921}">
            <xm:f>OR(April!$C9="fagdag")</xm:f>
            <x14:dxf>
              <font>
                <color theme="1"/>
              </font>
              <fill>
                <patternFill>
                  <bgColor theme="9" tint="0.59996337778862885"/>
                </patternFill>
              </fill>
            </x14:dxf>
          </x14:cfRule>
          <x14:cfRule type="expression" priority="68" id="{8D108F10-178F-994B-B53E-B126B41262A3}">
            <xm:f>OR(April!$C9="emnedag")</xm:f>
            <x14:dxf>
              <font>
                <color theme="1"/>
              </font>
              <fill>
                <patternFill>
                  <bgColor theme="5" tint="0.59996337778862885"/>
                </patternFill>
              </fill>
            </x14:dxf>
          </x14:cfRule>
          <xm:sqref>K3:O32</xm:sqref>
        </x14:conditionalFormatting>
        <x14:conditionalFormatting xmlns:xm="http://schemas.microsoft.com/office/excel/2006/main">
          <x14:cfRule type="expression" priority="12" id="{EDA7D371-A004-6C45-86BF-4760DC1B3BE6}">
            <xm:f>OR(Maj!$C9="Skema 4")</xm:f>
            <x14:dxf>
              <font>
                <color theme="0"/>
              </font>
              <fill>
                <patternFill>
                  <bgColor theme="4" tint="-0.24994659260841701"/>
                </patternFill>
              </fill>
            </x14:dxf>
          </x14:cfRule>
          <x14:cfRule type="expression" priority="11" id="{1AED923F-68EC-994E-8111-6DE1953F8846}">
            <xm:f>OR(Maj!$C9="Skema 3")</xm:f>
            <x14:dxf>
              <font>
                <color theme="0"/>
              </font>
              <fill>
                <patternFill>
                  <bgColor theme="4" tint="0.39994506668294322"/>
                </patternFill>
              </fill>
            </x14:dxf>
          </x14:cfRule>
          <x14:cfRule type="expression" priority="10" id="{01BF3053-383D-954B-B219-0EC7917AC7FB}">
            <xm:f>OR(Maj!$C9="Skema 2")</xm:f>
            <x14:dxf>
              <font>
                <color theme="1"/>
              </font>
              <fill>
                <patternFill>
                  <bgColor theme="4" tint="0.59996337778862885"/>
                </patternFill>
              </fill>
            </x14:dxf>
          </x14:cfRule>
          <x14:cfRule type="expression" priority="29" id="{8931C539-23F9-3D4C-BF47-13E25A58A4D9}">
            <xm:f>OR(Maj!$C9="Ikke relevant")</xm:f>
            <x14:dxf>
              <font>
                <color theme="0"/>
              </font>
              <fill>
                <patternFill>
                  <bgColor theme="1"/>
                </patternFill>
              </fill>
            </x14:dxf>
          </x14:cfRule>
          <x14:cfRule type="expression" priority="9" id="{03041ED0-70A6-B841-82DD-8E909FE4848C}">
            <xm:f>OR(Maj!$C9="Skema 1")</xm:f>
            <x14:dxf>
              <font>
                <color theme="1"/>
              </font>
              <fill>
                <patternFill>
                  <bgColor theme="4" tint="0.79998168889431442"/>
                </patternFill>
              </fill>
            </x14:dxf>
          </x14:cfRule>
          <x14:cfRule type="expression" priority="53" id="{50CD2F4D-996F-2E48-9022-BAB76BF43BAB}">
            <xm:f>OR(Maj!$C9="pæd.dag")</xm:f>
            <x14:dxf>
              <font>
                <color theme="1"/>
              </font>
              <fill>
                <patternFill>
                  <bgColor theme="7" tint="0.39994506668294322"/>
                </patternFill>
              </fill>
            </x14:dxf>
          </x14:cfRule>
          <x14:cfRule type="expression" priority="54" id="{474248A2-6E04-9542-963A-C43CDF25A209}">
            <xm:f>OR(Maj!$C9="nul-dag")</xm:f>
            <x14:dxf>
              <font>
                <color theme="1"/>
              </font>
              <fill>
                <patternFill>
                  <bgColor theme="5" tint="0.79998168889431442"/>
                </patternFill>
              </fill>
            </x14:dxf>
          </x14:cfRule>
          <x14:cfRule type="expression" priority="55" id="{7AE2C63B-BDB1-684F-958D-34FE6BDDFCE3}">
            <xm:f>OR(Maj!$C9="SH-dag")</xm:f>
            <x14:dxf>
              <font>
                <color theme="1"/>
              </font>
              <fill>
                <patternFill>
                  <bgColor rgb="FFFF2F82"/>
                </patternFill>
              </fill>
            </x14:dxf>
          </x14:cfRule>
          <x14:cfRule type="expression" priority="56" id="{B6E9AB86-49BF-A44A-92F6-92D75FC06D26}">
            <xm:f>OR(Maj!$C9="ekskursion")</xm:f>
            <x14:dxf>
              <font>
                <color theme="1"/>
              </font>
              <fill>
                <patternFill>
                  <bgColor rgb="FFFFFF00"/>
                </patternFill>
              </fill>
            </x14:dxf>
          </x14:cfRule>
          <x14:cfRule type="expression" priority="57" id="{D4188B95-6B50-0B41-B1B1-3525B3093F6D}">
            <xm:f>OR(Maj!$C9="lejrskole")</xm:f>
            <x14:dxf>
              <font>
                <color theme="1"/>
              </font>
              <fill>
                <patternFill>
                  <bgColor theme="8" tint="0.59996337778862885"/>
                </patternFill>
              </fill>
            </x14:dxf>
          </x14:cfRule>
          <x14:cfRule type="expression" priority="58" id="{D07F190B-00C6-BE49-A3BF-2A5442CAF3E6}">
            <xm:f>OR(Maj!$C9="emnedag")</xm:f>
            <x14:dxf>
              <font>
                <color theme="1"/>
              </font>
              <fill>
                <patternFill>
                  <bgColor theme="5" tint="0.59996337778862885"/>
                </patternFill>
              </fill>
            </x14:dxf>
          </x14:cfRule>
          <x14:cfRule type="expression" priority="59" id="{0A28D22A-A4B3-3745-87F1-178CFAAB8A9E}">
            <xm:f>OR(Maj!$C9="fagdag")</xm:f>
            <x14:dxf>
              <font>
                <color theme="1"/>
              </font>
              <fill>
                <patternFill>
                  <bgColor theme="9" tint="0.59996337778862885"/>
                </patternFill>
              </fill>
            </x14:dxf>
          </x14:cfRule>
          <x14:cfRule type="expression" priority="60" id="{51495512-FECE-E14B-B72B-4B8AD254C6F0}">
            <xm:f>OR(Maj!$C9="feriedag")</xm:f>
            <x14:dxf>
              <font>
                <color theme="1"/>
              </font>
              <fill>
                <patternFill>
                  <bgColor theme="6" tint="0.39994506668294322"/>
                </patternFill>
              </fill>
            </x14:dxf>
          </x14:cfRule>
          <x14:cfRule type="expression" priority="61" id="{B2568CEC-E71A-5046-BDBB-3FF7DE9CC555}">
            <xm:f>OR(Maj!$C9="weekend")</xm:f>
            <x14:dxf>
              <font>
                <color theme="1"/>
              </font>
              <fill>
                <patternFill>
                  <bgColor theme="0" tint="-0.14996795556505021"/>
                </patternFill>
              </fill>
            </x14:dxf>
          </x14:cfRule>
          <x14:cfRule type="expression" priority="62" stopIfTrue="1" id="{EC84CFD7-C053-2144-ACE4-DC211962BDBB}">
            <xm:f>OR(Maj!$C9="Orlov")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52" stopIfTrue="1" id="{A8C3538A-4F35-6C46-8AC0-A42EC24299DE}">
            <xm:f>OR(Juni!$C9="Orlov")</xm:f>
            <x14:dxf>
              <font>
                <color theme="0"/>
              </font>
              <fill>
                <patternFill patternType="solid">
                  <bgColor theme="6" tint="-0.24994659260841701"/>
                </patternFill>
              </fill>
            </x14:dxf>
          </x14:cfRule>
          <x14:cfRule type="expression" priority="51" id="{4C3AAFF6-429E-B148-ABA3-4235BAD6AF07}">
            <xm:f>OR(Juni!$C9="weekend")</xm:f>
            <x14:dxf>
              <font>
                <color theme="1"/>
              </font>
              <fill>
                <patternFill>
                  <bgColor theme="0" tint="-0.14996795556505021"/>
                </patternFill>
              </fill>
            </x14:dxf>
          </x14:cfRule>
          <x14:cfRule type="expression" priority="50" id="{16B5986B-0CB3-EF48-9F62-D21F4540C027}">
            <xm:f>OR(Juni!$C9="feriedag")</xm:f>
            <x14:dxf>
              <font>
                <color theme="1"/>
              </font>
              <fill>
                <patternFill>
                  <bgColor theme="6" tint="0.39994506668294322"/>
                </patternFill>
              </fill>
            </x14:dxf>
          </x14:cfRule>
          <x14:cfRule type="expression" priority="49" id="{C3A6622B-2656-1148-8021-15583886E755}">
            <xm:f>OR(Juni!$C9="fagdag")</xm:f>
            <x14:dxf>
              <font>
                <color theme="1"/>
              </font>
              <fill>
                <patternFill>
                  <bgColor theme="9" tint="0.59996337778862885"/>
                </patternFill>
              </fill>
            </x14:dxf>
          </x14:cfRule>
          <x14:cfRule type="expression" priority="48" id="{9AACDA6B-04BD-9740-94B5-3C14DC59DD13}">
            <xm:f>OR(Juni!$C9="emnedag")</xm:f>
            <x14:dxf>
              <font>
                <color theme="1"/>
              </font>
              <fill>
                <patternFill>
                  <bgColor theme="5" tint="0.59996337778862885"/>
                </patternFill>
              </fill>
            </x14:dxf>
          </x14:cfRule>
          <x14:cfRule type="expression" priority="47" id="{1424242C-FBB8-D24D-BDB5-1A4762F47231}">
            <xm:f>OR(Juni!$C9="lejrskole")</xm:f>
            <x14:dxf>
              <font>
                <color theme="1"/>
              </font>
              <fill>
                <patternFill>
                  <bgColor theme="8" tint="0.59996337778862885"/>
                </patternFill>
              </fill>
            </x14:dxf>
          </x14:cfRule>
          <x14:cfRule type="expression" priority="46" id="{929A9DD8-CC91-C644-BF67-D6FE634ED795}">
            <xm:f>OR(Juni!$C9="ekskursion")</xm:f>
            <x14:dxf>
              <font>
                <color theme="1"/>
              </font>
              <fill>
                <patternFill>
                  <bgColor rgb="FFFFFF00"/>
                </patternFill>
              </fill>
            </x14:dxf>
          </x14:cfRule>
          <x14:cfRule type="expression" priority="45" id="{E0EAF2A4-095E-234E-B0BB-557171345B2A}">
            <xm:f>OR(Juni!$C9="SH-dag")</xm:f>
            <x14:dxf>
              <font>
                <color theme="1"/>
              </font>
              <fill>
                <patternFill>
                  <bgColor rgb="FFFF2F82"/>
                </patternFill>
              </fill>
            </x14:dxf>
          </x14:cfRule>
          <x14:cfRule type="expression" priority="44" id="{6984B7EC-16D3-4C4A-BA3B-40F03CB56610}">
            <xm:f>OR(Juni!$C9="nul-dag")</xm:f>
            <x14:dxf>
              <font>
                <color theme="1"/>
              </font>
              <fill>
                <patternFill>
                  <bgColor theme="5" tint="0.79998168889431442"/>
                </patternFill>
              </fill>
            </x14:dxf>
          </x14:cfRule>
          <x14:cfRule type="expression" priority="43" id="{D966B48E-945A-A64F-9C79-43029C85E30F}">
            <xm:f>OR(Juni!$C9="pæd.dag")</xm:f>
            <x14:dxf>
              <font>
                <color theme="1"/>
              </font>
              <fill>
                <patternFill>
                  <bgColor theme="7" tint="0.39994506668294322"/>
                </patternFill>
              </fill>
            </x14:dxf>
          </x14:cfRule>
          <x14:cfRule type="expression" priority="5" id="{9F57C169-AA27-104B-AD9F-B4377E1640CB}">
            <xm:f>OR(Juni!$C9="Skema 1")</xm:f>
            <x14:dxf>
              <font>
                <color theme="1"/>
              </font>
              <fill>
                <patternFill>
                  <bgColor theme="4" tint="0.79998168889431442"/>
                </patternFill>
              </fill>
            </x14:dxf>
          </x14:cfRule>
          <x14:cfRule type="expression" priority="6" id="{E0BFBAEA-0D07-8347-BF7D-0D8EBD03E44E}">
            <xm:f>OR(Juni!$C9="Skema 2")</xm:f>
            <x14:dxf>
              <font>
                <color theme="1"/>
              </font>
              <fill>
                <patternFill>
                  <bgColor theme="4" tint="0.59996337778862885"/>
                </patternFill>
              </fill>
            </x14:dxf>
          </x14:cfRule>
          <x14:cfRule type="expression" priority="7" id="{43FD1777-4FED-EC45-A034-2F64B6909D76}">
            <xm:f>OR(Juni!$C9="Skema 3")</xm:f>
            <x14:dxf>
              <font>
                <color theme="0"/>
              </font>
              <fill>
                <patternFill>
                  <bgColor theme="4" tint="0.39994506668294322"/>
                </patternFill>
              </fill>
            </x14:dxf>
          </x14:cfRule>
          <x14:cfRule type="expression" priority="8" id="{CC0D2052-B582-BC4E-8EC0-5218D205E5D8}">
            <xm:f>OR(Juni!$C9="Skema 4")</xm:f>
            <x14:dxf>
              <font>
                <color theme="0"/>
              </font>
              <fill>
                <patternFill>
                  <bgColor theme="4" tint="-0.24994659260841701"/>
                </patternFill>
              </fill>
            </x14:dxf>
          </x14:cfRule>
          <x14:cfRule type="expression" priority="26" id="{F0ABB181-A066-8D49-86E7-9AEF13BDC583}">
            <xm:f>OR(Juni!$C9="Ikke relevant")</xm:f>
            <x14:dxf>
              <font>
                <color theme="0"/>
              </font>
              <fill>
                <patternFill>
                  <bgColor theme="1"/>
                </patternFill>
              </fill>
            </x14:dxf>
          </x14:cfRule>
          <xm:sqref>U3:Y32</xm:sqref>
        </x14:conditionalFormatting>
        <x14:conditionalFormatting xmlns:xm="http://schemas.microsoft.com/office/excel/2006/main">
          <x14:cfRule type="expression" priority="37" id="{68A3A017-2778-6742-A269-1079E334C9D2}">
            <xm:f>OR(Juli!$C9="lejrskole")</xm:f>
            <x14:dxf>
              <font>
                <color theme="1"/>
              </font>
              <fill>
                <patternFill>
                  <bgColor theme="8" tint="0.59996337778862885"/>
                </patternFill>
              </fill>
            </x14:dxf>
          </x14:cfRule>
          <x14:cfRule type="expression" priority="36" id="{1CE3DB7B-733A-E640-B601-A4D92D9964F8}">
            <xm:f>OR(Juli!$C9="ekskursion")</xm:f>
            <x14:dxf>
              <font>
                <color theme="1"/>
              </font>
              <fill>
                <patternFill>
                  <bgColor rgb="FFFFFF00"/>
                </patternFill>
              </fill>
            </x14:dxf>
          </x14:cfRule>
          <x14:cfRule type="expression" priority="35" id="{099C738A-55FA-FF4B-83F9-9DBABCB4DF0F}">
            <xm:f>OR(Juli!$C9="SH-dag")</xm:f>
            <x14:dxf>
              <font>
                <color theme="1"/>
              </font>
              <fill>
                <patternFill>
                  <bgColor rgb="FFFF2F82"/>
                </patternFill>
              </fill>
            </x14:dxf>
          </x14:cfRule>
          <x14:cfRule type="expression" priority="34" id="{93A40936-AA49-0443-9ADE-D6753D0D065C}">
            <xm:f>OR(Juli!$C9="nul-dag")</xm:f>
            <x14:dxf>
              <font>
                <color theme="1"/>
              </font>
              <fill>
                <patternFill>
                  <bgColor theme="5" tint="0.79998168889431442"/>
                </patternFill>
              </fill>
            </x14:dxf>
          </x14:cfRule>
          <x14:cfRule type="expression" priority="33" id="{D517ADF8-817F-054B-9146-3E87DEC8739B}">
            <xm:f>OR(Juli!$C9="pæd.dag")</xm:f>
            <x14:dxf>
              <font>
                <color theme="1"/>
              </font>
              <fill>
                <patternFill>
                  <bgColor theme="7" tint="0.39994506668294322"/>
                </patternFill>
              </fill>
            </x14:dxf>
          </x14:cfRule>
          <x14:cfRule type="expression" priority="38" id="{859ACBD8-07BA-B942-AF66-F8C8D62755F0}">
            <xm:f>OR(Juli!$C9="emnedag")</xm:f>
            <x14:dxf>
              <font>
                <color theme="1"/>
              </font>
              <fill>
                <patternFill>
                  <bgColor theme="5" tint="0.59996337778862885"/>
                </patternFill>
              </fill>
            </x14:dxf>
          </x14:cfRule>
          <x14:cfRule type="expression" priority="25" id="{F0BEE529-422E-E340-A6EC-06762E977344}">
            <xm:f>OR(Juli!$C9="Ikke relevant")</xm:f>
            <x14:dxf>
              <font>
                <color theme="0"/>
              </font>
              <fill>
                <patternFill>
                  <bgColor theme="1"/>
                </patternFill>
              </fill>
            </x14:dxf>
          </x14:cfRule>
          <x14:cfRule type="expression" priority="39" id="{085CD43C-CE64-454C-BA3B-E1E7DF101E99}">
            <xm:f>OR(Juli!$C9="fagdag")</xm:f>
            <x14:dxf>
              <font>
                <color theme="1"/>
              </font>
              <fill>
                <patternFill>
                  <bgColor theme="9" tint="0.59996337778862885"/>
                </patternFill>
              </fill>
            </x14:dxf>
          </x14:cfRule>
          <x14:cfRule type="expression" priority="40" id="{11A4B951-B98F-A043-A2A9-84ECB369DD41}">
            <xm:f>OR(Juli!$C9="feriedag")</xm:f>
            <x14:dxf>
              <font>
                <color theme="1"/>
              </font>
              <fill>
                <patternFill>
                  <bgColor theme="6" tint="0.39994506668294322"/>
                </patternFill>
              </fill>
            </x14:dxf>
          </x14:cfRule>
          <x14:cfRule type="expression" priority="41" id="{00544BEC-1ED1-374C-B735-C09CF59E796D}">
            <xm:f>OR(Juli!$C9="weekend")</xm:f>
            <x14:dxf>
              <font>
                <color theme="1"/>
              </font>
              <fill>
                <patternFill>
                  <bgColor theme="0" tint="-0.14996795556505021"/>
                </patternFill>
              </fill>
            </x14:dxf>
          </x14:cfRule>
          <x14:cfRule type="expression" priority="42" stopIfTrue="1" id="{7CF96F1D-A969-D441-8FE0-B4A2FADD1DAB}">
            <xm:f>OR(Juli!$C9="Orlov")</xm:f>
            <x14:dxf>
              <font>
                <color theme="0"/>
              </font>
              <fill>
                <patternFill patternType="solid">
                  <bgColor theme="6" tint="-0.24994659260841701"/>
                </patternFill>
              </fill>
            </x14:dxf>
          </x14:cfRule>
          <x14:cfRule type="expression" priority="4" id="{FF8A0C49-7711-2148-84C9-C6A2DAD7D220}">
            <xm:f>OR(Juli!$C9="Skema 4")</xm:f>
            <x14:dxf>
              <font>
                <color theme="0"/>
              </font>
              <fill>
                <patternFill>
                  <bgColor theme="4" tint="-0.24994659260841701"/>
                </patternFill>
              </fill>
            </x14:dxf>
          </x14:cfRule>
          <x14:cfRule type="expression" priority="3" id="{FEFA4618-0E81-6343-8086-7C039E3E2BF2}">
            <xm:f>OR(Juli!$C9="Skema 3")</xm:f>
            <x14:dxf>
              <font>
                <color theme="0"/>
              </font>
              <fill>
                <patternFill>
                  <bgColor theme="4" tint="0.39994506668294322"/>
                </patternFill>
              </fill>
            </x14:dxf>
          </x14:cfRule>
          <x14:cfRule type="expression" priority="2" id="{19F797BC-D9FE-684D-9BA2-0572330AF9D9}">
            <xm:f>OR(Juli!$C9="Skema 2")</xm:f>
            <x14:dxf>
              <font>
                <color theme="1"/>
              </font>
              <fill>
                <patternFill>
                  <bgColor theme="4" tint="0.59996337778862885"/>
                </patternFill>
              </fill>
            </x14:dxf>
          </x14:cfRule>
          <x14:cfRule type="expression" priority="1" id="{AD285191-2CE1-8B4F-96B3-7DBA611FD62F}">
            <xm:f>OR(Juli!$C9="Skema 1")</xm:f>
            <x14:dxf>
              <font>
                <color theme="1"/>
              </font>
              <fill>
                <patternFill>
                  <bgColor theme="4" tint="0.79998168889431442"/>
                </patternFill>
              </fill>
            </x14:dxf>
          </x14:cfRule>
          <xm:sqref>Z3:AD33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pageSetUpPr fitToPage="1"/>
  </sheetPr>
  <dimension ref="A1:J21"/>
  <sheetViews>
    <sheetView zoomScaleNormal="100" workbookViewId="0">
      <selection activeCell="A16" sqref="A16:J16"/>
    </sheetView>
  </sheetViews>
  <sheetFormatPr baseColWidth="10" defaultRowHeight="16"/>
  <sheetData>
    <row r="1" spans="1:10" ht="55" customHeight="1">
      <c r="A1" s="751" t="s">
        <v>523</v>
      </c>
      <c r="B1" s="751"/>
      <c r="C1" s="751"/>
      <c r="D1" s="751"/>
      <c r="E1" s="751"/>
      <c r="F1" s="751"/>
      <c r="G1" s="751"/>
      <c r="H1" s="751"/>
      <c r="I1" s="751"/>
      <c r="J1" s="751"/>
    </row>
    <row r="2" spans="1:10">
      <c r="A2" s="745"/>
      <c r="B2" s="745"/>
      <c r="C2" s="745"/>
      <c r="D2" s="745"/>
      <c r="E2" s="745"/>
      <c r="F2" s="745"/>
      <c r="G2" s="745"/>
      <c r="H2" s="745"/>
      <c r="I2" s="745"/>
      <c r="J2" s="745"/>
    </row>
    <row r="3" spans="1:10" ht="21">
      <c r="A3" s="742" t="s">
        <v>519</v>
      </c>
      <c r="B3" s="742"/>
      <c r="C3" s="742"/>
      <c r="D3" s="742"/>
      <c r="E3" s="742"/>
      <c r="F3" s="742"/>
      <c r="G3" s="742"/>
      <c r="H3" s="742"/>
      <c r="I3" s="742"/>
      <c r="J3" s="742"/>
    </row>
    <row r="4" spans="1:10">
      <c r="A4" s="747" t="s">
        <v>520</v>
      </c>
      <c r="B4" s="747"/>
      <c r="C4" s="747"/>
      <c r="D4" s="747"/>
      <c r="E4" s="747"/>
      <c r="F4" s="747"/>
      <c r="G4" s="747"/>
      <c r="H4" s="747"/>
      <c r="I4" s="747"/>
      <c r="J4" s="747"/>
    </row>
    <row r="5" spans="1:10">
      <c r="A5" s="747"/>
      <c r="B5" s="747"/>
      <c r="C5" s="747"/>
      <c r="D5" s="747"/>
      <c r="E5" s="747"/>
      <c r="F5" s="747"/>
      <c r="G5" s="747"/>
      <c r="H5" s="747"/>
      <c r="I5" s="747"/>
      <c r="J5" s="747"/>
    </row>
    <row r="6" spans="1:10" ht="21">
      <c r="A6" s="742" t="s">
        <v>521</v>
      </c>
      <c r="B6" s="742"/>
      <c r="C6" s="742"/>
      <c r="D6" s="742"/>
      <c r="E6" s="742"/>
      <c r="F6" s="742"/>
      <c r="G6" s="742"/>
      <c r="H6" s="742"/>
      <c r="I6" s="742"/>
      <c r="J6" s="742"/>
    </row>
    <row r="7" spans="1:10">
      <c r="A7" s="747" t="s">
        <v>704</v>
      </c>
      <c r="B7" s="747"/>
      <c r="C7" s="747"/>
      <c r="D7" s="747"/>
      <c r="E7" s="747"/>
      <c r="F7" s="747"/>
      <c r="G7" s="747"/>
      <c r="H7" s="747"/>
      <c r="I7" s="747"/>
      <c r="J7" s="747"/>
    </row>
    <row r="8" spans="1:10" ht="19">
      <c r="A8" s="752" t="s">
        <v>679</v>
      </c>
      <c r="B8" s="752"/>
      <c r="C8" s="752"/>
      <c r="D8" s="752"/>
      <c r="E8" s="752"/>
      <c r="F8" s="752"/>
      <c r="G8" s="752"/>
      <c r="H8" s="752"/>
      <c r="I8" s="752"/>
      <c r="J8" s="752"/>
    </row>
    <row r="9" spans="1:10" ht="80" customHeight="1">
      <c r="A9" s="743" t="s">
        <v>677</v>
      </c>
      <c r="B9" s="743"/>
      <c r="C9" s="743"/>
      <c r="D9" s="743"/>
      <c r="E9" s="743"/>
      <c r="F9" s="743"/>
      <c r="G9" s="743"/>
      <c r="H9" s="743"/>
      <c r="I9" s="743"/>
      <c r="J9" s="743"/>
    </row>
    <row r="10" spans="1:10" ht="36" customHeight="1">
      <c r="A10" s="743" t="s">
        <v>678</v>
      </c>
      <c r="B10" s="743"/>
      <c r="C10" s="743"/>
      <c r="D10" s="743"/>
      <c r="E10" s="743"/>
      <c r="F10" s="743"/>
      <c r="G10" s="743"/>
      <c r="H10" s="743"/>
      <c r="I10" s="743"/>
      <c r="J10" s="743"/>
    </row>
    <row r="11" spans="1:10" ht="26" customHeight="1">
      <c r="A11" s="741"/>
      <c r="B11" s="741"/>
      <c r="C11" s="741"/>
      <c r="D11" s="741"/>
      <c r="E11" s="741"/>
      <c r="F11" s="741"/>
      <c r="G11" s="741"/>
      <c r="H11" s="741"/>
      <c r="I11" s="741"/>
      <c r="J11" s="741"/>
    </row>
    <row r="12" spans="1:10" ht="21">
      <c r="A12" s="742" t="s">
        <v>522</v>
      </c>
      <c r="B12" s="742"/>
      <c r="C12" s="742"/>
      <c r="D12" s="742"/>
      <c r="E12" s="742"/>
      <c r="F12" s="742"/>
      <c r="G12" s="742"/>
      <c r="H12" s="742"/>
      <c r="I12" s="742"/>
      <c r="J12" s="742"/>
    </row>
    <row r="13" spans="1:10" ht="45" customHeight="1">
      <c r="A13" s="753" t="s">
        <v>680</v>
      </c>
      <c r="B13" s="753"/>
      <c r="C13" s="753"/>
      <c r="D13" s="753"/>
      <c r="E13" s="753"/>
      <c r="F13" s="753"/>
      <c r="G13" s="753"/>
      <c r="H13" s="753"/>
      <c r="I13" s="753"/>
      <c r="J13" s="753"/>
    </row>
    <row r="14" spans="1:10" ht="50" customHeight="1">
      <c r="A14" s="750" t="s">
        <v>681</v>
      </c>
      <c r="B14" s="750"/>
      <c r="C14" s="750"/>
      <c r="D14" s="750"/>
      <c r="E14" s="750"/>
      <c r="F14" s="750"/>
      <c r="G14" s="750"/>
      <c r="H14" s="750"/>
      <c r="I14" s="750"/>
      <c r="J14" s="750"/>
    </row>
    <row r="15" spans="1:10" ht="67" customHeight="1">
      <c r="A15" s="743" t="s">
        <v>705</v>
      </c>
      <c r="B15" s="743"/>
      <c r="C15" s="743"/>
      <c r="D15" s="743"/>
      <c r="E15" s="743"/>
      <c r="F15" s="743"/>
      <c r="G15" s="743"/>
      <c r="H15" s="743"/>
      <c r="I15" s="743"/>
      <c r="J15" s="743"/>
    </row>
    <row r="16" spans="1:10" ht="135" customHeight="1">
      <c r="A16" s="748" t="s">
        <v>700</v>
      </c>
      <c r="B16" s="749"/>
      <c r="C16" s="749"/>
      <c r="D16" s="749"/>
      <c r="E16" s="749"/>
      <c r="F16" s="749"/>
      <c r="G16" s="749"/>
      <c r="H16" s="749"/>
      <c r="I16" s="749"/>
      <c r="J16" s="749"/>
    </row>
    <row r="17" spans="1:10">
      <c r="A17" s="747"/>
      <c r="B17" s="747"/>
      <c r="C17" s="747"/>
      <c r="D17" s="747"/>
      <c r="E17" s="747"/>
      <c r="F17" s="747"/>
      <c r="G17" s="747"/>
      <c r="H17" s="747"/>
      <c r="I17" s="747"/>
      <c r="J17" s="747"/>
    </row>
    <row r="18" spans="1:10" ht="21">
      <c r="A18" s="742" t="s">
        <v>513</v>
      </c>
      <c r="B18" s="742"/>
      <c r="C18" s="742"/>
      <c r="D18" s="742"/>
      <c r="E18" s="742"/>
      <c r="F18" s="742"/>
      <c r="G18" s="742"/>
      <c r="H18" s="742"/>
      <c r="I18" s="742"/>
      <c r="J18" s="742"/>
    </row>
    <row r="19" spans="1:10" ht="117" customHeight="1">
      <c r="A19" s="750" t="s">
        <v>701</v>
      </c>
      <c r="B19" s="750"/>
      <c r="C19" s="750"/>
      <c r="D19" s="750"/>
      <c r="E19" s="750"/>
      <c r="F19" s="750"/>
      <c r="G19" s="750"/>
      <c r="H19" s="750"/>
      <c r="I19" s="750"/>
      <c r="J19" s="750"/>
    </row>
    <row r="20" spans="1:10" ht="41" customHeight="1">
      <c r="A20" s="743" t="s">
        <v>702</v>
      </c>
      <c r="B20" s="743"/>
      <c r="C20" s="743"/>
      <c r="D20" s="743"/>
      <c r="E20" s="743"/>
      <c r="F20" s="743"/>
      <c r="G20" s="743"/>
      <c r="H20" s="743"/>
      <c r="I20" s="743"/>
      <c r="J20" s="743"/>
    </row>
    <row r="21" spans="1:10" ht="68" customHeight="1">
      <c r="A21" s="743" t="s">
        <v>703</v>
      </c>
      <c r="B21" s="743"/>
      <c r="C21" s="743"/>
      <c r="D21" s="743"/>
      <c r="E21" s="743"/>
      <c r="F21" s="743"/>
      <c r="G21" s="743"/>
      <c r="H21" s="743"/>
      <c r="I21" s="743"/>
      <c r="J21" s="743"/>
    </row>
  </sheetData>
  <sheetProtection sheet="1" objects="1" scenarios="1"/>
  <mergeCells count="21">
    <mergeCell ref="A1:J1"/>
    <mergeCell ref="A2:J2"/>
    <mergeCell ref="A3:J3"/>
    <mergeCell ref="A4:J4"/>
    <mergeCell ref="A6:J6"/>
    <mergeCell ref="A7:J7"/>
    <mergeCell ref="A5:J5"/>
    <mergeCell ref="A18:J18"/>
    <mergeCell ref="A20:J20"/>
    <mergeCell ref="A21:J21"/>
    <mergeCell ref="A16:J16"/>
    <mergeCell ref="A17:J17"/>
    <mergeCell ref="A19:J19"/>
    <mergeCell ref="A15:J15"/>
    <mergeCell ref="A10:J10"/>
    <mergeCell ref="A11:J11"/>
    <mergeCell ref="A8:J8"/>
    <mergeCell ref="A13:J13"/>
    <mergeCell ref="A14:J14"/>
    <mergeCell ref="A12:J12"/>
    <mergeCell ref="A9:J9"/>
  </mergeCells>
  <pageMargins left="0.7" right="0.7" top="0.75" bottom="0.75" header="0.3" footer="0.3"/>
  <pageSetup paperSize="9" scale="76"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2"/>
  <sheetViews>
    <sheetView showZeros="0" workbookViewId="0">
      <selection activeCell="C4" sqref="C4"/>
    </sheetView>
  </sheetViews>
  <sheetFormatPr baseColWidth="10" defaultRowHeight="16"/>
  <cols>
    <col min="3" max="7" width="15.83203125" customWidth="1"/>
  </cols>
  <sheetData>
    <row r="1" spans="1:7" ht="32" customHeight="1">
      <c r="A1" s="1522" t="str">
        <f>Skemaoplysninger!A5</f>
        <v xml:space="preserve">Skema 1 vedr. </v>
      </c>
      <c r="B1" s="1522"/>
      <c r="C1" s="1522"/>
      <c r="D1" s="1522"/>
      <c r="E1" s="1522"/>
      <c r="F1" s="1522"/>
      <c r="G1" s="1523"/>
    </row>
    <row r="2" spans="1:7" ht="32" customHeight="1">
      <c r="A2" s="1521" t="s">
        <v>219</v>
      </c>
      <c r="B2" s="1521"/>
      <c r="C2" s="1521"/>
      <c r="D2" s="1524">
        <f>Skemaoplysninger!F7</f>
        <v>0</v>
      </c>
      <c r="E2" s="1524"/>
      <c r="F2" s="1524">
        <f>Skemaoplysninger!J7</f>
        <v>0</v>
      </c>
      <c r="G2" s="1524"/>
    </row>
    <row r="3" spans="1:7" s="48" customFormat="1" ht="32" customHeight="1">
      <c r="A3" s="270" t="s">
        <v>64</v>
      </c>
      <c r="B3" s="270" t="s">
        <v>65</v>
      </c>
      <c r="C3" s="271" t="s">
        <v>34</v>
      </c>
      <c r="D3" s="271" t="s">
        <v>35</v>
      </c>
      <c r="E3" s="271" t="s">
        <v>36</v>
      </c>
      <c r="F3" s="271" t="s">
        <v>37</v>
      </c>
      <c r="G3" s="272" t="s">
        <v>38</v>
      </c>
    </row>
    <row r="4" spans="1:7" ht="20" customHeight="1">
      <c r="A4" s="36" t="str">
        <f>IF(Skemaoplysninger!A11&gt;0,Skemaoplysninger!B11,"")</f>
        <v/>
      </c>
      <c r="B4" s="36" t="str">
        <f>IF(Skemaoplysninger!A11&gt;0,Skemaoplysninger!C11,"")</f>
        <v/>
      </c>
      <c r="C4" s="28" t="str">
        <f>IF(Skemaoplysninger!E11&gt;0,Skemaoplysninger!E11,"")</f>
        <v/>
      </c>
      <c r="D4" s="28" t="str">
        <f>IF(Skemaoplysninger!G11&gt;0,Skemaoplysninger!G11,"")</f>
        <v/>
      </c>
      <c r="E4" s="28" t="str">
        <f>IF(Skemaoplysninger!I11&gt;0,Skemaoplysninger!I11,"")</f>
        <v/>
      </c>
      <c r="F4" s="28" t="str">
        <f>IF(Skemaoplysninger!K11&gt;0,Skemaoplysninger!K11,"")</f>
        <v/>
      </c>
      <c r="G4" s="28" t="str">
        <f>IF(Skemaoplysninger!M11&gt;0,Skemaoplysninger!M11,"")</f>
        <v/>
      </c>
    </row>
    <row r="5" spans="1:7" ht="20" customHeight="1">
      <c r="A5" s="37" t="str">
        <f>IF(Skemaoplysninger!A12&gt;0,Skemaoplysninger!B12,"")</f>
        <v/>
      </c>
      <c r="B5" s="37" t="str">
        <f>IF(Skemaoplysninger!A12&gt;0,Skemaoplysninger!C12,"")</f>
        <v/>
      </c>
      <c r="C5" s="273" t="str">
        <f>IF(Skemaoplysninger!E12&gt;0,Skemaoplysninger!E12,"")</f>
        <v/>
      </c>
      <c r="D5" s="273" t="str">
        <f>IF(Skemaoplysninger!G12&gt;0,Skemaoplysninger!G12,"")</f>
        <v/>
      </c>
      <c r="E5" s="273" t="str">
        <f>IF(Skemaoplysninger!I12&gt;0,Skemaoplysninger!I12,"")</f>
        <v/>
      </c>
      <c r="F5" s="273" t="str">
        <f>IF(Skemaoplysninger!K12&gt;0,Skemaoplysninger!K12,"")</f>
        <v/>
      </c>
      <c r="G5" s="273" t="str">
        <f>IF(Skemaoplysninger!M12&gt;0,Skemaoplysninger!M12,"")</f>
        <v/>
      </c>
    </row>
    <row r="6" spans="1:7" ht="20" customHeight="1">
      <c r="A6" s="36" t="str">
        <f>IF(Skemaoplysninger!A13&gt;0,Skemaoplysninger!B13,"")</f>
        <v/>
      </c>
      <c r="B6" s="36" t="str">
        <f>IF(Skemaoplysninger!A13&gt;0,Skemaoplysninger!C13,"")</f>
        <v/>
      </c>
      <c r="C6" s="28" t="str">
        <f>IF(Skemaoplysninger!E13&gt;0,Skemaoplysninger!E13,"")</f>
        <v/>
      </c>
      <c r="D6" s="28" t="str">
        <f>IF(Skemaoplysninger!G13&gt;0,Skemaoplysninger!G13,"")</f>
        <v/>
      </c>
      <c r="E6" s="28" t="str">
        <f>IF(Skemaoplysninger!I13&gt;0,Skemaoplysninger!I13,"")</f>
        <v/>
      </c>
      <c r="F6" s="28" t="str">
        <f>IF(Skemaoplysninger!K13&gt;0,Skemaoplysninger!K13,"")</f>
        <v/>
      </c>
      <c r="G6" s="28" t="str">
        <f>IF(Skemaoplysninger!M13&gt;0,Skemaoplysninger!M13,"")</f>
        <v/>
      </c>
    </row>
    <row r="7" spans="1:7" ht="20" customHeight="1">
      <c r="A7" s="37" t="str">
        <f>IF(Skemaoplysninger!A14&gt;0,Skemaoplysninger!B14,"")</f>
        <v/>
      </c>
      <c r="B7" s="37" t="str">
        <f>IF(Skemaoplysninger!A14&gt;0,Skemaoplysninger!C14,"")</f>
        <v/>
      </c>
      <c r="C7" s="273" t="str">
        <f>IF(Skemaoplysninger!E14&gt;0,Skemaoplysninger!E14,"")</f>
        <v/>
      </c>
      <c r="D7" s="273" t="str">
        <f>IF(Skemaoplysninger!G14&gt;0,Skemaoplysninger!G14,"")</f>
        <v/>
      </c>
      <c r="E7" s="273" t="str">
        <f>IF(Skemaoplysninger!I14&gt;0,Skemaoplysninger!I14,"")</f>
        <v/>
      </c>
      <c r="F7" s="273" t="str">
        <f>IF(Skemaoplysninger!K14&gt;0,Skemaoplysninger!K14,"")</f>
        <v/>
      </c>
      <c r="G7" s="273" t="str">
        <f>IF(Skemaoplysninger!M14&gt;0,Skemaoplysninger!M14,"")</f>
        <v/>
      </c>
    </row>
    <row r="8" spans="1:7" ht="20" customHeight="1">
      <c r="A8" s="36" t="str">
        <f>IF(Skemaoplysninger!A15&gt;0,Skemaoplysninger!B15,"")</f>
        <v/>
      </c>
      <c r="B8" s="36" t="str">
        <f>IF(Skemaoplysninger!A15&gt;0,Skemaoplysninger!C15,"")</f>
        <v/>
      </c>
      <c r="C8" s="28" t="str">
        <f>IF(Skemaoplysninger!E15&gt;0,Skemaoplysninger!E15,"")</f>
        <v/>
      </c>
      <c r="D8" s="28" t="str">
        <f>IF(Skemaoplysninger!G15&gt;0,Skemaoplysninger!G15,"")</f>
        <v/>
      </c>
      <c r="E8" s="28" t="str">
        <f>IF(Skemaoplysninger!I15&gt;0,Skemaoplysninger!I15,"")</f>
        <v/>
      </c>
      <c r="F8" s="28" t="str">
        <f>IF(Skemaoplysninger!K15&gt;0,Skemaoplysninger!K15,"")</f>
        <v/>
      </c>
      <c r="G8" s="28" t="str">
        <f>IF(Skemaoplysninger!M15&gt;0,Skemaoplysninger!M15,"")</f>
        <v/>
      </c>
    </row>
    <row r="9" spans="1:7" ht="20" customHeight="1">
      <c r="A9" s="37" t="str">
        <f>IF(Skemaoplysninger!A16&gt;0,Skemaoplysninger!B16,"")</f>
        <v/>
      </c>
      <c r="B9" s="37" t="str">
        <f>IF(Skemaoplysninger!A16&gt;0,Skemaoplysninger!C16,"")</f>
        <v/>
      </c>
      <c r="C9" s="273" t="str">
        <f>IF(Skemaoplysninger!E16&gt;0,Skemaoplysninger!E16,"")</f>
        <v/>
      </c>
      <c r="D9" s="273" t="str">
        <f>IF(Skemaoplysninger!G16&gt;0,Skemaoplysninger!G16,"")</f>
        <v/>
      </c>
      <c r="E9" s="273" t="str">
        <f>IF(Skemaoplysninger!I16&gt;0,Skemaoplysninger!I16,"")</f>
        <v/>
      </c>
      <c r="F9" s="273" t="str">
        <f>IF(Skemaoplysninger!K16&gt;0,Skemaoplysninger!K16,"")</f>
        <v/>
      </c>
      <c r="G9" s="273" t="str">
        <f>IF(Skemaoplysninger!M16&gt;0,Skemaoplysninger!M16,"")</f>
        <v/>
      </c>
    </row>
    <row r="10" spans="1:7" ht="20" customHeight="1">
      <c r="A10" s="36" t="str">
        <f>IF(Skemaoplysninger!A17&gt;0,Skemaoplysninger!B17,"")</f>
        <v/>
      </c>
      <c r="B10" s="36" t="str">
        <f>IF(Skemaoplysninger!A17&gt;0,Skemaoplysninger!C17,"")</f>
        <v/>
      </c>
      <c r="C10" s="28" t="str">
        <f>IF(Skemaoplysninger!E17&gt;0,Skemaoplysninger!E17,"")</f>
        <v/>
      </c>
      <c r="D10" s="28" t="str">
        <f>IF(Skemaoplysninger!G17&gt;0,Skemaoplysninger!G17,"")</f>
        <v/>
      </c>
      <c r="E10" s="28" t="str">
        <f>IF(Skemaoplysninger!I17&gt;0,Skemaoplysninger!I17,"")</f>
        <v/>
      </c>
      <c r="F10" s="28" t="str">
        <f>IF(Skemaoplysninger!K17&gt;0,Skemaoplysninger!K17,"")</f>
        <v/>
      </c>
      <c r="G10" s="28" t="str">
        <f>IF(Skemaoplysninger!M17&gt;0,Skemaoplysninger!M17,"")</f>
        <v/>
      </c>
    </row>
    <row r="11" spans="1:7" ht="20" customHeight="1">
      <c r="A11" s="37" t="str">
        <f>IF(Skemaoplysninger!A18&gt;0,Skemaoplysninger!B18,"")</f>
        <v/>
      </c>
      <c r="B11" s="37" t="str">
        <f>IF(Skemaoplysninger!A18&gt;0,Skemaoplysninger!C18,"")</f>
        <v/>
      </c>
      <c r="C11" s="273" t="str">
        <f>IF(Skemaoplysninger!E18&gt;0,Skemaoplysninger!E18,"")</f>
        <v/>
      </c>
      <c r="D11" s="273" t="str">
        <f>IF(Skemaoplysninger!G18&gt;0,Skemaoplysninger!G18,"")</f>
        <v/>
      </c>
      <c r="E11" s="273" t="str">
        <f>IF(Skemaoplysninger!I18&gt;0,Skemaoplysninger!I18,"")</f>
        <v/>
      </c>
      <c r="F11" s="273" t="str">
        <f>IF(Skemaoplysninger!K18&gt;0,Skemaoplysninger!K18,"")</f>
        <v/>
      </c>
      <c r="G11" s="273" t="str">
        <f>IF(Skemaoplysninger!M18&gt;0,Skemaoplysninger!M18,"")</f>
        <v/>
      </c>
    </row>
    <row r="12" spans="1:7" ht="20" customHeight="1">
      <c r="A12" s="36" t="str">
        <f>IF(Skemaoplysninger!A19&gt;0,Skemaoplysninger!B19,"")</f>
        <v/>
      </c>
      <c r="B12" s="36" t="str">
        <f>IF(Skemaoplysninger!A19&gt;0,Skemaoplysninger!C19,"")</f>
        <v/>
      </c>
      <c r="C12" s="28" t="str">
        <f>IF(Skemaoplysninger!E19&gt;0,Skemaoplysninger!E19,"")</f>
        <v/>
      </c>
      <c r="D12" s="28" t="str">
        <f>IF(Skemaoplysninger!G19&gt;0,Skemaoplysninger!G19,"")</f>
        <v/>
      </c>
      <c r="E12" s="28" t="str">
        <f>IF(Skemaoplysninger!I19&gt;0,Skemaoplysninger!I19,"")</f>
        <v/>
      </c>
      <c r="F12" s="28" t="str">
        <f>IF(Skemaoplysninger!K19&gt;0,Skemaoplysninger!K19,"")</f>
        <v/>
      </c>
      <c r="G12" s="28" t="str">
        <f>IF(Skemaoplysninger!M19&gt;0,Skemaoplysninger!M19,"")</f>
        <v/>
      </c>
    </row>
    <row r="13" spans="1:7" ht="20" customHeight="1">
      <c r="A13" s="37" t="str">
        <f>IF(Skemaoplysninger!A20&gt;0,Skemaoplysninger!B20,"")</f>
        <v/>
      </c>
      <c r="B13" s="37" t="str">
        <f>IF(Skemaoplysninger!A20&gt;0,Skemaoplysninger!C20,"")</f>
        <v/>
      </c>
      <c r="C13" s="273" t="str">
        <f>IF(Skemaoplysninger!E20&gt;0,Skemaoplysninger!E20,"")</f>
        <v/>
      </c>
      <c r="D13" s="273" t="str">
        <f>IF(Skemaoplysninger!G20&gt;0,Skemaoplysninger!G20,"")</f>
        <v/>
      </c>
      <c r="E13" s="273" t="str">
        <f>IF(Skemaoplysninger!I20&gt;0,Skemaoplysninger!I20,"")</f>
        <v/>
      </c>
      <c r="F13" s="273" t="str">
        <f>IF(Skemaoplysninger!K20&gt;0,Skemaoplysninger!K20,"")</f>
        <v/>
      </c>
      <c r="G13" s="273" t="str">
        <f>IF(Skemaoplysninger!M20&gt;0,Skemaoplysninger!M20,"")</f>
        <v/>
      </c>
    </row>
    <row r="14" spans="1:7" ht="20" customHeight="1">
      <c r="A14" s="36" t="str">
        <f>IF(Skemaoplysninger!A21&gt;0,Skemaoplysninger!B21,"")</f>
        <v/>
      </c>
      <c r="B14" s="36" t="str">
        <f>IF(Skemaoplysninger!A21&gt;0,Skemaoplysninger!C21,"")</f>
        <v/>
      </c>
      <c r="C14" s="28" t="str">
        <f>IF(Skemaoplysninger!E21&gt;0,Skemaoplysninger!E21,"")</f>
        <v/>
      </c>
      <c r="D14" s="28" t="str">
        <f>IF(Skemaoplysninger!G21&gt;0,Skemaoplysninger!G21,"")</f>
        <v/>
      </c>
      <c r="E14" s="28" t="str">
        <f>IF(Skemaoplysninger!I21&gt;0,Skemaoplysninger!I21,"")</f>
        <v/>
      </c>
      <c r="F14" s="28" t="str">
        <f>IF(Skemaoplysninger!K21&gt;0,Skemaoplysninger!K21,"")</f>
        <v/>
      </c>
      <c r="G14" s="28" t="str">
        <f>IF(Skemaoplysninger!M21&gt;0,Skemaoplysninger!M21,"")</f>
        <v/>
      </c>
    </row>
    <row r="15" spans="1:7" ht="20" customHeight="1">
      <c r="A15" s="37" t="str">
        <f>IF(Skemaoplysninger!A22&gt;0,Skemaoplysninger!B22,"")</f>
        <v/>
      </c>
      <c r="B15" s="37" t="str">
        <f>IF(Skemaoplysninger!A22&gt;0,Skemaoplysninger!C22,"")</f>
        <v/>
      </c>
      <c r="C15" s="273" t="str">
        <f>IF(Skemaoplysninger!E22&gt;0,Skemaoplysninger!E22,"")</f>
        <v/>
      </c>
      <c r="D15" s="273" t="str">
        <f>IF(Skemaoplysninger!G22&gt;0,Skemaoplysninger!G22,"")</f>
        <v/>
      </c>
      <c r="E15" s="273" t="str">
        <f>IF(Skemaoplysninger!I22&gt;0,Skemaoplysninger!I22,"")</f>
        <v/>
      </c>
      <c r="F15" s="273" t="str">
        <f>IF(Skemaoplysninger!K22&gt;0,Skemaoplysninger!K22,"")</f>
        <v/>
      </c>
      <c r="G15" s="273" t="str">
        <f>IF(Skemaoplysninger!M22&gt;0,Skemaoplysninger!M22,"")</f>
        <v/>
      </c>
    </row>
    <row r="16" spans="1:7" ht="20" customHeight="1">
      <c r="A16" s="36" t="str">
        <f>IF(Skemaoplysninger!A23&gt;0,Skemaoplysninger!B23,"")</f>
        <v/>
      </c>
      <c r="B16" s="36" t="str">
        <f>IF(Skemaoplysninger!A23&gt;0,Skemaoplysninger!C23,"")</f>
        <v/>
      </c>
      <c r="C16" s="28" t="str">
        <f>IF(Skemaoplysninger!E23&gt;0,Skemaoplysninger!E23,"")</f>
        <v/>
      </c>
      <c r="D16" s="28" t="str">
        <f>IF(Skemaoplysninger!G23&gt;0,Skemaoplysninger!G23,"")</f>
        <v/>
      </c>
      <c r="E16" s="28" t="str">
        <f>IF(Skemaoplysninger!I23&gt;0,Skemaoplysninger!I23,"")</f>
        <v/>
      </c>
      <c r="F16" s="28" t="str">
        <f>IF(Skemaoplysninger!K23&gt;0,Skemaoplysninger!K23,"")</f>
        <v/>
      </c>
      <c r="G16" s="28" t="str">
        <f>IF(Skemaoplysninger!M23&gt;0,Skemaoplysninger!M23,"")</f>
        <v/>
      </c>
    </row>
    <row r="17" spans="1:7" ht="20" customHeight="1">
      <c r="A17" s="37" t="str">
        <f>IF(Skemaoplysninger!A24&gt;0,Skemaoplysninger!B24,"")</f>
        <v/>
      </c>
      <c r="B17" s="37" t="str">
        <f>IF(Skemaoplysninger!A24&gt;0,Skemaoplysninger!C24,"")</f>
        <v/>
      </c>
      <c r="C17" s="273" t="str">
        <f>IF(Skemaoplysninger!E24&gt;0,Skemaoplysninger!E24,"")</f>
        <v/>
      </c>
      <c r="D17" s="273" t="str">
        <f>IF(Skemaoplysninger!G24&gt;0,Skemaoplysninger!G24,"")</f>
        <v/>
      </c>
      <c r="E17" s="273" t="str">
        <f>IF(Skemaoplysninger!I24&gt;0,Skemaoplysninger!I24,"")</f>
        <v/>
      </c>
      <c r="F17" s="273" t="str">
        <f>IF(Skemaoplysninger!K24&gt;0,Skemaoplysninger!K24,"")</f>
        <v/>
      </c>
      <c r="G17" s="273" t="str">
        <f>IF(Skemaoplysninger!M24&gt;0,Skemaoplysninger!M24,"")</f>
        <v/>
      </c>
    </row>
    <row r="18" spans="1:7" ht="20" customHeight="1">
      <c r="A18" s="36" t="str">
        <f>IF(Skemaoplysninger!A25&gt;0,Skemaoplysninger!B25,"")</f>
        <v/>
      </c>
      <c r="B18" s="36" t="str">
        <f>IF(Skemaoplysninger!A25&gt;0,Skemaoplysninger!C25,"")</f>
        <v/>
      </c>
      <c r="C18" s="28" t="str">
        <f>IF(Skemaoplysninger!E25&gt;0,Skemaoplysninger!E25,"")</f>
        <v/>
      </c>
      <c r="D18" s="28" t="str">
        <f>IF(Skemaoplysninger!G25&gt;0,Skemaoplysninger!G25,"")</f>
        <v/>
      </c>
      <c r="E18" s="28" t="str">
        <f>IF(Skemaoplysninger!I25&gt;0,Skemaoplysninger!I25,"")</f>
        <v/>
      </c>
      <c r="F18" s="28" t="str">
        <f>IF(Skemaoplysninger!K25&gt;0,Skemaoplysninger!K25,"")</f>
        <v/>
      </c>
      <c r="G18" s="28" t="str">
        <f>IF(Skemaoplysninger!M25&gt;0,Skemaoplysninger!M25,"")</f>
        <v/>
      </c>
    </row>
    <row r="19" spans="1:7" ht="20" customHeight="1">
      <c r="A19" s="37" t="str">
        <f>IF(Skemaoplysninger!A26&gt;0,Skemaoplysninger!B26,"")</f>
        <v/>
      </c>
      <c r="B19" s="37" t="str">
        <f>IF(Skemaoplysninger!A26&gt;0,Skemaoplysninger!C26,"")</f>
        <v/>
      </c>
      <c r="C19" s="273" t="str">
        <f>IF(Skemaoplysninger!E26&gt;0,Skemaoplysninger!E26,"")</f>
        <v/>
      </c>
      <c r="D19" s="273" t="str">
        <f>IF(Skemaoplysninger!G26&gt;0,Skemaoplysninger!G26,"")</f>
        <v/>
      </c>
      <c r="E19" s="273" t="str">
        <f>IF(Skemaoplysninger!I26&gt;0,Skemaoplysninger!I26,"")</f>
        <v/>
      </c>
      <c r="F19" s="273" t="str">
        <f>IF(Skemaoplysninger!K26&gt;0,Skemaoplysninger!K26,"")</f>
        <v/>
      </c>
      <c r="G19" s="273" t="str">
        <f>IF(Skemaoplysninger!M26&gt;0,Skemaoplysninger!M26,"")</f>
        <v/>
      </c>
    </row>
    <row r="20" spans="1:7" ht="20" customHeight="1">
      <c r="A20" s="36" t="str">
        <f>IF(Skemaoplysninger!A27&gt;0,Skemaoplysninger!B27,"")</f>
        <v/>
      </c>
      <c r="B20" s="36" t="str">
        <f>IF(Skemaoplysninger!A27&gt;0,Skemaoplysninger!C27,"")</f>
        <v/>
      </c>
      <c r="C20" s="28" t="str">
        <f>IF(Skemaoplysninger!E27&gt;0,Skemaoplysninger!E27,"")</f>
        <v/>
      </c>
      <c r="D20" s="28" t="str">
        <f>IF(Skemaoplysninger!G27&gt;0,Skemaoplysninger!G27,"")</f>
        <v/>
      </c>
      <c r="E20" s="28" t="str">
        <f>IF(Skemaoplysninger!I27&gt;0,Skemaoplysninger!I27,"")</f>
        <v/>
      </c>
      <c r="F20" s="28" t="str">
        <f>IF(Skemaoplysninger!K27&gt;0,Skemaoplysninger!K27,"")</f>
        <v/>
      </c>
      <c r="G20" s="28" t="str">
        <f>IF(Skemaoplysninger!M27&gt;0,Skemaoplysninger!M27,"")</f>
        <v/>
      </c>
    </row>
    <row r="21" spans="1:7" ht="20" customHeight="1">
      <c r="A21" s="37" t="str">
        <f>IF(Skemaoplysninger!A28&gt;0,Skemaoplysninger!B28,"")</f>
        <v/>
      </c>
      <c r="B21" s="37" t="str">
        <f>IF(Skemaoplysninger!A28&gt;0,Skemaoplysninger!C28,"")</f>
        <v/>
      </c>
      <c r="C21" s="273" t="str">
        <f>IF(Skemaoplysninger!E28&gt;0,Skemaoplysninger!E28,"")</f>
        <v/>
      </c>
      <c r="D21" s="273" t="str">
        <f>IF(Skemaoplysninger!G28&gt;0,Skemaoplysninger!G28,"")</f>
        <v/>
      </c>
      <c r="E21" s="273" t="str">
        <f>IF(Skemaoplysninger!I28&gt;0,Skemaoplysninger!I28,"")</f>
        <v/>
      </c>
      <c r="F21" s="273" t="str">
        <f>IF(Skemaoplysninger!K28&gt;0,Skemaoplysninger!K28,"")</f>
        <v/>
      </c>
      <c r="G21" s="273" t="str">
        <f>IF(Skemaoplysninger!M28&gt;0,Skemaoplysninger!M28,"")</f>
        <v/>
      </c>
    </row>
    <row r="22" spans="1:7" ht="20" customHeight="1">
      <c r="A22" s="36" t="str">
        <f>IF(Skemaoplysninger!A29&gt;0,Skemaoplysninger!B29,"")</f>
        <v/>
      </c>
      <c r="B22" s="36" t="str">
        <f>IF(Skemaoplysninger!A29&gt;0,Skemaoplysninger!C29,"")</f>
        <v/>
      </c>
      <c r="C22" s="28" t="str">
        <f>IF(Skemaoplysninger!E29&gt;0,Skemaoplysninger!E29,"")</f>
        <v/>
      </c>
      <c r="D22" s="28" t="str">
        <f>IF(Skemaoplysninger!G29&gt;0,Skemaoplysninger!G29,"")</f>
        <v/>
      </c>
      <c r="E22" s="28" t="str">
        <f>IF(Skemaoplysninger!I29&gt;0,Skemaoplysninger!I29,"")</f>
        <v/>
      </c>
      <c r="F22" s="28" t="str">
        <f>IF(Skemaoplysninger!K29&gt;0,Skemaoplysninger!K29,"")</f>
        <v/>
      </c>
      <c r="G22" s="28" t="str">
        <f>IF(Skemaoplysninger!M29&gt;0,Skemaoplysninger!M29,"")</f>
        <v/>
      </c>
    </row>
  </sheetData>
  <sheetProtection sheet="1" objects="1" scenarios="1"/>
  <mergeCells count="4">
    <mergeCell ref="A2:C2"/>
    <mergeCell ref="A1:G1"/>
    <mergeCell ref="D2:E2"/>
    <mergeCell ref="F2:G2"/>
  </mergeCells>
  <pageMargins left="0.7" right="0.7" top="0.75" bottom="0.75" header="0.3" footer="0.3"/>
  <pageSetup paperSize="9" orientation="landscape"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sheetPr>
  <dimension ref="A1:G22"/>
  <sheetViews>
    <sheetView showZeros="0" workbookViewId="0">
      <selection activeCell="D7" sqref="D7"/>
    </sheetView>
  </sheetViews>
  <sheetFormatPr baseColWidth="10" defaultRowHeight="16"/>
  <cols>
    <col min="3" max="7" width="15.83203125" customWidth="1"/>
  </cols>
  <sheetData>
    <row r="1" spans="1:7" ht="32" customHeight="1">
      <c r="A1" s="1522" t="str">
        <f>Skemaoplysninger!O5</f>
        <v xml:space="preserve">Skema 2 vedr. </v>
      </c>
      <c r="B1" s="1522"/>
      <c r="C1" s="1522"/>
      <c r="D1" s="1522"/>
      <c r="E1" s="1522"/>
      <c r="F1" s="1522"/>
      <c r="G1" s="1523"/>
    </row>
    <row r="2" spans="1:7" ht="32" customHeight="1">
      <c r="A2" s="1521" t="s">
        <v>219</v>
      </c>
      <c r="B2" s="1521"/>
      <c r="C2" s="1521"/>
      <c r="D2" s="1524">
        <f>Skemaoplysninger!T7</f>
        <v>0</v>
      </c>
      <c r="E2" s="1524"/>
      <c r="F2" s="1524">
        <f>Skemaoplysninger!X7</f>
        <v>0</v>
      </c>
      <c r="G2" s="1524"/>
    </row>
    <row r="3" spans="1:7" ht="32" customHeight="1">
      <c r="A3" s="270" t="s">
        <v>64</v>
      </c>
      <c r="B3" s="270" t="s">
        <v>65</v>
      </c>
      <c r="C3" s="271" t="s">
        <v>34</v>
      </c>
      <c r="D3" s="271" t="s">
        <v>35</v>
      </c>
      <c r="E3" s="271" t="s">
        <v>36</v>
      </c>
      <c r="F3" s="271" t="s">
        <v>37</v>
      </c>
      <c r="G3" s="272" t="s">
        <v>38</v>
      </c>
    </row>
    <row r="4" spans="1:7" ht="20" customHeight="1">
      <c r="A4" s="36" t="str">
        <f>IF(Skemaoplysninger!O11&gt;0,Skemaoplysninger!P11,"")</f>
        <v/>
      </c>
      <c r="B4" s="36" t="str">
        <f>IF(Skemaoplysninger!O11&gt;0,Skemaoplysninger!Q11,"")</f>
        <v/>
      </c>
      <c r="C4" s="28" t="str">
        <f>IF(Skemaoplysninger!O11&gt;0,Skemaoplysninger!S11,"")</f>
        <v/>
      </c>
      <c r="D4" s="28" t="str">
        <f>IF(Skemaoplysninger!O11&gt;0,Skemaoplysninger!U11,"")</f>
        <v/>
      </c>
      <c r="E4" s="28" t="str">
        <f>IF(Skemaoplysninger!O11&gt;0,Skemaoplysninger!W11,"")</f>
        <v/>
      </c>
      <c r="F4" s="28" t="str">
        <f>IF(Skemaoplysninger!O11&gt;0,Skemaoplysninger!Y11,"")</f>
        <v/>
      </c>
      <c r="G4" s="28" t="str">
        <f>IF(Skemaoplysninger!O11&gt;0,Skemaoplysninger!AA11,"")</f>
        <v/>
      </c>
    </row>
    <row r="5" spans="1:7" ht="20" customHeight="1">
      <c r="A5" s="37" t="str">
        <f>IF(Skemaoplysninger!O12&gt;0,Skemaoplysninger!P12,"")</f>
        <v/>
      </c>
      <c r="B5" s="37" t="str">
        <f>IF(Skemaoplysninger!O12&gt;0,Skemaoplysninger!Q12,"")</f>
        <v/>
      </c>
      <c r="C5" s="273" t="str">
        <f>IF(Skemaoplysninger!O12&gt;0,Skemaoplysninger!S12,"")</f>
        <v/>
      </c>
      <c r="D5" s="273" t="str">
        <f>IF(Skemaoplysninger!O12&gt;0,Skemaoplysninger!U12,"")</f>
        <v/>
      </c>
      <c r="E5" s="273" t="str">
        <f>IF(Skemaoplysninger!O12&gt;0,Skemaoplysninger!W12,"")</f>
        <v/>
      </c>
      <c r="F5" s="273" t="str">
        <f>IF(Skemaoplysninger!O12&gt;0,Skemaoplysninger!Y12,"")</f>
        <v/>
      </c>
      <c r="G5" s="273" t="str">
        <f>IF(Skemaoplysninger!O12&gt;0,Skemaoplysninger!AA12,"")</f>
        <v/>
      </c>
    </row>
    <row r="6" spans="1:7" ht="20" customHeight="1">
      <c r="A6" s="36" t="str">
        <f>IF(Skemaoplysninger!O13&gt;0,Skemaoplysninger!P13,"")</f>
        <v/>
      </c>
      <c r="B6" s="36" t="str">
        <f>IF(Skemaoplysninger!O13&gt;0,Skemaoplysninger!Q13,"")</f>
        <v/>
      </c>
      <c r="C6" s="28" t="str">
        <f>IF(Skemaoplysninger!O13&gt;0,Skemaoplysninger!S13,"")</f>
        <v/>
      </c>
      <c r="D6" s="28" t="str">
        <f>IF(Skemaoplysninger!O13&gt;0,Skemaoplysninger!U13,"")</f>
        <v/>
      </c>
      <c r="E6" s="28" t="str">
        <f>IF(Skemaoplysninger!O13&gt;0,Skemaoplysninger!W13,"")</f>
        <v/>
      </c>
      <c r="F6" s="28" t="str">
        <f>IF(Skemaoplysninger!O13&gt;0,Skemaoplysninger!Y13,"")</f>
        <v/>
      </c>
      <c r="G6" s="28" t="str">
        <f>IF(Skemaoplysninger!O13&gt;0,Skemaoplysninger!AA13,"")</f>
        <v/>
      </c>
    </row>
    <row r="7" spans="1:7" ht="20" customHeight="1">
      <c r="A7" s="37" t="str">
        <f>IF(Skemaoplysninger!O14&gt;0,Skemaoplysninger!P14,"")</f>
        <v/>
      </c>
      <c r="B7" s="37" t="str">
        <f>IF(Skemaoplysninger!O14&gt;0,Skemaoplysninger!Q14,"")</f>
        <v/>
      </c>
      <c r="C7" s="273" t="str">
        <f>IF(Skemaoplysninger!O14&gt;0,Skemaoplysninger!S14,"")</f>
        <v/>
      </c>
      <c r="D7" s="273" t="str">
        <f>IF(Skemaoplysninger!O14&gt;0,Skemaoplysninger!U14,"")</f>
        <v/>
      </c>
      <c r="E7" s="273" t="str">
        <f>IF(Skemaoplysninger!O14&gt;0,Skemaoplysninger!W14,"")</f>
        <v/>
      </c>
      <c r="F7" s="273" t="str">
        <f>IF(Skemaoplysninger!O14&gt;0,Skemaoplysninger!Y14,"")</f>
        <v/>
      </c>
      <c r="G7" s="273" t="str">
        <f>IF(Skemaoplysninger!O14&gt;0,Skemaoplysninger!AA14,"")</f>
        <v/>
      </c>
    </row>
    <row r="8" spans="1:7" ht="20" customHeight="1">
      <c r="A8" s="36" t="str">
        <f>IF(Skemaoplysninger!O15&gt;0,Skemaoplysninger!P15,"")</f>
        <v/>
      </c>
      <c r="B8" s="36" t="str">
        <f>IF(Skemaoplysninger!O15&gt;0,Skemaoplysninger!Q15,"")</f>
        <v/>
      </c>
      <c r="C8" s="28" t="str">
        <f>IF(Skemaoplysninger!O15&gt;0,Skemaoplysninger!S15,"")</f>
        <v/>
      </c>
      <c r="D8" s="28" t="str">
        <f>IF(Skemaoplysninger!O15&gt;0,Skemaoplysninger!U15,"")</f>
        <v/>
      </c>
      <c r="E8" s="28" t="str">
        <f>IF(Skemaoplysninger!O15&gt;0,Skemaoplysninger!W15,"")</f>
        <v/>
      </c>
      <c r="F8" s="28" t="str">
        <f>IF(Skemaoplysninger!O15&gt;0,Skemaoplysninger!Y15,"")</f>
        <v/>
      </c>
      <c r="G8" s="28" t="str">
        <f>IF(Skemaoplysninger!O15&gt;0,Skemaoplysninger!AA15,"")</f>
        <v/>
      </c>
    </row>
    <row r="9" spans="1:7" ht="20" customHeight="1">
      <c r="A9" s="37" t="str">
        <f>IF(Skemaoplysninger!O16&gt;0,Skemaoplysninger!P16,"")</f>
        <v/>
      </c>
      <c r="B9" s="37" t="str">
        <f>IF(Skemaoplysninger!O16&gt;0,Skemaoplysninger!Q16,"")</f>
        <v/>
      </c>
      <c r="C9" s="273" t="str">
        <f>IF(Skemaoplysninger!O16&gt;0,Skemaoplysninger!S16,"")</f>
        <v/>
      </c>
      <c r="D9" s="273" t="str">
        <f>IF(Skemaoplysninger!O16&gt;0,Skemaoplysninger!U16,"")</f>
        <v/>
      </c>
      <c r="E9" s="273" t="str">
        <f>IF(Skemaoplysninger!O16&gt;0,Skemaoplysninger!W16,"")</f>
        <v/>
      </c>
      <c r="F9" s="273" t="str">
        <f>IF(Skemaoplysninger!O16&gt;0,Skemaoplysninger!Y16,"")</f>
        <v/>
      </c>
      <c r="G9" s="273" t="str">
        <f>IF(Skemaoplysninger!O16&gt;0,Skemaoplysninger!AA16,"")</f>
        <v/>
      </c>
    </row>
    <row r="10" spans="1:7" ht="20" customHeight="1">
      <c r="A10" s="36" t="str">
        <f>IF(Skemaoplysninger!O17&gt;0,Skemaoplysninger!P17,"")</f>
        <v/>
      </c>
      <c r="B10" s="36" t="str">
        <f>IF(Skemaoplysninger!O17&gt;0,Skemaoplysninger!Q17,"")</f>
        <v/>
      </c>
      <c r="C10" s="28" t="str">
        <f>IF(Skemaoplysninger!O17&gt;0,Skemaoplysninger!S17,"")</f>
        <v/>
      </c>
      <c r="D10" s="28" t="str">
        <f>IF(Skemaoplysninger!O17&gt;0,Skemaoplysninger!U17,"")</f>
        <v/>
      </c>
      <c r="E10" s="28" t="str">
        <f>IF(Skemaoplysninger!O17&gt;0,Skemaoplysninger!W17,"")</f>
        <v/>
      </c>
      <c r="F10" s="28" t="str">
        <f>IF(Skemaoplysninger!O17&gt;0,Skemaoplysninger!Y17,"")</f>
        <v/>
      </c>
      <c r="G10" s="28" t="str">
        <f>IF(Skemaoplysninger!O17&gt;0,Skemaoplysninger!AA17,"")</f>
        <v/>
      </c>
    </row>
    <row r="11" spans="1:7" ht="20" customHeight="1">
      <c r="A11" s="37" t="str">
        <f>IF(Skemaoplysninger!O18&gt;0,Skemaoplysninger!P18,"")</f>
        <v/>
      </c>
      <c r="B11" s="37" t="str">
        <f>IF(Skemaoplysninger!O18&gt;0,Skemaoplysninger!Q18,"")</f>
        <v/>
      </c>
      <c r="C11" s="273" t="str">
        <f>IF(Skemaoplysninger!O18&gt;0,Skemaoplysninger!S18,"")</f>
        <v/>
      </c>
      <c r="D11" s="273" t="str">
        <f>IF(Skemaoplysninger!O18&gt;0,Skemaoplysninger!U18,"")</f>
        <v/>
      </c>
      <c r="E11" s="273" t="str">
        <f>IF(Skemaoplysninger!O18&gt;0,Skemaoplysninger!W18,"")</f>
        <v/>
      </c>
      <c r="F11" s="273" t="str">
        <f>IF(Skemaoplysninger!O18&gt;0,Skemaoplysninger!Y18,"")</f>
        <v/>
      </c>
      <c r="G11" s="273" t="str">
        <f>IF(Skemaoplysninger!O18&gt;0,Skemaoplysninger!AA18,"")</f>
        <v/>
      </c>
    </row>
    <row r="12" spans="1:7" ht="20" customHeight="1">
      <c r="A12" s="36" t="str">
        <f>IF(Skemaoplysninger!O19&gt;0,Skemaoplysninger!P19,"")</f>
        <v/>
      </c>
      <c r="B12" s="36" t="str">
        <f>IF(Skemaoplysninger!O19&gt;0,Skemaoplysninger!Q19,"")</f>
        <v/>
      </c>
      <c r="C12" s="28" t="str">
        <f>IF(Skemaoplysninger!O19&gt;0,Skemaoplysninger!S19,"")</f>
        <v/>
      </c>
      <c r="D12" s="28" t="str">
        <f>IF(Skemaoplysninger!O19&gt;0,Skemaoplysninger!U19,"")</f>
        <v/>
      </c>
      <c r="E12" s="28" t="str">
        <f>IF(Skemaoplysninger!O19&gt;0,Skemaoplysninger!W19,"")</f>
        <v/>
      </c>
      <c r="F12" s="28" t="str">
        <f>IF(Skemaoplysninger!O19&gt;0,Skemaoplysninger!Y19,"")</f>
        <v/>
      </c>
      <c r="G12" s="28" t="str">
        <f>IF(Skemaoplysninger!O19&gt;0,Skemaoplysninger!AA19,"")</f>
        <v/>
      </c>
    </row>
    <row r="13" spans="1:7" ht="20" customHeight="1">
      <c r="A13" s="37" t="str">
        <f>IF(Skemaoplysninger!O20&gt;0,Skemaoplysninger!P20,"")</f>
        <v/>
      </c>
      <c r="B13" s="37" t="str">
        <f>IF(Skemaoplysninger!O20&gt;0,Skemaoplysninger!Q20,"")</f>
        <v/>
      </c>
      <c r="C13" s="273" t="str">
        <f>IF(Skemaoplysninger!O20&gt;0,Skemaoplysninger!S20,"")</f>
        <v/>
      </c>
      <c r="D13" s="273" t="str">
        <f>IF(Skemaoplysninger!O20&gt;0,Skemaoplysninger!U20,"")</f>
        <v/>
      </c>
      <c r="E13" s="273" t="str">
        <f>IF(Skemaoplysninger!O20&gt;0,Skemaoplysninger!W20,"")</f>
        <v/>
      </c>
      <c r="F13" s="273" t="str">
        <f>IF(Skemaoplysninger!O20&gt;0,Skemaoplysninger!Y20,"")</f>
        <v/>
      </c>
      <c r="G13" s="273" t="str">
        <f>IF(Skemaoplysninger!O20&gt;0,Skemaoplysninger!AA20,"")</f>
        <v/>
      </c>
    </row>
    <row r="14" spans="1:7" ht="20" customHeight="1">
      <c r="A14" s="36" t="str">
        <f>IF(Skemaoplysninger!O21&gt;0,Skemaoplysninger!P21,"")</f>
        <v/>
      </c>
      <c r="B14" s="36" t="str">
        <f>IF(Skemaoplysninger!O21&gt;0,Skemaoplysninger!Q21,"")</f>
        <v/>
      </c>
      <c r="C14" s="28" t="str">
        <f>IF(Skemaoplysninger!O21&gt;0,Skemaoplysninger!S21,"")</f>
        <v/>
      </c>
      <c r="D14" s="28" t="str">
        <f>IF(Skemaoplysninger!O21&gt;0,Skemaoplysninger!U21,"")</f>
        <v/>
      </c>
      <c r="E14" s="28" t="str">
        <f>IF(Skemaoplysninger!O21&gt;0,Skemaoplysninger!W21,"")</f>
        <v/>
      </c>
      <c r="F14" s="28" t="str">
        <f>IF(Skemaoplysninger!O21&gt;0,Skemaoplysninger!Y21,"")</f>
        <v/>
      </c>
      <c r="G14" s="28" t="str">
        <f>IF(Skemaoplysninger!O21&gt;0,Skemaoplysninger!AA21,"")</f>
        <v/>
      </c>
    </row>
    <row r="15" spans="1:7" ht="20" customHeight="1">
      <c r="A15" s="37" t="str">
        <f>IF(Skemaoplysninger!O22&gt;0,Skemaoplysninger!P22,"")</f>
        <v/>
      </c>
      <c r="B15" s="37" t="str">
        <f>IF(Skemaoplysninger!O22&gt;0,Skemaoplysninger!Q22,"")</f>
        <v/>
      </c>
      <c r="C15" s="273" t="str">
        <f>IF(Skemaoplysninger!O22&gt;0,Skemaoplysninger!S22,"")</f>
        <v/>
      </c>
      <c r="D15" s="273" t="str">
        <f>IF(Skemaoplysninger!O22&gt;0,Skemaoplysninger!U22,"")</f>
        <v/>
      </c>
      <c r="E15" s="273" t="str">
        <f>IF(Skemaoplysninger!O22&gt;0,Skemaoplysninger!W22,"")</f>
        <v/>
      </c>
      <c r="F15" s="273" t="str">
        <f>IF(Skemaoplysninger!O22&gt;0,Skemaoplysninger!Y22,"")</f>
        <v/>
      </c>
      <c r="G15" s="273" t="str">
        <f>IF(Skemaoplysninger!O22&gt;0,Skemaoplysninger!AA22,"")</f>
        <v/>
      </c>
    </row>
    <row r="16" spans="1:7" ht="20" customHeight="1">
      <c r="A16" s="36" t="str">
        <f>IF(Skemaoplysninger!O23&gt;0,Skemaoplysninger!P23,"")</f>
        <v/>
      </c>
      <c r="B16" s="36" t="str">
        <f>IF(Skemaoplysninger!O23&gt;0,Skemaoplysninger!Q23,"")</f>
        <v/>
      </c>
      <c r="C16" s="28" t="str">
        <f>IF(Skemaoplysninger!O23&gt;0,Skemaoplysninger!S23,"")</f>
        <v/>
      </c>
      <c r="D16" s="28" t="str">
        <f>IF(Skemaoplysninger!O23&gt;0,Skemaoplysninger!U23,"")</f>
        <v/>
      </c>
      <c r="E16" s="28" t="str">
        <f>IF(Skemaoplysninger!O23&gt;0,Skemaoplysninger!W23,"")</f>
        <v/>
      </c>
      <c r="F16" s="28" t="str">
        <f>IF(Skemaoplysninger!O23&gt;0,Skemaoplysninger!Y23,"")</f>
        <v/>
      </c>
      <c r="G16" s="28" t="str">
        <f>IF(Skemaoplysninger!O23&gt;0,Skemaoplysninger!AA23,"")</f>
        <v/>
      </c>
    </row>
    <row r="17" spans="1:7" ht="20" customHeight="1">
      <c r="A17" s="37" t="str">
        <f>IF(Skemaoplysninger!O24&gt;0,Skemaoplysninger!P24,"")</f>
        <v/>
      </c>
      <c r="B17" s="37" t="str">
        <f>IF(Skemaoplysninger!O24&gt;0,Skemaoplysninger!Q24,"")</f>
        <v/>
      </c>
      <c r="C17" s="273" t="str">
        <f>IF(Skemaoplysninger!O24&gt;0,Skemaoplysninger!S24,"")</f>
        <v/>
      </c>
      <c r="D17" s="273" t="str">
        <f>IF(Skemaoplysninger!O24&gt;0,Skemaoplysninger!U24,"")</f>
        <v/>
      </c>
      <c r="E17" s="273" t="str">
        <f>IF(Skemaoplysninger!O24&gt;0,Skemaoplysninger!W24,"")</f>
        <v/>
      </c>
      <c r="F17" s="273" t="str">
        <f>IF(Skemaoplysninger!O24&gt;0,Skemaoplysninger!Y24,"")</f>
        <v/>
      </c>
      <c r="G17" s="273" t="str">
        <f>IF(Skemaoplysninger!O24&gt;0,Skemaoplysninger!AA24,"")</f>
        <v/>
      </c>
    </row>
    <row r="18" spans="1:7" ht="20" customHeight="1">
      <c r="A18" s="36" t="str">
        <f>IF(Skemaoplysninger!O25&gt;0,Skemaoplysninger!P25,"")</f>
        <v/>
      </c>
      <c r="B18" s="36" t="str">
        <f>IF(Skemaoplysninger!O25&gt;0,Skemaoplysninger!Q25,"")</f>
        <v/>
      </c>
      <c r="C18" s="28" t="str">
        <f>IF(Skemaoplysninger!O25&gt;0,Skemaoplysninger!S25,"")</f>
        <v/>
      </c>
      <c r="D18" s="28" t="str">
        <f>IF(Skemaoplysninger!O25&gt;0,Skemaoplysninger!U25,"")</f>
        <v/>
      </c>
      <c r="E18" s="28" t="str">
        <f>IF(Skemaoplysninger!O25&gt;0,Skemaoplysninger!W25,"")</f>
        <v/>
      </c>
      <c r="F18" s="28" t="str">
        <f>IF(Skemaoplysninger!O25&gt;0,Skemaoplysninger!Y25,"")</f>
        <v/>
      </c>
      <c r="G18" s="28" t="str">
        <f>IF(Skemaoplysninger!O25&gt;0,Skemaoplysninger!AA25,"")</f>
        <v/>
      </c>
    </row>
    <row r="19" spans="1:7" ht="20" customHeight="1">
      <c r="A19" s="37" t="str">
        <f>IF(Skemaoplysninger!O26&gt;0,Skemaoplysninger!P26,"")</f>
        <v/>
      </c>
      <c r="B19" s="37" t="str">
        <f>IF(Skemaoplysninger!O26&gt;0,Skemaoplysninger!Q26,"")</f>
        <v/>
      </c>
      <c r="C19" s="273" t="str">
        <f>IF(Skemaoplysninger!O26&gt;0,Skemaoplysninger!S26,"")</f>
        <v/>
      </c>
      <c r="D19" s="273" t="str">
        <f>IF(Skemaoplysninger!O26&gt;0,Skemaoplysninger!U26,"")</f>
        <v/>
      </c>
      <c r="E19" s="273" t="str">
        <f>IF(Skemaoplysninger!O26&gt;0,Skemaoplysninger!W26,"")</f>
        <v/>
      </c>
      <c r="F19" s="273" t="str">
        <f>IF(Skemaoplysninger!O26&gt;0,Skemaoplysninger!Y26,"")</f>
        <v/>
      </c>
      <c r="G19" s="273" t="str">
        <f>IF(Skemaoplysninger!O26&gt;0,Skemaoplysninger!AA26,"")</f>
        <v/>
      </c>
    </row>
    <row r="20" spans="1:7" ht="20" customHeight="1">
      <c r="A20" s="36" t="str">
        <f>IF(Skemaoplysninger!O27&gt;0,Skemaoplysninger!P27,"")</f>
        <v/>
      </c>
      <c r="B20" s="36" t="str">
        <f>IF(Skemaoplysninger!O27&gt;0,Skemaoplysninger!Q27,"")</f>
        <v/>
      </c>
      <c r="C20" s="28" t="str">
        <f>IF(Skemaoplysninger!O27&gt;0,Skemaoplysninger!S27,"")</f>
        <v/>
      </c>
      <c r="D20" s="28" t="str">
        <f>IF(Skemaoplysninger!O27&gt;0,Skemaoplysninger!U27,"")</f>
        <v/>
      </c>
      <c r="E20" s="28" t="str">
        <f>IF(Skemaoplysninger!O27&gt;0,Skemaoplysninger!W27,"")</f>
        <v/>
      </c>
      <c r="F20" s="28" t="str">
        <f>IF(Skemaoplysninger!O27&gt;0,Skemaoplysninger!Y27,"")</f>
        <v/>
      </c>
      <c r="G20" s="28" t="str">
        <f>IF(Skemaoplysninger!O27&gt;0,Skemaoplysninger!AA27,"")</f>
        <v/>
      </c>
    </row>
    <row r="21" spans="1:7" ht="20" customHeight="1">
      <c r="A21" s="37" t="str">
        <f>IF(Skemaoplysninger!O28&gt;0,Skemaoplysninger!P28,"")</f>
        <v/>
      </c>
      <c r="B21" s="37" t="str">
        <f>IF(Skemaoplysninger!O28&gt;0,Skemaoplysninger!Q28,"")</f>
        <v/>
      </c>
      <c r="C21" s="273" t="str">
        <f>IF(Skemaoplysninger!O28&gt;0,Skemaoplysninger!S28,"")</f>
        <v/>
      </c>
      <c r="D21" s="273" t="str">
        <f>IF(Skemaoplysninger!O28&gt;0,Skemaoplysninger!U28,"")</f>
        <v/>
      </c>
      <c r="E21" s="273" t="str">
        <f>IF(Skemaoplysninger!O28&gt;0,Skemaoplysninger!W28,"")</f>
        <v/>
      </c>
      <c r="F21" s="273" t="str">
        <f>IF(Skemaoplysninger!O28&gt;0,Skemaoplysninger!Y28,"")</f>
        <v/>
      </c>
      <c r="G21" s="273" t="str">
        <f>IF(Skemaoplysninger!O28&gt;0,Skemaoplysninger!AA28,"")</f>
        <v/>
      </c>
    </row>
    <row r="22" spans="1:7" ht="20" customHeight="1">
      <c r="A22" s="36" t="str">
        <f>IF(Skemaoplysninger!O29&gt;0,Skemaoplysninger!P29,"")</f>
        <v/>
      </c>
      <c r="B22" s="36" t="str">
        <f>IF(Skemaoplysninger!O29&gt;0,Skemaoplysninger!Q29,"")</f>
        <v/>
      </c>
      <c r="C22" s="28" t="str">
        <f>IF(Skemaoplysninger!O29&gt;0,Skemaoplysninger!S29,"")</f>
        <v/>
      </c>
      <c r="D22" s="28" t="str">
        <f>IF(Skemaoplysninger!O29&gt;0,Skemaoplysninger!U29,"")</f>
        <v/>
      </c>
      <c r="E22" s="28" t="str">
        <f>IF(Skemaoplysninger!O29&gt;0,Skemaoplysninger!W29,"")</f>
        <v/>
      </c>
      <c r="F22" s="28" t="str">
        <f>IF(Skemaoplysninger!O29&gt;0,Skemaoplysninger!Y29,"")</f>
        <v/>
      </c>
      <c r="G22" s="28" t="str">
        <f>IF(Skemaoplysninger!O29&gt;0,Skemaoplysninger!AA29,"")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sheetPr>
  <dimension ref="A1:G22"/>
  <sheetViews>
    <sheetView showZeros="0" workbookViewId="0">
      <selection activeCell="C7" sqref="C7"/>
    </sheetView>
  </sheetViews>
  <sheetFormatPr baseColWidth="10" defaultRowHeight="16"/>
  <cols>
    <col min="3" max="7" width="15.83203125" customWidth="1"/>
  </cols>
  <sheetData>
    <row r="1" spans="1:7" ht="32" customHeight="1">
      <c r="A1" s="1522" t="str">
        <f>Skemaoplysninger!AC5</f>
        <v xml:space="preserve">Skema 3 vedr. </v>
      </c>
      <c r="B1" s="1522"/>
      <c r="C1" s="1522"/>
      <c r="D1" s="1522"/>
      <c r="E1" s="1522"/>
      <c r="F1" s="1522"/>
      <c r="G1" s="1523"/>
    </row>
    <row r="2" spans="1:7" ht="32" customHeight="1">
      <c r="A2" s="1521" t="s">
        <v>219</v>
      </c>
      <c r="B2" s="1521"/>
      <c r="C2" s="1521"/>
      <c r="D2" s="1524">
        <f>Skemaoplysninger!AH7</f>
        <v>0</v>
      </c>
      <c r="E2" s="1524"/>
      <c r="F2" s="1524">
        <f>Skemaoplysninger!AL7</f>
        <v>0</v>
      </c>
      <c r="G2" s="1524"/>
    </row>
    <row r="3" spans="1:7" ht="32" customHeight="1">
      <c r="A3" s="270" t="s">
        <v>64</v>
      </c>
      <c r="B3" s="270" t="s">
        <v>65</v>
      </c>
      <c r="C3" s="271" t="s">
        <v>34</v>
      </c>
      <c r="D3" s="271" t="s">
        <v>35</v>
      </c>
      <c r="E3" s="271" t="s">
        <v>36</v>
      </c>
      <c r="F3" s="271" t="s">
        <v>37</v>
      </c>
      <c r="G3" s="272" t="s">
        <v>38</v>
      </c>
    </row>
    <row r="4" spans="1:7" ht="20" customHeight="1">
      <c r="A4" s="36" t="str">
        <f>IF(Skemaoplysninger!AC11&gt;0,Skemaoplysninger!AD11,"")</f>
        <v/>
      </c>
      <c r="B4" s="36" t="str">
        <f>IF(Skemaoplysninger!AC11&gt;0,Skemaoplysninger!AE11,"")</f>
        <v/>
      </c>
      <c r="C4" s="28" t="str">
        <f>IF(Skemaoplysninger!AC11&gt;0,Skemaoplysninger!AG11,"")</f>
        <v/>
      </c>
      <c r="D4" s="28" t="str">
        <f>IF(Skemaoplysninger!AC11&gt;0,Skemaoplysninger!AI11,"")</f>
        <v/>
      </c>
      <c r="E4" s="28" t="str">
        <f>IF(Skemaoplysninger!AC11&gt;0,Skemaoplysninger!AK11,"")</f>
        <v/>
      </c>
      <c r="F4" s="28" t="str">
        <f>IF(Skemaoplysninger!AC11&gt;0,Skemaoplysninger!AM11,"")</f>
        <v/>
      </c>
      <c r="G4" s="28" t="str">
        <f>IF(Skemaoplysninger!AC11&gt;0,Skemaoplysninger!AO11,"")</f>
        <v/>
      </c>
    </row>
    <row r="5" spans="1:7" ht="20" customHeight="1">
      <c r="A5" s="37" t="str">
        <f>IF(Skemaoplysninger!AC12&gt;0,Skemaoplysninger!AD12,"")</f>
        <v/>
      </c>
      <c r="B5" s="37" t="str">
        <f>IF(Skemaoplysninger!AC12&gt;0,Skemaoplysninger!AE12,"")</f>
        <v/>
      </c>
      <c r="C5" s="273" t="str">
        <f>IF(Skemaoplysninger!AC12&gt;0,Skemaoplysninger!AG12,"")</f>
        <v/>
      </c>
      <c r="D5" s="273" t="str">
        <f>IF(Skemaoplysninger!AC12&gt;0,Skemaoplysninger!AI12,"")</f>
        <v/>
      </c>
      <c r="E5" s="273" t="str">
        <f>IF(Skemaoplysninger!AC12&gt;0,Skemaoplysninger!AK12,"")</f>
        <v/>
      </c>
      <c r="F5" s="273" t="str">
        <f>IF(Skemaoplysninger!AC12&gt;0,Skemaoplysninger!AM12,"")</f>
        <v/>
      </c>
      <c r="G5" s="273" t="str">
        <f>IF(Skemaoplysninger!AC12&gt;0,Skemaoplysninger!AO12,"")</f>
        <v/>
      </c>
    </row>
    <row r="6" spans="1:7" ht="20" customHeight="1">
      <c r="A6" s="36" t="str">
        <f>IF(Skemaoplysninger!AC13&gt;0,Skemaoplysninger!AD13,"")</f>
        <v/>
      </c>
      <c r="B6" s="36" t="str">
        <f>IF(Skemaoplysninger!AC13&gt;0,Skemaoplysninger!AE13,"")</f>
        <v/>
      </c>
      <c r="C6" s="28" t="str">
        <f>IF(Skemaoplysninger!AC13&gt;0,Skemaoplysninger!AG13,"")</f>
        <v/>
      </c>
      <c r="D6" s="28" t="str">
        <f>IF(Skemaoplysninger!AC13&gt;0,Skemaoplysninger!AI13,"")</f>
        <v/>
      </c>
      <c r="E6" s="28" t="str">
        <f>IF(Skemaoplysninger!AC13&gt;0,Skemaoplysninger!AK13,"")</f>
        <v/>
      </c>
      <c r="F6" s="28" t="str">
        <f>IF(Skemaoplysninger!AC13&gt;0,Skemaoplysninger!AM13,"")</f>
        <v/>
      </c>
      <c r="G6" s="28" t="str">
        <f>IF(Skemaoplysninger!AC13&gt;0,Skemaoplysninger!AO13,"")</f>
        <v/>
      </c>
    </row>
    <row r="7" spans="1:7" ht="20" customHeight="1">
      <c r="A7" s="37" t="str">
        <f>IF(Skemaoplysninger!AC14&gt;0,Skemaoplysninger!AD14,"")</f>
        <v/>
      </c>
      <c r="B7" s="37" t="str">
        <f>IF(Skemaoplysninger!AC14&gt;0,Skemaoplysninger!AE14,"")</f>
        <v/>
      </c>
      <c r="C7" s="273" t="str">
        <f>IF(Skemaoplysninger!AC14&gt;0,Skemaoplysninger!AG14,"")</f>
        <v/>
      </c>
      <c r="D7" s="273" t="str">
        <f>IF(Skemaoplysninger!AC14&gt;0,Skemaoplysninger!AI14,"")</f>
        <v/>
      </c>
      <c r="E7" s="273" t="str">
        <f>IF(Skemaoplysninger!AC14&gt;0,Skemaoplysninger!AK14,"")</f>
        <v/>
      </c>
      <c r="F7" s="273" t="str">
        <f>IF(Skemaoplysninger!AC14&gt;0,Skemaoplysninger!AM14,"")</f>
        <v/>
      </c>
      <c r="G7" s="273" t="str">
        <f>IF(Skemaoplysninger!AC14&gt;0,Skemaoplysninger!AO14,"")</f>
        <v/>
      </c>
    </row>
    <row r="8" spans="1:7" ht="20" customHeight="1">
      <c r="A8" s="36" t="str">
        <f>IF(Skemaoplysninger!AC15&gt;0,Skemaoplysninger!AD15,"")</f>
        <v/>
      </c>
      <c r="B8" s="36" t="str">
        <f>IF(Skemaoplysninger!AC15&gt;0,Skemaoplysninger!AE15,"")</f>
        <v/>
      </c>
      <c r="C8" s="28" t="str">
        <f>IF(Skemaoplysninger!AC15&gt;0,Skemaoplysninger!AG15,"")</f>
        <v/>
      </c>
      <c r="D8" s="28" t="str">
        <f>IF(Skemaoplysninger!AC15&gt;0,Skemaoplysninger!AI15,"")</f>
        <v/>
      </c>
      <c r="E8" s="28" t="str">
        <f>IF(Skemaoplysninger!AC15&gt;0,Skemaoplysninger!AK15,"")</f>
        <v/>
      </c>
      <c r="F8" s="28" t="str">
        <f>IF(Skemaoplysninger!AC15&gt;0,Skemaoplysninger!AM15,"")</f>
        <v/>
      </c>
      <c r="G8" s="28" t="str">
        <f>IF(Skemaoplysninger!AC15&gt;0,Skemaoplysninger!AO15,"")</f>
        <v/>
      </c>
    </row>
    <row r="9" spans="1:7" ht="20" customHeight="1">
      <c r="A9" s="37" t="str">
        <f>IF(Skemaoplysninger!AC16&gt;0,Skemaoplysninger!AD16,"")</f>
        <v/>
      </c>
      <c r="B9" s="37" t="str">
        <f>IF(Skemaoplysninger!AC16&gt;0,Skemaoplysninger!AE16,"")</f>
        <v/>
      </c>
      <c r="C9" s="273" t="str">
        <f>IF(Skemaoplysninger!AC16&gt;0,Skemaoplysninger!AG16,"")</f>
        <v/>
      </c>
      <c r="D9" s="273" t="str">
        <f>IF(Skemaoplysninger!AC16&gt;0,Skemaoplysninger!AI16,"")</f>
        <v/>
      </c>
      <c r="E9" s="273" t="str">
        <f>IF(Skemaoplysninger!AC16&gt;0,Skemaoplysninger!AK16,"")</f>
        <v/>
      </c>
      <c r="F9" s="273" t="str">
        <f>IF(Skemaoplysninger!AC16&gt;0,Skemaoplysninger!AM16,"")</f>
        <v/>
      </c>
      <c r="G9" s="273" t="str">
        <f>IF(Skemaoplysninger!AC16&gt;0,Skemaoplysninger!AO16,"")</f>
        <v/>
      </c>
    </row>
    <row r="10" spans="1:7" ht="20" customHeight="1">
      <c r="A10" s="36" t="str">
        <f>IF(Skemaoplysninger!AC17&gt;0,Skemaoplysninger!AD17,"")</f>
        <v/>
      </c>
      <c r="B10" s="36" t="str">
        <f>IF(Skemaoplysninger!AC17&gt;0,Skemaoplysninger!AE17,"")</f>
        <v/>
      </c>
      <c r="C10" s="28" t="str">
        <f>IF(Skemaoplysninger!AC17&gt;0,Skemaoplysninger!AG17,"")</f>
        <v/>
      </c>
      <c r="D10" s="28" t="str">
        <f>IF(Skemaoplysninger!AC17&gt;0,Skemaoplysninger!AI17,"")</f>
        <v/>
      </c>
      <c r="E10" s="28" t="str">
        <f>IF(Skemaoplysninger!AC17&gt;0,Skemaoplysninger!AK17,"")</f>
        <v/>
      </c>
      <c r="F10" s="28" t="str">
        <f>IF(Skemaoplysninger!AC17&gt;0,Skemaoplysninger!AM17,"")</f>
        <v/>
      </c>
      <c r="G10" s="28" t="str">
        <f>IF(Skemaoplysninger!AC17&gt;0,Skemaoplysninger!AO17,"")</f>
        <v/>
      </c>
    </row>
    <row r="11" spans="1:7" ht="20" customHeight="1">
      <c r="A11" s="37" t="str">
        <f>IF(Skemaoplysninger!AC18&gt;0,Skemaoplysninger!AD18,"")</f>
        <v/>
      </c>
      <c r="B11" s="37" t="str">
        <f>IF(Skemaoplysninger!AC18&gt;0,Skemaoplysninger!AE18,"")</f>
        <v/>
      </c>
      <c r="C11" s="273" t="str">
        <f>IF(Skemaoplysninger!AC18&gt;0,Skemaoplysninger!AG18,"")</f>
        <v/>
      </c>
      <c r="D11" s="273" t="str">
        <f>IF(Skemaoplysninger!AC18&gt;0,Skemaoplysninger!AI18,"")</f>
        <v/>
      </c>
      <c r="E11" s="273" t="str">
        <f>IF(Skemaoplysninger!AC18&gt;0,Skemaoplysninger!AK18,"")</f>
        <v/>
      </c>
      <c r="F11" s="273" t="str">
        <f>IF(Skemaoplysninger!AC18&gt;0,Skemaoplysninger!AM18,"")</f>
        <v/>
      </c>
      <c r="G11" s="273" t="str">
        <f>IF(Skemaoplysninger!AC18&gt;0,Skemaoplysninger!AO18,"")</f>
        <v/>
      </c>
    </row>
    <row r="12" spans="1:7" ht="20" customHeight="1">
      <c r="A12" s="36" t="str">
        <f>IF(Skemaoplysninger!AC19&gt;0,Skemaoplysninger!AD19,"")</f>
        <v/>
      </c>
      <c r="B12" s="36" t="str">
        <f>IF(Skemaoplysninger!AC19&gt;0,Skemaoplysninger!AE19,"")</f>
        <v/>
      </c>
      <c r="C12" s="28" t="str">
        <f>IF(Skemaoplysninger!AC19&gt;0,Skemaoplysninger!AG19,"")</f>
        <v/>
      </c>
      <c r="D12" s="28" t="str">
        <f>IF(Skemaoplysninger!AC19&gt;0,Skemaoplysninger!AI19,"")</f>
        <v/>
      </c>
      <c r="E12" s="28" t="str">
        <f>IF(Skemaoplysninger!AC19&gt;0,Skemaoplysninger!AK19,"")</f>
        <v/>
      </c>
      <c r="F12" s="28" t="str">
        <f>IF(Skemaoplysninger!AC19&gt;0,Skemaoplysninger!AM19,"")</f>
        <v/>
      </c>
      <c r="G12" s="28" t="str">
        <f>IF(Skemaoplysninger!AC19&gt;0,Skemaoplysninger!AO19,"")</f>
        <v/>
      </c>
    </row>
    <row r="13" spans="1:7" ht="20" customHeight="1">
      <c r="A13" s="37" t="str">
        <f>IF(Skemaoplysninger!AC20&gt;0,Skemaoplysninger!AD20,"")</f>
        <v/>
      </c>
      <c r="B13" s="37" t="str">
        <f>IF(Skemaoplysninger!AC20&gt;0,Skemaoplysninger!AE20,"")</f>
        <v/>
      </c>
      <c r="C13" s="273" t="str">
        <f>IF(Skemaoplysninger!AC20&gt;0,Skemaoplysninger!AG20,"")</f>
        <v/>
      </c>
      <c r="D13" s="273" t="str">
        <f>IF(Skemaoplysninger!AC20&gt;0,Skemaoplysninger!AI20,"")</f>
        <v/>
      </c>
      <c r="E13" s="273" t="str">
        <f>IF(Skemaoplysninger!AC20&gt;0,Skemaoplysninger!AK20,"")</f>
        <v/>
      </c>
      <c r="F13" s="273" t="str">
        <f>IF(Skemaoplysninger!AC20&gt;0,Skemaoplysninger!AM20,"")</f>
        <v/>
      </c>
      <c r="G13" s="273" t="str">
        <f>IF(Skemaoplysninger!AC20&gt;0,Skemaoplysninger!AO20,"")</f>
        <v/>
      </c>
    </row>
    <row r="14" spans="1:7" ht="20" customHeight="1">
      <c r="A14" s="36" t="str">
        <f>IF(Skemaoplysninger!AC21&gt;0,Skemaoplysninger!AD21,"")</f>
        <v/>
      </c>
      <c r="B14" s="36" t="str">
        <f>IF(Skemaoplysninger!AC21&gt;0,Skemaoplysninger!AE21,"")</f>
        <v/>
      </c>
      <c r="C14" s="28" t="str">
        <f>IF(Skemaoplysninger!AC21&gt;0,Skemaoplysninger!AG21,"")</f>
        <v/>
      </c>
      <c r="D14" s="28" t="str">
        <f>IF(Skemaoplysninger!AC21&gt;0,Skemaoplysninger!AI21,"")</f>
        <v/>
      </c>
      <c r="E14" s="28" t="str">
        <f>IF(Skemaoplysninger!AC21&gt;0,Skemaoplysninger!AK21,"")</f>
        <v/>
      </c>
      <c r="F14" s="28" t="str">
        <f>IF(Skemaoplysninger!AC21&gt;0,Skemaoplysninger!AM21,"")</f>
        <v/>
      </c>
      <c r="G14" s="28" t="str">
        <f>IF(Skemaoplysninger!AC21&gt;0,Skemaoplysninger!AO21,"")</f>
        <v/>
      </c>
    </row>
    <row r="15" spans="1:7" ht="20" customHeight="1">
      <c r="A15" s="37" t="str">
        <f>IF(Skemaoplysninger!AC22&gt;0,Skemaoplysninger!AD22,"")</f>
        <v/>
      </c>
      <c r="B15" s="37" t="str">
        <f>IF(Skemaoplysninger!AC22&gt;0,Skemaoplysninger!AE22,"")</f>
        <v/>
      </c>
      <c r="C15" s="273" t="str">
        <f>IF(Skemaoplysninger!AC22&gt;0,Skemaoplysninger!AG22,"")</f>
        <v/>
      </c>
      <c r="D15" s="273" t="str">
        <f>IF(Skemaoplysninger!AC22&gt;0,Skemaoplysninger!AI22,"")</f>
        <v/>
      </c>
      <c r="E15" s="273" t="str">
        <f>IF(Skemaoplysninger!AC22&gt;0,Skemaoplysninger!AK22,"")</f>
        <v/>
      </c>
      <c r="F15" s="273" t="str">
        <f>IF(Skemaoplysninger!AC22&gt;0,Skemaoplysninger!AM22,"")</f>
        <v/>
      </c>
      <c r="G15" s="273" t="str">
        <f>IF(Skemaoplysninger!AC22&gt;0,Skemaoplysninger!AO22,"")</f>
        <v/>
      </c>
    </row>
    <row r="16" spans="1:7" ht="20" customHeight="1">
      <c r="A16" s="36" t="str">
        <f>IF(Skemaoplysninger!AC23&gt;0,Skemaoplysninger!AD23,"")</f>
        <v/>
      </c>
      <c r="B16" s="36" t="str">
        <f>IF(Skemaoplysninger!AC23&gt;0,Skemaoplysninger!AE23,"")</f>
        <v/>
      </c>
      <c r="C16" s="28" t="str">
        <f>IF(Skemaoplysninger!AC23&gt;0,Skemaoplysninger!AG23,"")</f>
        <v/>
      </c>
      <c r="D16" s="28" t="str">
        <f>IF(Skemaoplysninger!AC23&gt;0,Skemaoplysninger!AI23,"")</f>
        <v/>
      </c>
      <c r="E16" s="28" t="str">
        <f>IF(Skemaoplysninger!AC23&gt;0,Skemaoplysninger!AK23,"")</f>
        <v/>
      </c>
      <c r="F16" s="28" t="str">
        <f>IF(Skemaoplysninger!AC23&gt;0,Skemaoplysninger!AM23,"")</f>
        <v/>
      </c>
      <c r="G16" s="28" t="str">
        <f>IF(Skemaoplysninger!AC23&gt;0,Skemaoplysninger!AO23,"")</f>
        <v/>
      </c>
    </row>
    <row r="17" spans="1:7" ht="20" customHeight="1">
      <c r="A17" s="37" t="str">
        <f>IF(Skemaoplysninger!AC24&gt;0,Skemaoplysninger!AD24,"")</f>
        <v/>
      </c>
      <c r="B17" s="37" t="str">
        <f>IF(Skemaoplysninger!AC24&gt;0,Skemaoplysninger!AE24,"")</f>
        <v/>
      </c>
      <c r="C17" s="273" t="str">
        <f>IF(Skemaoplysninger!AC24&gt;0,Skemaoplysninger!AG24,"")</f>
        <v/>
      </c>
      <c r="D17" s="273" t="str">
        <f>IF(Skemaoplysninger!AC24&gt;0,Skemaoplysninger!AI24,"")</f>
        <v/>
      </c>
      <c r="E17" s="273" t="str">
        <f>IF(Skemaoplysninger!AC24&gt;0,Skemaoplysninger!AK24,"")</f>
        <v/>
      </c>
      <c r="F17" s="273" t="str">
        <f>IF(Skemaoplysninger!AC24&gt;0,Skemaoplysninger!AM24,"")</f>
        <v/>
      </c>
      <c r="G17" s="273" t="str">
        <f>IF(Skemaoplysninger!AC24&gt;0,Skemaoplysninger!AO24,"")</f>
        <v/>
      </c>
    </row>
    <row r="18" spans="1:7" ht="20" customHeight="1">
      <c r="A18" s="36" t="str">
        <f>IF(Skemaoplysninger!AC25&gt;0,Skemaoplysninger!AD25,"")</f>
        <v/>
      </c>
      <c r="B18" s="36" t="str">
        <f>IF(Skemaoplysninger!AC25&gt;0,Skemaoplysninger!AE25,"")</f>
        <v/>
      </c>
      <c r="C18" s="28" t="str">
        <f>IF(Skemaoplysninger!AC25&gt;0,Skemaoplysninger!AG25,"")</f>
        <v/>
      </c>
      <c r="D18" s="28" t="str">
        <f>IF(Skemaoplysninger!AC25&gt;0,Skemaoplysninger!AI25,"")</f>
        <v/>
      </c>
      <c r="E18" s="28" t="str">
        <f>IF(Skemaoplysninger!AC25&gt;0,Skemaoplysninger!AK25,"")</f>
        <v/>
      </c>
      <c r="F18" s="28" t="str">
        <f>IF(Skemaoplysninger!AC25&gt;0,Skemaoplysninger!AM25,"")</f>
        <v/>
      </c>
      <c r="G18" s="28" t="str">
        <f>IF(Skemaoplysninger!AC25&gt;0,Skemaoplysninger!AO25,"")</f>
        <v/>
      </c>
    </row>
    <row r="19" spans="1:7" ht="20" customHeight="1">
      <c r="A19" s="37" t="str">
        <f>IF(Skemaoplysninger!AC26&gt;0,Skemaoplysninger!AD26,"")</f>
        <v/>
      </c>
      <c r="B19" s="37" t="str">
        <f>IF(Skemaoplysninger!AC26&gt;0,Skemaoplysninger!AE26,"")</f>
        <v/>
      </c>
      <c r="C19" s="273" t="str">
        <f>IF(Skemaoplysninger!AC26&gt;0,Skemaoplysninger!AG26,"")</f>
        <v/>
      </c>
      <c r="D19" s="273" t="str">
        <f>IF(Skemaoplysninger!AC26&gt;0,Skemaoplysninger!AI26,"")</f>
        <v/>
      </c>
      <c r="E19" s="273" t="str">
        <f>IF(Skemaoplysninger!AC26&gt;0,Skemaoplysninger!AK26,"")</f>
        <v/>
      </c>
      <c r="F19" s="273" t="str">
        <f>IF(Skemaoplysninger!AC26&gt;0,Skemaoplysninger!AM26,"")</f>
        <v/>
      </c>
      <c r="G19" s="273" t="str">
        <f>IF(Skemaoplysninger!AC26&gt;0,Skemaoplysninger!AO26,"")</f>
        <v/>
      </c>
    </row>
    <row r="20" spans="1:7" ht="20" customHeight="1">
      <c r="A20" s="36" t="str">
        <f>IF(Skemaoplysninger!AC27&gt;0,Skemaoplysninger!AD27,"")</f>
        <v/>
      </c>
      <c r="B20" s="36" t="str">
        <f>IF(Skemaoplysninger!AC27&gt;0,Skemaoplysninger!AE27,"")</f>
        <v/>
      </c>
      <c r="C20" s="28" t="str">
        <f>IF(Skemaoplysninger!AC27&gt;0,Skemaoplysninger!AG27,"")</f>
        <v/>
      </c>
      <c r="D20" s="28" t="str">
        <f>IF(Skemaoplysninger!AC27&gt;0,Skemaoplysninger!AI27,"")</f>
        <v/>
      </c>
      <c r="E20" s="28" t="str">
        <f>IF(Skemaoplysninger!AC27&gt;0,Skemaoplysninger!AK27,"")</f>
        <v/>
      </c>
      <c r="F20" s="28" t="str">
        <f>IF(Skemaoplysninger!AC27&gt;0,Skemaoplysninger!AM27,"")</f>
        <v/>
      </c>
      <c r="G20" s="28" t="str">
        <f>IF(Skemaoplysninger!AC27&gt;0,Skemaoplysninger!AO27,"")</f>
        <v/>
      </c>
    </row>
    <row r="21" spans="1:7" ht="20" customHeight="1">
      <c r="A21" s="37" t="str">
        <f>IF(Skemaoplysninger!AC28&gt;0,Skemaoplysninger!AD28,"")</f>
        <v/>
      </c>
      <c r="B21" s="37" t="str">
        <f>IF(Skemaoplysninger!AC28&gt;0,Skemaoplysninger!AE28,"")</f>
        <v/>
      </c>
      <c r="C21" s="273" t="str">
        <f>IF(Skemaoplysninger!AC28&gt;0,Skemaoplysninger!AG28,"")</f>
        <v/>
      </c>
      <c r="D21" s="273" t="str">
        <f>IF(Skemaoplysninger!AC28&gt;0,Skemaoplysninger!AI28,"")</f>
        <v/>
      </c>
      <c r="E21" s="273" t="str">
        <f>IF(Skemaoplysninger!AC28&gt;0,Skemaoplysninger!AK28,"")</f>
        <v/>
      </c>
      <c r="F21" s="273" t="str">
        <f>IF(Skemaoplysninger!AC28&gt;0,Skemaoplysninger!AM28,"")</f>
        <v/>
      </c>
      <c r="G21" s="273" t="str">
        <f>IF(Skemaoplysninger!AC28&gt;0,Skemaoplysninger!AO28,"")</f>
        <v/>
      </c>
    </row>
    <row r="22" spans="1:7" ht="20" customHeight="1">
      <c r="A22" s="36" t="str">
        <f>IF(Skemaoplysninger!AC29&gt;0,Skemaoplysninger!AD29,"")</f>
        <v/>
      </c>
      <c r="B22" s="36" t="str">
        <f>IF(Skemaoplysninger!AC29&gt;0,Skemaoplysninger!AE29,"")</f>
        <v/>
      </c>
      <c r="C22" s="28" t="str">
        <f>IF(Skemaoplysninger!AC29&gt;0,Skemaoplysninger!AG29,"")</f>
        <v/>
      </c>
      <c r="D22" s="28" t="str">
        <f>IF(Skemaoplysninger!AC29&gt;0,Skemaoplysninger!AI29,"")</f>
        <v/>
      </c>
      <c r="E22" s="28" t="str">
        <f>IF(Skemaoplysninger!AC29&gt;0,Skemaoplysninger!AK29,"")</f>
        <v/>
      </c>
      <c r="F22" s="28" t="str">
        <f>IF(Skemaoplysninger!AC29&gt;0,Skemaoplysninger!AM29,"")</f>
        <v/>
      </c>
      <c r="G22" s="28" t="str">
        <f>IF(Skemaoplysninger!AC29&gt;0,Skemaoplysninger!AO29,"")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sheetPr>
  <dimension ref="A1:G22"/>
  <sheetViews>
    <sheetView showZeros="0" workbookViewId="0">
      <selection activeCell="F2" sqref="F2:G2"/>
    </sheetView>
  </sheetViews>
  <sheetFormatPr baseColWidth="10" defaultRowHeight="16"/>
  <cols>
    <col min="3" max="7" width="15.83203125" customWidth="1"/>
  </cols>
  <sheetData>
    <row r="1" spans="1:7" ht="32" customHeight="1">
      <c r="A1" s="1522" t="str">
        <f>Skemaoplysninger!AQ5</f>
        <v xml:space="preserve">Skema 4 vedr. </v>
      </c>
      <c r="B1" s="1522"/>
      <c r="C1" s="1522"/>
      <c r="D1" s="1522"/>
      <c r="E1" s="1522"/>
      <c r="F1" s="1522"/>
      <c r="G1" s="1523"/>
    </row>
    <row r="2" spans="1:7" ht="32" customHeight="1">
      <c r="A2" s="1521" t="s">
        <v>219</v>
      </c>
      <c r="B2" s="1521"/>
      <c r="C2" s="1521"/>
      <c r="D2" s="1524">
        <f>Skemaoplysninger!AV7</f>
        <v>0</v>
      </c>
      <c r="E2" s="1524"/>
      <c r="F2" s="1524">
        <f>Skemaoplysninger!AZ7</f>
        <v>0</v>
      </c>
      <c r="G2" s="1524"/>
    </row>
    <row r="3" spans="1:7" ht="32" customHeight="1">
      <c r="A3" s="270" t="s">
        <v>64</v>
      </c>
      <c r="B3" s="270" t="s">
        <v>65</v>
      </c>
      <c r="C3" s="271" t="s">
        <v>34</v>
      </c>
      <c r="D3" s="271" t="s">
        <v>35</v>
      </c>
      <c r="E3" s="271" t="s">
        <v>36</v>
      </c>
      <c r="F3" s="271" t="s">
        <v>37</v>
      </c>
      <c r="G3" s="272" t="s">
        <v>38</v>
      </c>
    </row>
    <row r="4" spans="1:7" ht="20" customHeight="1">
      <c r="A4" s="36" t="str">
        <f>IF(Skemaoplysninger!AQ11&gt;0,Skemaoplysninger!AR11,"")</f>
        <v/>
      </c>
      <c r="B4" s="36" t="str">
        <f>IF(Skemaoplysninger!AQ11&gt;0,Skemaoplysninger!AS11,"")</f>
        <v/>
      </c>
      <c r="C4" s="28" t="str">
        <f>IF(Skemaoplysninger!AQ11&gt;0,Skemaoplysninger!AU11,"")</f>
        <v/>
      </c>
      <c r="D4" s="28" t="str">
        <f>IF(Skemaoplysninger!AQ11&gt;0,Skemaoplysninger!AW11,"")</f>
        <v/>
      </c>
      <c r="E4" s="28" t="str">
        <f>IF(Skemaoplysninger!AQ11&gt;0,Skemaoplysninger!AY11,"")</f>
        <v/>
      </c>
      <c r="F4" s="28" t="str">
        <f>IF(Skemaoplysninger!AQ11&gt;0,Skemaoplysninger!BA11,"")</f>
        <v/>
      </c>
      <c r="G4" s="28" t="str">
        <f>IF(Skemaoplysninger!AQ11&gt;0,Skemaoplysninger!BC11,"")</f>
        <v/>
      </c>
    </row>
    <row r="5" spans="1:7" ht="20" customHeight="1">
      <c r="A5" s="37" t="str">
        <f>IF(Skemaoplysninger!AQ12&gt;0,Skemaoplysninger!AR12,"")</f>
        <v/>
      </c>
      <c r="B5" s="37" t="str">
        <f>IF(Skemaoplysninger!AQ12&gt;0,Skemaoplysninger!AS12,"")</f>
        <v/>
      </c>
      <c r="C5" s="273" t="str">
        <f>IF(Skemaoplysninger!AQ12&gt;0,Skemaoplysninger!AU12,"")</f>
        <v/>
      </c>
      <c r="D5" s="273" t="str">
        <f>IF(Skemaoplysninger!AQ12&gt;0,Skemaoplysninger!AW12,"")</f>
        <v/>
      </c>
      <c r="E5" s="273" t="str">
        <f>IF(Skemaoplysninger!AQ12&gt;0,Skemaoplysninger!AY12,"")</f>
        <v/>
      </c>
      <c r="F5" s="273" t="str">
        <f>IF(Skemaoplysninger!AQ12&gt;0,Skemaoplysninger!BA12,"")</f>
        <v/>
      </c>
      <c r="G5" s="273" t="str">
        <f>IF(Skemaoplysninger!AQ12&gt;0,Skemaoplysninger!BC12,"")</f>
        <v/>
      </c>
    </row>
    <row r="6" spans="1:7" ht="20" customHeight="1">
      <c r="A6" s="36" t="str">
        <f>IF(Skemaoplysninger!AQ13&gt;0,Skemaoplysninger!AR13,"")</f>
        <v/>
      </c>
      <c r="B6" s="36" t="str">
        <f>IF(Skemaoplysninger!AQ13&gt;0,Skemaoplysninger!AS13,"")</f>
        <v/>
      </c>
      <c r="C6" s="28" t="str">
        <f>IF(Skemaoplysninger!AQ13&gt;0,Skemaoplysninger!AU13,"")</f>
        <v/>
      </c>
      <c r="D6" s="28" t="str">
        <f>IF(Skemaoplysninger!AQ13&gt;0,Skemaoplysninger!AW13,"")</f>
        <v/>
      </c>
      <c r="E6" s="28" t="str">
        <f>IF(Skemaoplysninger!AQ13&gt;0,Skemaoplysninger!AY13,"")</f>
        <v/>
      </c>
      <c r="F6" s="28" t="str">
        <f>IF(Skemaoplysninger!AQ13&gt;0,Skemaoplysninger!BA13,"")</f>
        <v/>
      </c>
      <c r="G6" s="28" t="str">
        <f>IF(Skemaoplysninger!AQ13&gt;0,Skemaoplysninger!BC13,"")</f>
        <v/>
      </c>
    </row>
    <row r="7" spans="1:7" ht="20" customHeight="1">
      <c r="A7" s="37" t="str">
        <f>IF(Skemaoplysninger!AQ14&gt;0,Skemaoplysninger!AR14,"")</f>
        <v/>
      </c>
      <c r="B7" s="37" t="str">
        <f>IF(Skemaoplysninger!AQ14&gt;0,Skemaoplysninger!AS14,"")</f>
        <v/>
      </c>
      <c r="C7" s="273" t="str">
        <f>IF(Skemaoplysninger!AQ14&gt;0,Skemaoplysninger!AU14,"")</f>
        <v/>
      </c>
      <c r="D7" s="273" t="str">
        <f>IF(Skemaoplysninger!AQ14&gt;0,Skemaoplysninger!AW14,"")</f>
        <v/>
      </c>
      <c r="E7" s="273" t="str">
        <f>IF(Skemaoplysninger!AQ14&gt;0,Skemaoplysninger!AY14,"")</f>
        <v/>
      </c>
      <c r="F7" s="273" t="str">
        <f>IF(Skemaoplysninger!AQ14&gt;0,Skemaoplysninger!BA14,"")</f>
        <v/>
      </c>
      <c r="G7" s="273" t="str">
        <f>IF(Skemaoplysninger!AQ14&gt;0,Skemaoplysninger!BC14,"")</f>
        <v/>
      </c>
    </row>
    <row r="8" spans="1:7" ht="20" customHeight="1">
      <c r="A8" s="36" t="str">
        <f>IF(Skemaoplysninger!AQ15&gt;0,Skemaoplysninger!AR15,"")</f>
        <v/>
      </c>
      <c r="B8" s="36" t="str">
        <f>IF(Skemaoplysninger!AQ15&gt;0,Skemaoplysninger!AS15,"")</f>
        <v/>
      </c>
      <c r="C8" s="28" t="str">
        <f>IF(Skemaoplysninger!AQ15&gt;0,Skemaoplysninger!AU15,"")</f>
        <v/>
      </c>
      <c r="D8" s="28" t="str">
        <f>IF(Skemaoplysninger!AQ15&gt;0,Skemaoplysninger!AW15,"")</f>
        <v/>
      </c>
      <c r="E8" s="28" t="str">
        <f>IF(Skemaoplysninger!AQ15&gt;0,Skemaoplysninger!AY15,"")</f>
        <v/>
      </c>
      <c r="F8" s="28" t="str">
        <f>IF(Skemaoplysninger!AQ15&gt;0,Skemaoplysninger!BA15,"")</f>
        <v/>
      </c>
      <c r="G8" s="28" t="str">
        <f>IF(Skemaoplysninger!AQ15&gt;0,Skemaoplysninger!BC15,"")</f>
        <v/>
      </c>
    </row>
    <row r="9" spans="1:7" ht="20" customHeight="1">
      <c r="A9" s="37" t="str">
        <f>IF(Skemaoplysninger!AQ16&gt;0,Skemaoplysninger!AR16,"")</f>
        <v/>
      </c>
      <c r="B9" s="37" t="str">
        <f>IF(Skemaoplysninger!AQ16&gt;0,Skemaoplysninger!AS16,"")</f>
        <v/>
      </c>
      <c r="C9" s="273" t="str">
        <f>IF(Skemaoplysninger!AQ16&gt;0,Skemaoplysninger!AU16,"")</f>
        <v/>
      </c>
      <c r="D9" s="273" t="str">
        <f>IF(Skemaoplysninger!AQ16&gt;0,Skemaoplysninger!AW16,"")</f>
        <v/>
      </c>
      <c r="E9" s="273" t="str">
        <f>IF(Skemaoplysninger!AQ16&gt;0,Skemaoplysninger!AY16,"")</f>
        <v/>
      </c>
      <c r="F9" s="273" t="str">
        <f>IF(Skemaoplysninger!AQ16&gt;0,Skemaoplysninger!BA16,"")</f>
        <v/>
      </c>
      <c r="G9" s="273" t="str">
        <f>IF(Skemaoplysninger!AQ16&gt;0,Skemaoplysninger!BC16,"")</f>
        <v/>
      </c>
    </row>
    <row r="10" spans="1:7" ht="20" customHeight="1">
      <c r="A10" s="36" t="str">
        <f>IF(Skemaoplysninger!AQ17&gt;0,Skemaoplysninger!AR17,"")</f>
        <v/>
      </c>
      <c r="B10" s="36" t="str">
        <f>IF(Skemaoplysninger!AQ17&gt;0,Skemaoplysninger!AS17,"")</f>
        <v/>
      </c>
      <c r="C10" s="28" t="str">
        <f>IF(Skemaoplysninger!AQ17&gt;0,Skemaoplysninger!AU17,"")</f>
        <v/>
      </c>
      <c r="D10" s="28" t="str">
        <f>IF(Skemaoplysninger!AQ17&gt;0,Skemaoplysninger!AW17,"")</f>
        <v/>
      </c>
      <c r="E10" s="28" t="str">
        <f>IF(Skemaoplysninger!AQ17&gt;0,Skemaoplysninger!AY17,"")</f>
        <v/>
      </c>
      <c r="F10" s="28" t="str">
        <f>IF(Skemaoplysninger!AQ17&gt;0,Skemaoplysninger!BA17,"")</f>
        <v/>
      </c>
      <c r="G10" s="28" t="str">
        <f>IF(Skemaoplysninger!AQ17&gt;0,Skemaoplysninger!BC17,"")</f>
        <v/>
      </c>
    </row>
    <row r="11" spans="1:7" ht="20" customHeight="1">
      <c r="A11" s="37" t="str">
        <f>IF(Skemaoplysninger!AQ18&gt;0,Skemaoplysninger!AR18,"")</f>
        <v/>
      </c>
      <c r="B11" s="37" t="str">
        <f>IF(Skemaoplysninger!AQ18&gt;0,Skemaoplysninger!AS18,"")</f>
        <v/>
      </c>
      <c r="C11" s="273" t="str">
        <f>IF(Skemaoplysninger!AQ18&gt;0,Skemaoplysninger!AU18,"")</f>
        <v/>
      </c>
      <c r="D11" s="273" t="str">
        <f>IF(Skemaoplysninger!AQ18&gt;0,Skemaoplysninger!AW18,"")</f>
        <v/>
      </c>
      <c r="E11" s="273" t="str">
        <f>IF(Skemaoplysninger!AQ18&gt;0,Skemaoplysninger!AY18,"")</f>
        <v/>
      </c>
      <c r="F11" s="273" t="str">
        <f>IF(Skemaoplysninger!AQ18&gt;0,Skemaoplysninger!BA18,"")</f>
        <v/>
      </c>
      <c r="G11" s="273" t="str">
        <f>IF(Skemaoplysninger!AQ18&gt;0,Skemaoplysninger!BC18,"")</f>
        <v/>
      </c>
    </row>
    <row r="12" spans="1:7" ht="20" customHeight="1">
      <c r="A12" s="36" t="str">
        <f>IF(Skemaoplysninger!AQ19&gt;0,Skemaoplysninger!AR19,"")</f>
        <v/>
      </c>
      <c r="B12" s="36" t="str">
        <f>IF(Skemaoplysninger!AQ19&gt;0,Skemaoplysninger!AS19,"")</f>
        <v/>
      </c>
      <c r="C12" s="28" t="str">
        <f>IF(Skemaoplysninger!AQ19&gt;0,Skemaoplysninger!AU19,"")</f>
        <v/>
      </c>
      <c r="D12" s="28" t="str">
        <f>IF(Skemaoplysninger!AQ19&gt;0,Skemaoplysninger!AW19,"")</f>
        <v/>
      </c>
      <c r="E12" s="28" t="str">
        <f>IF(Skemaoplysninger!AQ19&gt;0,Skemaoplysninger!AY19,"")</f>
        <v/>
      </c>
      <c r="F12" s="28" t="str">
        <f>IF(Skemaoplysninger!AQ19&gt;0,Skemaoplysninger!BA19,"")</f>
        <v/>
      </c>
      <c r="G12" s="28" t="str">
        <f>IF(Skemaoplysninger!AQ19&gt;0,Skemaoplysninger!BC19,"")</f>
        <v/>
      </c>
    </row>
    <row r="13" spans="1:7" ht="20" customHeight="1">
      <c r="A13" s="37" t="str">
        <f>IF(Skemaoplysninger!AQ20&gt;0,Skemaoplysninger!AR20,"")</f>
        <v/>
      </c>
      <c r="B13" s="37" t="str">
        <f>IF(Skemaoplysninger!AQ20&gt;0,Skemaoplysninger!AS20,"")</f>
        <v/>
      </c>
      <c r="C13" s="273" t="str">
        <f>IF(Skemaoplysninger!AQ20&gt;0,Skemaoplysninger!AU20,"")</f>
        <v/>
      </c>
      <c r="D13" s="273" t="str">
        <f>IF(Skemaoplysninger!AQ20&gt;0,Skemaoplysninger!AW20,"")</f>
        <v/>
      </c>
      <c r="E13" s="273" t="str">
        <f>IF(Skemaoplysninger!AQ20&gt;0,Skemaoplysninger!AY20,"")</f>
        <v/>
      </c>
      <c r="F13" s="273" t="str">
        <f>IF(Skemaoplysninger!AQ20&gt;0,Skemaoplysninger!BA20,"")</f>
        <v/>
      </c>
      <c r="G13" s="273" t="str">
        <f>IF(Skemaoplysninger!AQ20&gt;0,Skemaoplysninger!BC20,"")</f>
        <v/>
      </c>
    </row>
    <row r="14" spans="1:7" ht="20" customHeight="1">
      <c r="A14" s="36" t="str">
        <f>IF(Skemaoplysninger!AQ21&gt;0,Skemaoplysninger!AR21,"")</f>
        <v/>
      </c>
      <c r="B14" s="36" t="str">
        <f>IF(Skemaoplysninger!AQ21&gt;0,Skemaoplysninger!AS21,"")</f>
        <v/>
      </c>
      <c r="C14" s="28" t="str">
        <f>IF(Skemaoplysninger!AQ21&gt;0,Skemaoplysninger!AU21,"")</f>
        <v/>
      </c>
      <c r="D14" s="28" t="str">
        <f>IF(Skemaoplysninger!AQ21&gt;0,Skemaoplysninger!AW21,"")</f>
        <v/>
      </c>
      <c r="E14" s="28" t="str">
        <f>IF(Skemaoplysninger!AQ21&gt;0,Skemaoplysninger!AY21,"")</f>
        <v/>
      </c>
      <c r="F14" s="28" t="str">
        <f>IF(Skemaoplysninger!AQ21&gt;0,Skemaoplysninger!BA21,"")</f>
        <v/>
      </c>
      <c r="G14" s="28" t="str">
        <f>IF(Skemaoplysninger!AQ21&gt;0,Skemaoplysninger!BC21,"")</f>
        <v/>
      </c>
    </row>
    <row r="15" spans="1:7" ht="20" customHeight="1">
      <c r="A15" s="37" t="str">
        <f>IF(Skemaoplysninger!AQ22&gt;0,Skemaoplysninger!AR22,"")</f>
        <v/>
      </c>
      <c r="B15" s="37" t="str">
        <f>IF(Skemaoplysninger!AQ22&gt;0,Skemaoplysninger!AS22,"")</f>
        <v/>
      </c>
      <c r="C15" s="273" t="str">
        <f>IF(Skemaoplysninger!AQ22&gt;0,Skemaoplysninger!AU22,"")</f>
        <v/>
      </c>
      <c r="D15" s="273" t="str">
        <f>IF(Skemaoplysninger!AQ22&gt;0,Skemaoplysninger!AW22,"")</f>
        <v/>
      </c>
      <c r="E15" s="273" t="str">
        <f>IF(Skemaoplysninger!AQ22&gt;0,Skemaoplysninger!AY22,"")</f>
        <v/>
      </c>
      <c r="F15" s="273" t="str">
        <f>IF(Skemaoplysninger!AQ22&gt;0,Skemaoplysninger!BA22,"")</f>
        <v/>
      </c>
      <c r="G15" s="273" t="str">
        <f>IF(Skemaoplysninger!AQ22&gt;0,Skemaoplysninger!BC22,"")</f>
        <v/>
      </c>
    </row>
    <row r="16" spans="1:7" ht="20" customHeight="1">
      <c r="A16" s="36" t="str">
        <f>IF(Skemaoplysninger!AQ23&gt;0,Skemaoplysninger!AR23,"")</f>
        <v/>
      </c>
      <c r="B16" s="36" t="str">
        <f>IF(Skemaoplysninger!AQ23&gt;0,Skemaoplysninger!AS23,"")</f>
        <v/>
      </c>
      <c r="C16" s="28" t="str">
        <f>IF(Skemaoplysninger!AQ23&gt;0,Skemaoplysninger!AU23,"")</f>
        <v/>
      </c>
      <c r="D16" s="28" t="str">
        <f>IF(Skemaoplysninger!AQ23&gt;0,Skemaoplysninger!AW23,"")</f>
        <v/>
      </c>
      <c r="E16" s="28" t="str">
        <f>IF(Skemaoplysninger!AQ23&gt;0,Skemaoplysninger!AY23,"")</f>
        <v/>
      </c>
      <c r="F16" s="28" t="str">
        <f>IF(Skemaoplysninger!AQ23&gt;0,Skemaoplysninger!BA23,"")</f>
        <v/>
      </c>
      <c r="G16" s="28" t="str">
        <f>IF(Skemaoplysninger!AQ23&gt;0,Skemaoplysninger!BC23,"")</f>
        <v/>
      </c>
    </row>
    <row r="17" spans="1:7" ht="20" customHeight="1">
      <c r="A17" s="37" t="str">
        <f>IF(Skemaoplysninger!AQ24&gt;0,Skemaoplysninger!AR24,"")</f>
        <v/>
      </c>
      <c r="B17" s="37" t="str">
        <f>IF(Skemaoplysninger!AQ24&gt;0,Skemaoplysninger!AS24,"")</f>
        <v/>
      </c>
      <c r="C17" s="273" t="str">
        <f>IF(Skemaoplysninger!AQ24&gt;0,Skemaoplysninger!AU24,"")</f>
        <v/>
      </c>
      <c r="D17" s="273" t="str">
        <f>IF(Skemaoplysninger!AQ24&gt;0,Skemaoplysninger!AW24,"")</f>
        <v/>
      </c>
      <c r="E17" s="273" t="str">
        <f>IF(Skemaoplysninger!AQ24&gt;0,Skemaoplysninger!AY24,"")</f>
        <v/>
      </c>
      <c r="F17" s="273" t="str">
        <f>IF(Skemaoplysninger!AQ24&gt;0,Skemaoplysninger!BA24,"")</f>
        <v/>
      </c>
      <c r="G17" s="273" t="str">
        <f>IF(Skemaoplysninger!AQ24&gt;0,Skemaoplysninger!BC24,"")</f>
        <v/>
      </c>
    </row>
    <row r="18" spans="1:7" ht="20" customHeight="1">
      <c r="A18" s="36" t="str">
        <f>IF(Skemaoplysninger!AQ25&gt;0,Skemaoplysninger!AR25,"")</f>
        <v/>
      </c>
      <c r="B18" s="36" t="str">
        <f>IF(Skemaoplysninger!AQ25&gt;0,Skemaoplysninger!AS25,"")</f>
        <v/>
      </c>
      <c r="C18" s="28" t="str">
        <f>IF(Skemaoplysninger!AQ25&gt;0,Skemaoplysninger!AU25,"")</f>
        <v/>
      </c>
      <c r="D18" s="28" t="str">
        <f>IF(Skemaoplysninger!AQ25&gt;0,Skemaoplysninger!AW25,"")</f>
        <v/>
      </c>
      <c r="E18" s="28" t="str">
        <f>IF(Skemaoplysninger!AQ25&gt;0,Skemaoplysninger!AY25,"")</f>
        <v/>
      </c>
      <c r="F18" s="28" t="str">
        <f>IF(Skemaoplysninger!AQ25&gt;0,Skemaoplysninger!BA25,"")</f>
        <v/>
      </c>
      <c r="G18" s="28" t="str">
        <f>IF(Skemaoplysninger!AQ25&gt;0,Skemaoplysninger!BC25,"")</f>
        <v/>
      </c>
    </row>
    <row r="19" spans="1:7" ht="20" customHeight="1">
      <c r="A19" s="37" t="str">
        <f>IF(Skemaoplysninger!AQ26&gt;0,Skemaoplysninger!AR26,"")</f>
        <v/>
      </c>
      <c r="B19" s="37" t="str">
        <f>IF(Skemaoplysninger!AQ26&gt;0,Skemaoplysninger!AS26,"")</f>
        <v/>
      </c>
      <c r="C19" s="273" t="str">
        <f>IF(Skemaoplysninger!AQ26&gt;0,Skemaoplysninger!AU26,"")</f>
        <v/>
      </c>
      <c r="D19" s="273" t="str">
        <f>IF(Skemaoplysninger!AQ26&gt;0,Skemaoplysninger!AW26,"")</f>
        <v/>
      </c>
      <c r="E19" s="273" t="str">
        <f>IF(Skemaoplysninger!AQ26&gt;0,Skemaoplysninger!AY26,"")</f>
        <v/>
      </c>
      <c r="F19" s="273" t="str">
        <f>IF(Skemaoplysninger!AQ26&gt;0,Skemaoplysninger!BA26,"")</f>
        <v/>
      </c>
      <c r="G19" s="273" t="str">
        <f>IF(Skemaoplysninger!AQ26&gt;0,Skemaoplysninger!BC26,"")</f>
        <v/>
      </c>
    </row>
    <row r="20" spans="1:7" ht="20" customHeight="1">
      <c r="A20" s="36" t="str">
        <f>IF(Skemaoplysninger!AQ27&gt;0,Skemaoplysninger!AR27,"")</f>
        <v/>
      </c>
      <c r="B20" s="36" t="str">
        <f>IF(Skemaoplysninger!AQ27&gt;0,Skemaoplysninger!AS27,"")</f>
        <v/>
      </c>
      <c r="C20" s="28" t="str">
        <f>IF(Skemaoplysninger!AQ27&gt;0,Skemaoplysninger!AU27,"")</f>
        <v/>
      </c>
      <c r="D20" s="28" t="str">
        <f>IF(Skemaoplysninger!AQ27&gt;0,Skemaoplysninger!AW27,"")</f>
        <v/>
      </c>
      <c r="E20" s="28" t="str">
        <f>IF(Skemaoplysninger!AQ27&gt;0,Skemaoplysninger!AY27,"")</f>
        <v/>
      </c>
      <c r="F20" s="28" t="str">
        <f>IF(Skemaoplysninger!AQ27&gt;0,Skemaoplysninger!BA27,"")</f>
        <v/>
      </c>
      <c r="G20" s="28" t="str">
        <f>IF(Skemaoplysninger!AQ27&gt;0,Skemaoplysninger!BC27,"")</f>
        <v/>
      </c>
    </row>
    <row r="21" spans="1:7" ht="20" customHeight="1">
      <c r="A21" s="37" t="str">
        <f>IF(Skemaoplysninger!AQ28&gt;0,Skemaoplysninger!AR28,"")</f>
        <v/>
      </c>
      <c r="B21" s="37" t="str">
        <f>IF(Skemaoplysninger!AQ28&gt;0,Skemaoplysninger!AS28,"")</f>
        <v/>
      </c>
      <c r="C21" s="273" t="str">
        <f>IF(Skemaoplysninger!AQ28&gt;0,Skemaoplysninger!AU28,"")</f>
        <v/>
      </c>
      <c r="D21" s="273" t="str">
        <f>IF(Skemaoplysninger!AQ28&gt;0,Skemaoplysninger!AW28,"")</f>
        <v/>
      </c>
      <c r="E21" s="273" t="str">
        <f>IF(Skemaoplysninger!AQ28&gt;0,Skemaoplysninger!AY28,"")</f>
        <v/>
      </c>
      <c r="F21" s="273" t="str">
        <f>IF(Skemaoplysninger!AQ28&gt;0,Skemaoplysninger!BA28,"")</f>
        <v/>
      </c>
      <c r="G21" s="273" t="str">
        <f>IF(Skemaoplysninger!AQ28&gt;0,Skemaoplysninger!BC28,"")</f>
        <v/>
      </c>
    </row>
    <row r="22" spans="1:7" ht="20" customHeight="1">
      <c r="A22" s="36" t="str">
        <f>IF(Skemaoplysninger!AQ29&gt;0,Skemaoplysninger!AR29,"")</f>
        <v/>
      </c>
      <c r="B22" s="36" t="str">
        <f>IF(Skemaoplysninger!AQ29&gt;0,Skemaoplysninger!AS29,"")</f>
        <v/>
      </c>
      <c r="C22" s="28" t="str">
        <f>IF(Skemaoplysninger!AQ29&gt;0,Skemaoplysninger!AU29,"")</f>
        <v/>
      </c>
      <c r="D22" s="28" t="str">
        <f>IF(Skemaoplysninger!AQ29&gt;0,Skemaoplysninger!AW29,"")</f>
        <v/>
      </c>
      <c r="E22" s="28" t="str">
        <f>IF(Skemaoplysninger!AQ29&gt;0,Skemaoplysninger!AY29,"")</f>
        <v/>
      </c>
      <c r="F22" s="28" t="str">
        <f>IF(Skemaoplysninger!AQ29&gt;0,Skemaoplysninger!BA29,"")</f>
        <v/>
      </c>
      <c r="G22" s="28" t="str">
        <f>IF(Skemaoplysninger!AQ29&gt;0,Skemaoplysninger!BC29,"")</f>
        <v/>
      </c>
    </row>
  </sheetData>
  <sheetProtection sheet="1" objects="1" scenarios="1"/>
  <mergeCells count="4">
    <mergeCell ref="A1:G1"/>
    <mergeCell ref="A2:C2"/>
    <mergeCell ref="D2:E2"/>
    <mergeCell ref="F2:G2"/>
  </mergeCells>
  <pageMargins left="0.7" right="0.7" top="0.75" bottom="0.75" header="0.3" footer="0.3"/>
  <pageSetup paperSize="9" orientation="landscape"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D9BD-A92F-5949-8977-EBD5B49CE0F1}">
  <sheetPr>
    <pageSetUpPr fitToPage="1"/>
  </sheetPr>
  <dimension ref="A1:AW33"/>
  <sheetViews>
    <sheetView workbookViewId="0">
      <selection activeCell="B4" sqref="B4"/>
    </sheetView>
  </sheetViews>
  <sheetFormatPr baseColWidth="10" defaultRowHeight="16"/>
  <cols>
    <col min="1" max="2" width="2.83203125" customWidth="1"/>
    <col min="3" max="3" width="11.83203125" customWidth="1"/>
    <col min="4" max="4" width="2.83203125" style="183"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297" t="str">
        <f>"Årskalender for "&amp;[3]Maaned!A1&amp;" 2024-2025"</f>
        <v>Årskalender for Min egen skole 2024-2025</v>
      </c>
      <c r="B1" s="298"/>
      <c r="C1" s="299"/>
      <c r="D1" s="300"/>
      <c r="E1" s="299"/>
      <c r="F1" s="298"/>
      <c r="G1" s="299"/>
      <c r="H1" s="300"/>
      <c r="I1" s="299"/>
      <c r="J1" s="298"/>
      <c r="K1" s="299"/>
      <c r="L1" s="300"/>
      <c r="M1" s="299"/>
      <c r="N1" s="298"/>
      <c r="O1" s="299"/>
      <c r="P1" s="300"/>
      <c r="Q1" s="299"/>
      <c r="R1" s="298"/>
      <c r="S1" s="299"/>
      <c r="T1" s="300"/>
      <c r="U1" s="299"/>
      <c r="V1" s="298"/>
      <c r="W1" s="299"/>
      <c r="X1" s="300"/>
      <c r="Y1" s="299"/>
      <c r="Z1" s="298"/>
      <c r="AA1" s="299"/>
      <c r="AB1" s="300"/>
      <c r="AC1" s="299"/>
      <c r="AD1" s="298"/>
      <c r="AE1" s="299"/>
      <c r="AF1" s="300"/>
      <c r="AG1" s="299"/>
      <c r="AH1" s="298"/>
      <c r="AI1" s="299"/>
      <c r="AJ1" s="300"/>
      <c r="AK1" s="299"/>
      <c r="AL1" s="298"/>
      <c r="AM1" s="299"/>
      <c r="AN1" s="300"/>
      <c r="AO1" s="299"/>
      <c r="AP1" s="298"/>
      <c r="AQ1" s="299"/>
      <c r="AR1" s="300"/>
      <c r="AS1" s="299"/>
      <c r="AT1" s="298"/>
      <c r="AU1" s="299"/>
      <c r="AV1" s="301"/>
    </row>
    <row r="2" spans="1:48" ht="18">
      <c r="A2" s="302" t="s">
        <v>91</v>
      </c>
      <c r="B2" s="303"/>
      <c r="C2" s="304"/>
      <c r="D2" s="305"/>
      <c r="E2" s="302" t="s">
        <v>92</v>
      </c>
      <c r="F2" s="303"/>
      <c r="G2" s="304"/>
      <c r="H2" s="305"/>
      <c r="I2" s="306" t="s">
        <v>93</v>
      </c>
      <c r="J2" s="303"/>
      <c r="K2" s="304"/>
      <c r="L2" s="305"/>
      <c r="M2" s="302" t="s">
        <v>94</v>
      </c>
      <c r="N2" s="303"/>
      <c r="O2" s="304"/>
      <c r="P2" s="305"/>
      <c r="Q2" s="302" t="s">
        <v>95</v>
      </c>
      <c r="R2" s="303"/>
      <c r="S2" s="304"/>
      <c r="T2" s="305"/>
      <c r="U2" s="302" t="s">
        <v>96</v>
      </c>
      <c r="V2" s="303"/>
      <c r="W2" s="304"/>
      <c r="X2" s="305"/>
      <c r="Y2" s="306" t="s">
        <v>99</v>
      </c>
      <c r="Z2" s="303"/>
      <c r="AA2" s="304"/>
      <c r="AB2" s="305"/>
      <c r="AC2" s="302" t="s">
        <v>100</v>
      </c>
      <c r="AD2" s="303"/>
      <c r="AE2" s="304"/>
      <c r="AF2" s="305"/>
      <c r="AG2" s="302" t="s">
        <v>101</v>
      </c>
      <c r="AH2" s="303"/>
      <c r="AI2" s="304"/>
      <c r="AJ2" s="305"/>
      <c r="AK2" s="302" t="s">
        <v>102</v>
      </c>
      <c r="AL2" s="303"/>
      <c r="AM2" s="304"/>
      <c r="AN2" s="305"/>
      <c r="AO2" s="302" t="s">
        <v>103</v>
      </c>
      <c r="AP2" s="303"/>
      <c r="AQ2" s="304"/>
      <c r="AR2" s="305"/>
      <c r="AS2" s="302" t="s">
        <v>104</v>
      </c>
      <c r="AT2" s="303"/>
      <c r="AU2" s="304"/>
      <c r="AV2" s="305"/>
    </row>
    <row r="3" spans="1:48">
      <c r="A3" s="522">
        <v>1</v>
      </c>
      <c r="B3" s="523" t="s">
        <v>156</v>
      </c>
      <c r="C3" s="524"/>
      <c r="D3" s="525">
        <v>31.285714285714285</v>
      </c>
      <c r="E3" s="527">
        <v>1</v>
      </c>
      <c r="F3" s="528" t="s">
        <v>159</v>
      </c>
      <c r="G3" s="529"/>
      <c r="H3" s="532" t="s">
        <v>142</v>
      </c>
      <c r="I3" s="522">
        <v>1</v>
      </c>
      <c r="J3" s="523" t="s">
        <v>157</v>
      </c>
      <c r="K3" s="524"/>
      <c r="L3" s="531" t="s">
        <v>142</v>
      </c>
      <c r="M3" s="522"/>
      <c r="N3" s="523" t="s">
        <v>158</v>
      </c>
      <c r="O3" s="524"/>
      <c r="P3" s="531" t="s">
        <v>142</v>
      </c>
      <c r="Q3" s="527">
        <v>1</v>
      </c>
      <c r="R3" s="528" t="s">
        <v>159</v>
      </c>
      <c r="S3" s="529"/>
      <c r="T3" s="530" t="s">
        <v>142</v>
      </c>
      <c r="U3" s="527">
        <v>1</v>
      </c>
      <c r="V3" s="528" t="s">
        <v>153</v>
      </c>
      <c r="W3" s="529" t="s">
        <v>141</v>
      </c>
      <c r="X3" s="530"/>
      <c r="Y3" s="527">
        <v>1</v>
      </c>
      <c r="Z3" s="528" t="s">
        <v>154</v>
      </c>
      <c r="AA3" s="529"/>
      <c r="AB3" s="532" t="s">
        <v>142</v>
      </c>
      <c r="AC3" s="527">
        <v>1</v>
      </c>
      <c r="AD3" s="528" t="s">
        <v>154</v>
      </c>
      <c r="AE3" s="529"/>
      <c r="AF3" s="530" t="s">
        <v>142</v>
      </c>
      <c r="AG3" s="522">
        <v>1</v>
      </c>
      <c r="AH3" s="523" t="s">
        <v>157</v>
      </c>
      <c r="AI3" s="524"/>
      <c r="AJ3" s="526"/>
      <c r="AK3" s="522">
        <v>1</v>
      </c>
      <c r="AL3" s="523" t="s">
        <v>156</v>
      </c>
      <c r="AM3" s="524"/>
      <c r="AN3" s="531"/>
      <c r="AO3" s="527">
        <v>1</v>
      </c>
      <c r="AP3" s="528" t="s">
        <v>159</v>
      </c>
      <c r="AQ3" s="529"/>
      <c r="AR3" s="532" t="s">
        <v>142</v>
      </c>
      <c r="AS3" s="522">
        <v>1</v>
      </c>
      <c r="AT3" s="523" t="s">
        <v>157</v>
      </c>
      <c r="AU3" s="524"/>
      <c r="AV3" s="531"/>
    </row>
    <row r="4" spans="1:48">
      <c r="A4" s="522">
        <v>2</v>
      </c>
      <c r="B4" s="523" t="s">
        <v>158</v>
      </c>
      <c r="C4" s="524"/>
      <c r="D4" s="525" t="s">
        <v>142</v>
      </c>
      <c r="E4" s="522">
        <v>2</v>
      </c>
      <c r="F4" s="523" t="s">
        <v>155</v>
      </c>
      <c r="G4" s="524"/>
      <c r="H4" s="526">
        <v>36</v>
      </c>
      <c r="I4" s="522">
        <v>2</v>
      </c>
      <c r="J4" s="523" t="s">
        <v>153</v>
      </c>
      <c r="K4" s="524"/>
      <c r="L4" s="531"/>
      <c r="M4" s="527">
        <v>2</v>
      </c>
      <c r="N4" s="528" t="s">
        <v>154</v>
      </c>
      <c r="O4" s="529"/>
      <c r="P4" s="530" t="s">
        <v>142</v>
      </c>
      <c r="Q4" s="522">
        <v>2</v>
      </c>
      <c r="R4" s="523" t="s">
        <v>155</v>
      </c>
      <c r="S4" s="524"/>
      <c r="T4" s="531">
        <v>49</v>
      </c>
      <c r="U4" s="522">
        <v>2</v>
      </c>
      <c r="V4" s="523" t="s">
        <v>156</v>
      </c>
      <c r="W4" s="524"/>
      <c r="X4" s="531"/>
      <c r="Y4" s="527">
        <v>2</v>
      </c>
      <c r="Z4" s="528" t="s">
        <v>159</v>
      </c>
      <c r="AA4" s="529"/>
      <c r="AB4" s="532" t="s">
        <v>142</v>
      </c>
      <c r="AC4" s="527">
        <v>2</v>
      </c>
      <c r="AD4" s="528" t="s">
        <v>159</v>
      </c>
      <c r="AE4" s="529"/>
      <c r="AF4" s="530" t="s">
        <v>142</v>
      </c>
      <c r="AG4" s="522">
        <v>2</v>
      </c>
      <c r="AH4" s="523" t="s">
        <v>153</v>
      </c>
      <c r="AI4" s="524"/>
      <c r="AJ4" s="526" t="s">
        <v>142</v>
      </c>
      <c r="AK4" s="522">
        <v>2</v>
      </c>
      <c r="AL4" s="523" t="s">
        <v>158</v>
      </c>
      <c r="AM4" s="524"/>
      <c r="AN4" s="531" t="s">
        <v>142</v>
      </c>
      <c r="AO4" s="522">
        <v>2</v>
      </c>
      <c r="AP4" s="523" t="s">
        <v>155</v>
      </c>
      <c r="AQ4" s="524"/>
      <c r="AR4" s="526">
        <v>23</v>
      </c>
      <c r="AS4" s="522">
        <v>2</v>
      </c>
      <c r="AT4" s="523" t="s">
        <v>153</v>
      </c>
      <c r="AU4" s="524"/>
      <c r="AV4" s="531" t="s">
        <v>142</v>
      </c>
    </row>
    <row r="5" spans="1:48">
      <c r="A5" s="527">
        <v>3</v>
      </c>
      <c r="B5" s="528" t="s">
        <v>154</v>
      </c>
      <c r="C5" s="529"/>
      <c r="D5" s="610" t="s">
        <v>142</v>
      </c>
      <c r="E5" s="522">
        <v>3</v>
      </c>
      <c r="F5" s="523" t="s">
        <v>157</v>
      </c>
      <c r="G5" s="524"/>
      <c r="H5" s="526" t="s">
        <v>142</v>
      </c>
      <c r="I5" s="522">
        <v>3</v>
      </c>
      <c r="J5" s="523" t="s">
        <v>156</v>
      </c>
      <c r="K5" s="524"/>
      <c r="L5" s="531"/>
      <c r="M5" s="527">
        <v>3</v>
      </c>
      <c r="N5" s="528" t="s">
        <v>159</v>
      </c>
      <c r="O5" s="529"/>
      <c r="P5" s="530" t="s">
        <v>142</v>
      </c>
      <c r="Q5" s="522">
        <v>3</v>
      </c>
      <c r="R5" s="523" t="s">
        <v>157</v>
      </c>
      <c r="S5" s="524"/>
      <c r="T5" s="531" t="s">
        <v>142</v>
      </c>
      <c r="U5" s="522">
        <v>3</v>
      </c>
      <c r="V5" s="523" t="s">
        <v>158</v>
      </c>
      <c r="W5" s="524"/>
      <c r="X5" s="531" t="s">
        <v>142</v>
      </c>
      <c r="Y5" s="522">
        <v>3</v>
      </c>
      <c r="Z5" s="523" t="s">
        <v>155</v>
      </c>
      <c r="AA5" s="524"/>
      <c r="AB5" s="526">
        <v>6</v>
      </c>
      <c r="AC5" s="522">
        <v>3</v>
      </c>
      <c r="AD5" s="523" t="s">
        <v>155</v>
      </c>
      <c r="AE5" s="524"/>
      <c r="AF5" s="531">
        <v>10</v>
      </c>
      <c r="AG5" s="522">
        <v>3</v>
      </c>
      <c r="AH5" s="523" t="s">
        <v>156</v>
      </c>
      <c r="AI5" s="524"/>
      <c r="AJ5" s="526"/>
      <c r="AK5" s="527">
        <v>3</v>
      </c>
      <c r="AL5" s="528" t="s">
        <v>154</v>
      </c>
      <c r="AM5" s="529"/>
      <c r="AN5" s="530" t="s">
        <v>142</v>
      </c>
      <c r="AO5" s="522">
        <v>3</v>
      </c>
      <c r="AP5" s="523" t="s">
        <v>157</v>
      </c>
      <c r="AQ5" s="524"/>
      <c r="AR5" s="526"/>
      <c r="AS5" s="522">
        <v>3</v>
      </c>
      <c r="AT5" s="523" t="s">
        <v>156</v>
      </c>
      <c r="AU5" s="524"/>
      <c r="AV5" s="531"/>
    </row>
    <row r="6" spans="1:48">
      <c r="A6" s="527">
        <v>4</v>
      </c>
      <c r="B6" s="528" t="s">
        <v>159</v>
      </c>
      <c r="C6" s="529"/>
      <c r="D6" s="610" t="s">
        <v>142</v>
      </c>
      <c r="E6" s="522">
        <v>4</v>
      </c>
      <c r="F6" s="523" t="s">
        <v>153</v>
      </c>
      <c r="G6" s="524"/>
      <c r="H6" s="526"/>
      <c r="I6" s="522">
        <v>4</v>
      </c>
      <c r="J6" s="523" t="s">
        <v>158</v>
      </c>
      <c r="K6" s="524"/>
      <c r="L6" s="531" t="s">
        <v>142</v>
      </c>
      <c r="M6" s="522">
        <v>4</v>
      </c>
      <c r="N6" s="523" t="s">
        <v>155</v>
      </c>
      <c r="O6" s="524"/>
      <c r="P6" s="531">
        <v>45</v>
      </c>
      <c r="Q6" s="522">
        <v>4</v>
      </c>
      <c r="R6" s="523" t="s">
        <v>153</v>
      </c>
      <c r="S6" s="524"/>
      <c r="T6" s="531"/>
      <c r="U6" s="527">
        <v>4</v>
      </c>
      <c r="V6" s="528" t="s">
        <v>154</v>
      </c>
      <c r="W6" s="529"/>
      <c r="X6" s="530" t="s">
        <v>142</v>
      </c>
      <c r="Y6" s="522">
        <v>4</v>
      </c>
      <c r="Z6" s="523" t="s">
        <v>157</v>
      </c>
      <c r="AA6" s="524"/>
      <c r="AB6" s="526" t="s">
        <v>142</v>
      </c>
      <c r="AC6" s="522">
        <v>4</v>
      </c>
      <c r="AD6" s="523" t="s">
        <v>157</v>
      </c>
      <c r="AE6" s="524"/>
      <c r="AF6" s="531"/>
      <c r="AG6" s="522">
        <v>4</v>
      </c>
      <c r="AH6" s="523" t="s">
        <v>158</v>
      </c>
      <c r="AI6" s="524"/>
      <c r="AJ6" s="526" t="s">
        <v>142</v>
      </c>
      <c r="AK6" s="527">
        <v>4</v>
      </c>
      <c r="AL6" s="528" t="s">
        <v>159</v>
      </c>
      <c r="AM6" s="529"/>
      <c r="AN6" s="530" t="s">
        <v>142</v>
      </c>
      <c r="AO6" s="522">
        <v>4</v>
      </c>
      <c r="AP6" s="523" t="s">
        <v>153</v>
      </c>
      <c r="AQ6" s="524"/>
      <c r="AR6" s="526" t="s">
        <v>142</v>
      </c>
      <c r="AS6" s="522">
        <v>4</v>
      </c>
      <c r="AT6" s="523" t="s">
        <v>158</v>
      </c>
      <c r="AU6" s="524"/>
      <c r="AV6" s="531" t="s">
        <v>142</v>
      </c>
    </row>
    <row r="7" spans="1:48">
      <c r="A7" s="522">
        <v>5</v>
      </c>
      <c r="B7" s="523" t="s">
        <v>155</v>
      </c>
      <c r="C7" s="524"/>
      <c r="D7" s="534">
        <v>32</v>
      </c>
      <c r="E7" s="522">
        <v>5</v>
      </c>
      <c r="F7" s="523" t="s">
        <v>156</v>
      </c>
      <c r="G7" s="524"/>
      <c r="H7" s="526"/>
      <c r="I7" s="527">
        <v>5</v>
      </c>
      <c r="J7" s="528" t="s">
        <v>154</v>
      </c>
      <c r="K7" s="529"/>
      <c r="L7" s="530" t="s">
        <v>142</v>
      </c>
      <c r="M7" s="522">
        <v>5</v>
      </c>
      <c r="N7" s="523" t="s">
        <v>157</v>
      </c>
      <c r="O7" s="524"/>
      <c r="P7" s="531" t="s">
        <v>142</v>
      </c>
      <c r="Q7" s="522">
        <v>5</v>
      </c>
      <c r="R7" s="523" t="s">
        <v>156</v>
      </c>
      <c r="S7" s="524"/>
      <c r="T7" s="531"/>
      <c r="U7" s="527">
        <v>5</v>
      </c>
      <c r="V7" s="528" t="s">
        <v>159</v>
      </c>
      <c r="W7" s="529"/>
      <c r="X7" s="530" t="s">
        <v>142</v>
      </c>
      <c r="Y7" s="522">
        <v>5</v>
      </c>
      <c r="Z7" s="523" t="s">
        <v>153</v>
      </c>
      <c r="AA7" s="524"/>
      <c r="AB7" s="526"/>
      <c r="AC7" s="522">
        <v>5</v>
      </c>
      <c r="AD7" s="523" t="s">
        <v>153</v>
      </c>
      <c r="AE7" s="524"/>
      <c r="AF7" s="531" t="s">
        <v>142</v>
      </c>
      <c r="AG7" s="527">
        <v>5</v>
      </c>
      <c r="AH7" s="528" t="s">
        <v>154</v>
      </c>
      <c r="AI7" s="529"/>
      <c r="AJ7" s="532" t="s">
        <v>142</v>
      </c>
      <c r="AK7" s="522">
        <v>5</v>
      </c>
      <c r="AL7" s="523" t="s">
        <v>155</v>
      </c>
      <c r="AM7" s="524"/>
      <c r="AN7" s="531">
        <v>19</v>
      </c>
      <c r="AO7" s="522">
        <v>5</v>
      </c>
      <c r="AP7" s="523" t="s">
        <v>156</v>
      </c>
      <c r="AQ7" s="524" t="s">
        <v>218</v>
      </c>
      <c r="AR7" s="526"/>
      <c r="AS7" s="527">
        <v>5</v>
      </c>
      <c r="AT7" s="528" t="s">
        <v>154</v>
      </c>
      <c r="AU7" s="529"/>
      <c r="AV7" s="530" t="s">
        <v>142</v>
      </c>
    </row>
    <row r="8" spans="1:48">
      <c r="A8" s="522">
        <v>6</v>
      </c>
      <c r="B8" s="523" t="s">
        <v>157</v>
      </c>
      <c r="C8" s="524"/>
      <c r="D8" s="534" t="s">
        <v>142</v>
      </c>
      <c r="E8" s="522">
        <v>6</v>
      </c>
      <c r="F8" s="523" t="s">
        <v>158</v>
      </c>
      <c r="G8" s="524"/>
      <c r="H8" s="526" t="s">
        <v>142</v>
      </c>
      <c r="I8" s="527">
        <v>6</v>
      </c>
      <c r="J8" s="528" t="s">
        <v>159</v>
      </c>
      <c r="K8" s="529"/>
      <c r="L8" s="530" t="s">
        <v>142</v>
      </c>
      <c r="M8" s="522">
        <v>6</v>
      </c>
      <c r="N8" s="523" t="s">
        <v>153</v>
      </c>
      <c r="O8" s="524"/>
      <c r="P8" s="531"/>
      <c r="Q8" s="522">
        <v>6</v>
      </c>
      <c r="R8" s="523" t="s">
        <v>158</v>
      </c>
      <c r="S8" s="524"/>
      <c r="T8" s="531" t="s">
        <v>142</v>
      </c>
      <c r="U8" s="522">
        <v>6</v>
      </c>
      <c r="V8" s="523" t="s">
        <v>155</v>
      </c>
      <c r="W8" s="524"/>
      <c r="X8" s="531">
        <v>2</v>
      </c>
      <c r="Y8" s="522">
        <v>6</v>
      </c>
      <c r="Z8" s="523" t="s">
        <v>156</v>
      </c>
      <c r="AA8" s="524"/>
      <c r="AB8" s="526"/>
      <c r="AC8" s="522">
        <v>6</v>
      </c>
      <c r="AD8" s="523" t="s">
        <v>156</v>
      </c>
      <c r="AE8" s="524"/>
      <c r="AF8" s="531"/>
      <c r="AG8" s="527">
        <v>6</v>
      </c>
      <c r="AH8" s="528" t="s">
        <v>159</v>
      </c>
      <c r="AI8" s="529"/>
      <c r="AJ8" s="532" t="s">
        <v>142</v>
      </c>
      <c r="AK8" s="522">
        <v>6</v>
      </c>
      <c r="AL8" s="523" t="s">
        <v>157</v>
      </c>
      <c r="AM8" s="524"/>
      <c r="AN8" s="531"/>
      <c r="AO8" s="522">
        <v>6</v>
      </c>
      <c r="AP8" s="523" t="s">
        <v>158</v>
      </c>
      <c r="AQ8" s="524"/>
      <c r="AR8" s="526" t="s">
        <v>142</v>
      </c>
      <c r="AS8" s="527">
        <v>6</v>
      </c>
      <c r="AT8" s="528" t="s">
        <v>159</v>
      </c>
      <c r="AU8" s="529"/>
      <c r="AV8" s="530" t="s">
        <v>142</v>
      </c>
    </row>
    <row r="9" spans="1:48">
      <c r="A9" s="522">
        <v>7</v>
      </c>
      <c r="B9" s="523" t="s">
        <v>153</v>
      </c>
      <c r="C9" s="524"/>
      <c r="D9" s="534"/>
      <c r="E9" s="527">
        <v>7</v>
      </c>
      <c r="F9" s="528" t="s">
        <v>154</v>
      </c>
      <c r="G9" s="529"/>
      <c r="H9" s="532" t="s">
        <v>142</v>
      </c>
      <c r="I9" s="522">
        <v>7</v>
      </c>
      <c r="J9" s="523" t="s">
        <v>155</v>
      </c>
      <c r="K9" s="524"/>
      <c r="L9" s="531">
        <v>41</v>
      </c>
      <c r="M9" s="522">
        <v>7</v>
      </c>
      <c r="N9" s="523" t="s">
        <v>156</v>
      </c>
      <c r="O9" s="524"/>
      <c r="P9" s="531"/>
      <c r="Q9" s="527">
        <v>7</v>
      </c>
      <c r="R9" s="528" t="s">
        <v>154</v>
      </c>
      <c r="S9" s="529"/>
      <c r="T9" s="530" t="s">
        <v>142</v>
      </c>
      <c r="U9" s="522">
        <v>7</v>
      </c>
      <c r="V9" s="523" t="s">
        <v>157</v>
      </c>
      <c r="W9" s="524"/>
      <c r="X9" s="531" t="s">
        <v>142</v>
      </c>
      <c r="Y9" s="522">
        <v>7</v>
      </c>
      <c r="Z9" s="523" t="s">
        <v>158</v>
      </c>
      <c r="AA9" s="524"/>
      <c r="AB9" s="526" t="s">
        <v>142</v>
      </c>
      <c r="AC9" s="522">
        <v>7</v>
      </c>
      <c r="AD9" s="523" t="s">
        <v>158</v>
      </c>
      <c r="AE9" s="524"/>
      <c r="AF9" s="531" t="s">
        <v>142</v>
      </c>
      <c r="AG9" s="522">
        <v>7</v>
      </c>
      <c r="AH9" s="523" t="s">
        <v>155</v>
      </c>
      <c r="AI9" s="524"/>
      <c r="AJ9" s="526">
        <v>15</v>
      </c>
      <c r="AK9" s="522">
        <v>7</v>
      </c>
      <c r="AL9" s="523" t="s">
        <v>153</v>
      </c>
      <c r="AM9" s="524"/>
      <c r="AN9" s="531" t="s">
        <v>142</v>
      </c>
      <c r="AO9" s="527">
        <v>7</v>
      </c>
      <c r="AP9" s="528" t="s">
        <v>154</v>
      </c>
      <c r="AQ9" s="529"/>
      <c r="AR9" s="532" t="s">
        <v>142</v>
      </c>
      <c r="AS9" s="522">
        <v>7</v>
      </c>
      <c r="AT9" s="523" t="s">
        <v>155</v>
      </c>
      <c r="AU9" s="524"/>
      <c r="AV9" s="531">
        <v>28</v>
      </c>
    </row>
    <row r="10" spans="1:48">
      <c r="A10" s="522">
        <v>8</v>
      </c>
      <c r="B10" s="523" t="s">
        <v>156</v>
      </c>
      <c r="C10" s="524"/>
      <c r="D10" s="525"/>
      <c r="E10" s="527">
        <v>8</v>
      </c>
      <c r="F10" s="528" t="s">
        <v>159</v>
      </c>
      <c r="G10" s="529"/>
      <c r="H10" s="532" t="s">
        <v>142</v>
      </c>
      <c r="I10" s="522">
        <v>8</v>
      </c>
      <c r="J10" s="523" t="s">
        <v>157</v>
      </c>
      <c r="K10" s="524"/>
      <c r="L10" s="531" t="s">
        <v>142</v>
      </c>
      <c r="M10" s="522">
        <v>8</v>
      </c>
      <c r="N10" s="523" t="s">
        <v>158</v>
      </c>
      <c r="O10" s="524"/>
      <c r="P10" s="531" t="s">
        <v>142</v>
      </c>
      <c r="Q10" s="527">
        <v>8</v>
      </c>
      <c r="R10" s="528" t="s">
        <v>159</v>
      </c>
      <c r="S10" s="529"/>
      <c r="T10" s="530" t="s">
        <v>142</v>
      </c>
      <c r="U10" s="522">
        <v>8</v>
      </c>
      <c r="V10" s="523" t="s">
        <v>153</v>
      </c>
      <c r="W10" s="524"/>
      <c r="X10" s="531"/>
      <c r="Y10" s="527">
        <v>8</v>
      </c>
      <c r="Z10" s="528" t="s">
        <v>154</v>
      </c>
      <c r="AA10" s="529"/>
      <c r="AB10" s="532" t="s">
        <v>142</v>
      </c>
      <c r="AC10" s="527">
        <v>8</v>
      </c>
      <c r="AD10" s="528" t="s">
        <v>154</v>
      </c>
      <c r="AE10" s="529"/>
      <c r="AF10" s="530" t="s">
        <v>142</v>
      </c>
      <c r="AG10" s="522">
        <v>8</v>
      </c>
      <c r="AH10" s="523" t="s">
        <v>157</v>
      </c>
      <c r="AI10" s="524"/>
      <c r="AJ10" s="526"/>
      <c r="AK10" s="522">
        <v>8</v>
      </c>
      <c r="AL10" s="523" t="s">
        <v>156</v>
      </c>
      <c r="AM10" s="524"/>
      <c r="AN10" s="531"/>
      <c r="AO10" s="527">
        <v>8</v>
      </c>
      <c r="AP10" s="528" t="s">
        <v>159</v>
      </c>
      <c r="AQ10" s="529" t="s">
        <v>177</v>
      </c>
      <c r="AR10" s="532" t="s">
        <v>142</v>
      </c>
      <c r="AS10" s="522">
        <v>8</v>
      </c>
      <c r="AT10" s="523" t="s">
        <v>157</v>
      </c>
      <c r="AU10" s="524"/>
      <c r="AV10" s="531"/>
    </row>
    <row r="11" spans="1:48">
      <c r="A11" s="522">
        <v>9</v>
      </c>
      <c r="B11" s="523" t="s">
        <v>158</v>
      </c>
      <c r="C11" s="524"/>
      <c r="D11" s="525" t="s">
        <v>142</v>
      </c>
      <c r="E11" s="522">
        <v>9</v>
      </c>
      <c r="F11" s="523" t="s">
        <v>155</v>
      </c>
      <c r="G11" s="524"/>
      <c r="H11" s="526">
        <v>37</v>
      </c>
      <c r="I11" s="522">
        <v>9</v>
      </c>
      <c r="J11" s="523" t="s">
        <v>153</v>
      </c>
      <c r="K11" s="524"/>
      <c r="L11" s="531"/>
      <c r="M11" s="527">
        <v>9</v>
      </c>
      <c r="N11" s="528" t="s">
        <v>154</v>
      </c>
      <c r="O11" s="529"/>
      <c r="P11" s="530" t="s">
        <v>142</v>
      </c>
      <c r="Q11" s="522">
        <v>9</v>
      </c>
      <c r="R11" s="523" t="s">
        <v>155</v>
      </c>
      <c r="S11" s="524"/>
      <c r="T11" s="531">
        <v>50</v>
      </c>
      <c r="U11" s="522">
        <v>9</v>
      </c>
      <c r="V11" s="523" t="s">
        <v>156</v>
      </c>
      <c r="W11" s="524"/>
      <c r="X11" s="531"/>
      <c r="Y11" s="527">
        <v>9</v>
      </c>
      <c r="Z11" s="528" t="s">
        <v>159</v>
      </c>
      <c r="AA11" s="529"/>
      <c r="AB11" s="532" t="s">
        <v>142</v>
      </c>
      <c r="AC11" s="527">
        <v>9</v>
      </c>
      <c r="AD11" s="528" t="s">
        <v>159</v>
      </c>
      <c r="AE11" s="529"/>
      <c r="AF11" s="530" t="s">
        <v>142</v>
      </c>
      <c r="AG11" s="522">
        <v>9</v>
      </c>
      <c r="AH11" s="523" t="s">
        <v>153</v>
      </c>
      <c r="AI11" s="524"/>
      <c r="AJ11" s="526" t="s">
        <v>142</v>
      </c>
      <c r="AK11" s="522">
        <v>9</v>
      </c>
      <c r="AL11" s="523" t="s">
        <v>158</v>
      </c>
      <c r="AM11" s="611"/>
      <c r="AN11" s="531" t="s">
        <v>142</v>
      </c>
      <c r="AO11" s="527">
        <v>9</v>
      </c>
      <c r="AP11" s="528" t="s">
        <v>155</v>
      </c>
      <c r="AQ11" s="529" t="s">
        <v>545</v>
      </c>
      <c r="AR11" s="532">
        <v>24</v>
      </c>
      <c r="AS11" s="522">
        <v>9</v>
      </c>
      <c r="AT11" s="523" t="s">
        <v>153</v>
      </c>
      <c r="AU11" s="524"/>
      <c r="AV11" s="531" t="s">
        <v>142</v>
      </c>
    </row>
    <row r="12" spans="1:48">
      <c r="A12" s="527">
        <v>10</v>
      </c>
      <c r="B12" s="528" t="s">
        <v>154</v>
      </c>
      <c r="C12" s="529"/>
      <c r="D12" s="610" t="s">
        <v>142</v>
      </c>
      <c r="E12" s="522">
        <v>10</v>
      </c>
      <c r="F12" s="523" t="s">
        <v>157</v>
      </c>
      <c r="G12" s="524"/>
      <c r="H12" s="526" t="s">
        <v>142</v>
      </c>
      <c r="I12" s="522">
        <v>10</v>
      </c>
      <c r="J12" s="523" t="s">
        <v>156</v>
      </c>
      <c r="K12" s="524"/>
      <c r="L12" s="531"/>
      <c r="M12" s="527">
        <v>10</v>
      </c>
      <c r="N12" s="528" t="s">
        <v>159</v>
      </c>
      <c r="O12" s="529"/>
      <c r="P12" s="530" t="s">
        <v>142</v>
      </c>
      <c r="Q12" s="522">
        <v>10</v>
      </c>
      <c r="R12" s="523" t="s">
        <v>157</v>
      </c>
      <c r="S12" s="524"/>
      <c r="T12" s="531" t="s">
        <v>142</v>
      </c>
      <c r="U12" s="522">
        <v>10</v>
      </c>
      <c r="V12" s="523" t="s">
        <v>158</v>
      </c>
      <c r="W12" s="524"/>
      <c r="X12" s="531" t="s">
        <v>142</v>
      </c>
      <c r="Y12" s="522">
        <v>10</v>
      </c>
      <c r="Z12" s="523" t="s">
        <v>155</v>
      </c>
      <c r="AA12" s="524"/>
      <c r="AB12" s="526">
        <v>7</v>
      </c>
      <c r="AC12" s="522">
        <v>10</v>
      </c>
      <c r="AD12" s="523" t="s">
        <v>155</v>
      </c>
      <c r="AE12" s="524"/>
      <c r="AF12" s="531">
        <v>11</v>
      </c>
      <c r="AG12" s="522">
        <v>10</v>
      </c>
      <c r="AH12" s="523" t="s">
        <v>156</v>
      </c>
      <c r="AI12" s="524"/>
      <c r="AJ12" s="526"/>
      <c r="AK12" s="527">
        <v>10</v>
      </c>
      <c r="AL12" s="528" t="s">
        <v>154</v>
      </c>
      <c r="AM12" s="529"/>
      <c r="AN12" s="530" t="s">
        <v>142</v>
      </c>
      <c r="AO12" s="522">
        <v>10</v>
      </c>
      <c r="AP12" s="523" t="s">
        <v>157</v>
      </c>
      <c r="AQ12" s="524"/>
      <c r="AR12" s="526"/>
      <c r="AS12" s="522">
        <v>10</v>
      </c>
      <c r="AT12" s="523" t="s">
        <v>156</v>
      </c>
      <c r="AU12" s="524"/>
      <c r="AV12" s="531"/>
    </row>
    <row r="13" spans="1:48">
      <c r="A13" s="527">
        <v>11</v>
      </c>
      <c r="B13" s="528" t="s">
        <v>159</v>
      </c>
      <c r="C13" s="529"/>
      <c r="D13" s="610" t="s">
        <v>142</v>
      </c>
      <c r="E13" s="522">
        <v>11</v>
      </c>
      <c r="F13" s="523" t="s">
        <v>153</v>
      </c>
      <c r="G13" s="524"/>
      <c r="H13" s="526"/>
      <c r="I13" s="522">
        <v>11</v>
      </c>
      <c r="J13" s="523" t="s">
        <v>158</v>
      </c>
      <c r="K13" s="524"/>
      <c r="L13" s="531" t="s">
        <v>142</v>
      </c>
      <c r="M13" s="522">
        <v>11</v>
      </c>
      <c r="N13" s="523" t="s">
        <v>155</v>
      </c>
      <c r="O13" s="524"/>
      <c r="P13" s="531">
        <v>46</v>
      </c>
      <c r="Q13" s="522">
        <v>11</v>
      </c>
      <c r="R13" s="523" t="s">
        <v>153</v>
      </c>
      <c r="S13" s="524"/>
      <c r="T13" s="531"/>
      <c r="U13" s="527">
        <v>11</v>
      </c>
      <c r="V13" s="528" t="s">
        <v>154</v>
      </c>
      <c r="W13" s="529"/>
      <c r="X13" s="530" t="s">
        <v>142</v>
      </c>
      <c r="Y13" s="522">
        <v>11</v>
      </c>
      <c r="Z13" s="523" t="s">
        <v>157</v>
      </c>
      <c r="AA13" s="524"/>
      <c r="AB13" s="526" t="s">
        <v>142</v>
      </c>
      <c r="AC13" s="522">
        <v>11</v>
      </c>
      <c r="AD13" s="523" t="s">
        <v>157</v>
      </c>
      <c r="AE13" s="524"/>
      <c r="AF13" s="531"/>
      <c r="AG13" s="522">
        <v>11</v>
      </c>
      <c r="AH13" s="523" t="s">
        <v>158</v>
      </c>
      <c r="AI13" s="524"/>
      <c r="AJ13" s="526" t="s">
        <v>142</v>
      </c>
      <c r="AK13" s="527">
        <v>11</v>
      </c>
      <c r="AL13" s="528" t="s">
        <v>159</v>
      </c>
      <c r="AM13" s="529"/>
      <c r="AN13" s="530" t="s">
        <v>142</v>
      </c>
      <c r="AO13" s="522">
        <v>11</v>
      </c>
      <c r="AP13" s="523" t="s">
        <v>153</v>
      </c>
      <c r="AQ13" s="524"/>
      <c r="AR13" s="526" t="s">
        <v>142</v>
      </c>
      <c r="AS13" s="522">
        <v>11</v>
      </c>
      <c r="AT13" s="523" t="s">
        <v>158</v>
      </c>
      <c r="AU13" s="524"/>
      <c r="AV13" s="531" t="s">
        <v>142</v>
      </c>
    </row>
    <row r="14" spans="1:48">
      <c r="A14" s="522">
        <v>12</v>
      </c>
      <c r="B14" s="523" t="s">
        <v>155</v>
      </c>
      <c r="C14" s="524"/>
      <c r="D14" s="534">
        <v>33</v>
      </c>
      <c r="E14" s="522">
        <v>12</v>
      </c>
      <c r="F14" s="523" t="s">
        <v>156</v>
      </c>
      <c r="G14" s="524"/>
      <c r="H14" s="526"/>
      <c r="I14" s="527">
        <v>12</v>
      </c>
      <c r="J14" s="528" t="s">
        <v>154</v>
      </c>
      <c r="K14" s="529"/>
      <c r="L14" s="530" t="s">
        <v>142</v>
      </c>
      <c r="M14" s="522">
        <v>12</v>
      </c>
      <c r="N14" s="523" t="s">
        <v>157</v>
      </c>
      <c r="O14" s="524"/>
      <c r="P14" s="531" t="s">
        <v>142</v>
      </c>
      <c r="Q14" s="522">
        <v>12</v>
      </c>
      <c r="R14" s="523" t="s">
        <v>156</v>
      </c>
      <c r="S14" s="524"/>
      <c r="T14" s="531"/>
      <c r="U14" s="527">
        <v>12</v>
      </c>
      <c r="V14" s="528" t="s">
        <v>159</v>
      </c>
      <c r="W14" s="529"/>
      <c r="X14" s="530" t="s">
        <v>142</v>
      </c>
      <c r="Y14" s="522">
        <v>12</v>
      </c>
      <c r="Z14" s="523" t="s">
        <v>153</v>
      </c>
      <c r="AA14" s="524"/>
      <c r="AB14" s="526"/>
      <c r="AC14" s="522">
        <v>12</v>
      </c>
      <c r="AD14" s="523" t="s">
        <v>153</v>
      </c>
      <c r="AE14" s="524"/>
      <c r="AF14" s="531" t="s">
        <v>142</v>
      </c>
      <c r="AG14" s="527">
        <v>12</v>
      </c>
      <c r="AH14" s="528" t="s">
        <v>154</v>
      </c>
      <c r="AI14" s="529"/>
      <c r="AJ14" s="532" t="s">
        <v>142</v>
      </c>
      <c r="AK14" s="522">
        <v>12</v>
      </c>
      <c r="AL14" s="523" t="s">
        <v>155</v>
      </c>
      <c r="AM14" s="524"/>
      <c r="AN14" s="531">
        <v>20</v>
      </c>
      <c r="AO14" s="522">
        <v>12</v>
      </c>
      <c r="AP14" s="523" t="s">
        <v>156</v>
      </c>
      <c r="AQ14" s="524"/>
      <c r="AR14" s="526"/>
      <c r="AS14" s="527">
        <v>12</v>
      </c>
      <c r="AT14" s="528" t="s">
        <v>154</v>
      </c>
      <c r="AU14" s="529"/>
      <c r="AV14" s="530" t="s">
        <v>142</v>
      </c>
    </row>
    <row r="15" spans="1:48">
      <c r="A15" s="522">
        <v>13</v>
      </c>
      <c r="B15" s="523" t="s">
        <v>157</v>
      </c>
      <c r="C15" s="524"/>
      <c r="D15" s="534" t="s">
        <v>142</v>
      </c>
      <c r="E15" s="522">
        <v>13</v>
      </c>
      <c r="F15" s="523" t="s">
        <v>158</v>
      </c>
      <c r="G15" s="524"/>
      <c r="H15" s="526" t="s">
        <v>142</v>
      </c>
      <c r="I15" s="527">
        <v>13</v>
      </c>
      <c r="J15" s="528" t="s">
        <v>159</v>
      </c>
      <c r="K15" s="529"/>
      <c r="L15" s="530" t="s">
        <v>142</v>
      </c>
      <c r="M15" s="522">
        <v>13</v>
      </c>
      <c r="N15" s="523" t="s">
        <v>153</v>
      </c>
      <c r="O15" s="524"/>
      <c r="P15" s="531"/>
      <c r="Q15" s="522">
        <v>13</v>
      </c>
      <c r="R15" s="523" t="s">
        <v>158</v>
      </c>
      <c r="S15" s="524"/>
      <c r="T15" s="531" t="s">
        <v>142</v>
      </c>
      <c r="U15" s="522">
        <v>13</v>
      </c>
      <c r="V15" s="523" t="s">
        <v>155</v>
      </c>
      <c r="W15" s="524"/>
      <c r="X15" s="531">
        <v>3</v>
      </c>
      <c r="Y15" s="522">
        <v>13</v>
      </c>
      <c r="Z15" s="523" t="s">
        <v>156</v>
      </c>
      <c r="AA15" s="524"/>
      <c r="AB15" s="526"/>
      <c r="AC15" s="522">
        <v>13</v>
      </c>
      <c r="AD15" s="523" t="s">
        <v>156</v>
      </c>
      <c r="AE15" s="524"/>
      <c r="AF15" s="531"/>
      <c r="AG15" s="527">
        <v>13</v>
      </c>
      <c r="AH15" s="528" t="s">
        <v>159</v>
      </c>
      <c r="AI15" s="529" t="s">
        <v>176</v>
      </c>
      <c r="AJ15" s="532" t="s">
        <v>142</v>
      </c>
      <c r="AK15" s="522">
        <v>13</v>
      </c>
      <c r="AL15" s="523" t="s">
        <v>157</v>
      </c>
      <c r="AM15" s="524"/>
      <c r="AN15" s="531"/>
      <c r="AO15" s="522">
        <v>13</v>
      </c>
      <c r="AP15" s="523" t="s">
        <v>158</v>
      </c>
      <c r="AQ15" s="524"/>
      <c r="AR15" s="526" t="s">
        <v>142</v>
      </c>
      <c r="AS15" s="527">
        <v>13</v>
      </c>
      <c r="AT15" s="528" t="s">
        <v>159</v>
      </c>
      <c r="AU15" s="529"/>
      <c r="AV15" s="530" t="s">
        <v>142</v>
      </c>
    </row>
    <row r="16" spans="1:48">
      <c r="A16" s="522">
        <v>14</v>
      </c>
      <c r="B16" s="523" t="s">
        <v>153</v>
      </c>
      <c r="C16" s="524"/>
      <c r="D16" s="534"/>
      <c r="E16" s="527">
        <v>14</v>
      </c>
      <c r="F16" s="528" t="s">
        <v>154</v>
      </c>
      <c r="G16" s="529"/>
      <c r="H16" s="532" t="s">
        <v>142</v>
      </c>
      <c r="I16" s="522">
        <v>14</v>
      </c>
      <c r="J16" s="523" t="s">
        <v>155</v>
      </c>
      <c r="K16" s="524"/>
      <c r="L16" s="531">
        <v>42</v>
      </c>
      <c r="M16" s="522">
        <v>14</v>
      </c>
      <c r="N16" s="523" t="s">
        <v>156</v>
      </c>
      <c r="O16" s="524"/>
      <c r="P16" s="531"/>
      <c r="Q16" s="527">
        <v>14</v>
      </c>
      <c r="R16" s="528" t="s">
        <v>154</v>
      </c>
      <c r="S16" s="529"/>
      <c r="T16" s="530" t="s">
        <v>142</v>
      </c>
      <c r="U16" s="522">
        <v>14</v>
      </c>
      <c r="V16" s="523" t="s">
        <v>157</v>
      </c>
      <c r="W16" s="524"/>
      <c r="X16" s="531" t="s">
        <v>142</v>
      </c>
      <c r="Y16" s="522">
        <v>14</v>
      </c>
      <c r="Z16" s="523" t="s">
        <v>158</v>
      </c>
      <c r="AA16" s="524"/>
      <c r="AB16" s="526" t="s">
        <v>142</v>
      </c>
      <c r="AC16" s="522">
        <v>14</v>
      </c>
      <c r="AD16" s="523" t="s">
        <v>158</v>
      </c>
      <c r="AE16" s="524"/>
      <c r="AF16" s="531" t="s">
        <v>142</v>
      </c>
      <c r="AG16" s="522">
        <v>14</v>
      </c>
      <c r="AH16" s="523" t="s">
        <v>155</v>
      </c>
      <c r="AI16" s="524"/>
      <c r="AJ16" s="526">
        <v>16</v>
      </c>
      <c r="AK16" s="522">
        <v>14</v>
      </c>
      <c r="AL16" s="523" t="s">
        <v>153</v>
      </c>
      <c r="AM16" s="524"/>
      <c r="AN16" s="531" t="s">
        <v>142</v>
      </c>
      <c r="AO16" s="527">
        <v>14</v>
      </c>
      <c r="AP16" s="528" t="s">
        <v>154</v>
      </c>
      <c r="AQ16" s="529"/>
      <c r="AR16" s="532" t="s">
        <v>142</v>
      </c>
      <c r="AS16" s="522">
        <v>14</v>
      </c>
      <c r="AT16" s="523" t="s">
        <v>155</v>
      </c>
      <c r="AU16" s="524"/>
      <c r="AV16" s="531">
        <v>29</v>
      </c>
    </row>
    <row r="17" spans="1:49">
      <c r="A17" s="522">
        <v>15</v>
      </c>
      <c r="B17" s="523" t="s">
        <v>156</v>
      </c>
      <c r="C17" s="524"/>
      <c r="D17" s="525"/>
      <c r="E17" s="527">
        <v>15</v>
      </c>
      <c r="F17" s="528" t="s">
        <v>159</v>
      </c>
      <c r="G17" s="529"/>
      <c r="H17" s="532" t="s">
        <v>142</v>
      </c>
      <c r="I17" s="522">
        <v>15</v>
      </c>
      <c r="J17" s="523" t="s">
        <v>157</v>
      </c>
      <c r="K17" s="524"/>
      <c r="L17" s="531" t="s">
        <v>142</v>
      </c>
      <c r="M17" s="522">
        <v>15</v>
      </c>
      <c r="N17" s="523" t="s">
        <v>158</v>
      </c>
      <c r="O17" s="524"/>
      <c r="P17" s="531" t="s">
        <v>142</v>
      </c>
      <c r="Q17" s="527">
        <v>15</v>
      </c>
      <c r="R17" s="528" t="s">
        <v>159</v>
      </c>
      <c r="S17" s="529"/>
      <c r="T17" s="530" t="s">
        <v>142</v>
      </c>
      <c r="U17" s="522">
        <v>15</v>
      </c>
      <c r="V17" s="523" t="s">
        <v>153</v>
      </c>
      <c r="W17" s="524"/>
      <c r="X17" s="531"/>
      <c r="Y17" s="527">
        <v>15</v>
      </c>
      <c r="Z17" s="528" t="s">
        <v>154</v>
      </c>
      <c r="AA17" s="529"/>
      <c r="AB17" s="532" t="s">
        <v>142</v>
      </c>
      <c r="AC17" s="527">
        <v>15</v>
      </c>
      <c r="AD17" s="528" t="s">
        <v>154</v>
      </c>
      <c r="AE17" s="529"/>
      <c r="AF17" s="530" t="s">
        <v>142</v>
      </c>
      <c r="AG17" s="522">
        <v>15</v>
      </c>
      <c r="AH17" s="523" t="s">
        <v>157</v>
      </c>
      <c r="AI17" s="524"/>
      <c r="AJ17" s="526"/>
      <c r="AK17" s="522">
        <v>15</v>
      </c>
      <c r="AL17" s="523" t="s">
        <v>156</v>
      </c>
      <c r="AM17" s="524"/>
      <c r="AN17" s="531"/>
      <c r="AO17" s="527">
        <v>15</v>
      </c>
      <c r="AP17" s="528" t="s">
        <v>159</v>
      </c>
      <c r="AQ17" s="529"/>
      <c r="AR17" s="532" t="s">
        <v>142</v>
      </c>
      <c r="AS17" s="522">
        <v>15</v>
      </c>
      <c r="AT17" s="523" t="s">
        <v>157</v>
      </c>
      <c r="AU17" s="524"/>
      <c r="AV17" s="531"/>
    </row>
    <row r="18" spans="1:49">
      <c r="A18" s="522">
        <v>16</v>
      </c>
      <c r="B18" s="523" t="s">
        <v>158</v>
      </c>
      <c r="C18" s="524"/>
      <c r="D18" s="525" t="s">
        <v>142</v>
      </c>
      <c r="E18" s="522">
        <v>16</v>
      </c>
      <c r="F18" s="523" t="s">
        <v>155</v>
      </c>
      <c r="G18" s="524"/>
      <c r="H18" s="526">
        <v>38</v>
      </c>
      <c r="I18" s="522">
        <v>16</v>
      </c>
      <c r="J18" s="523" t="s">
        <v>153</v>
      </c>
      <c r="K18" s="524"/>
      <c r="L18" s="531"/>
      <c r="M18" s="527">
        <v>16</v>
      </c>
      <c r="N18" s="528" t="s">
        <v>154</v>
      </c>
      <c r="O18" s="529"/>
      <c r="P18" s="530" t="s">
        <v>142</v>
      </c>
      <c r="Q18" s="522">
        <v>16</v>
      </c>
      <c r="R18" s="523" t="s">
        <v>155</v>
      </c>
      <c r="S18" s="524"/>
      <c r="T18" s="531">
        <v>51</v>
      </c>
      <c r="U18" s="522">
        <v>16</v>
      </c>
      <c r="V18" s="523" t="s">
        <v>156</v>
      </c>
      <c r="W18" s="524"/>
      <c r="X18" s="531"/>
      <c r="Y18" s="527">
        <v>16</v>
      </c>
      <c r="Z18" s="528" t="s">
        <v>159</v>
      </c>
      <c r="AA18" s="529"/>
      <c r="AB18" s="532" t="s">
        <v>142</v>
      </c>
      <c r="AC18" s="527">
        <v>16</v>
      </c>
      <c r="AD18" s="528" t="s">
        <v>159</v>
      </c>
      <c r="AE18" s="529"/>
      <c r="AF18" s="530" t="s">
        <v>142</v>
      </c>
      <c r="AG18" s="522">
        <v>16</v>
      </c>
      <c r="AH18" s="523" t="s">
        <v>153</v>
      </c>
      <c r="AI18" s="524"/>
      <c r="AJ18" s="526" t="s">
        <v>142</v>
      </c>
      <c r="AK18" s="522">
        <v>16</v>
      </c>
      <c r="AL18" s="523" t="s">
        <v>158</v>
      </c>
      <c r="AM18" s="524"/>
      <c r="AN18" s="531" t="s">
        <v>142</v>
      </c>
      <c r="AO18" s="522">
        <v>16</v>
      </c>
      <c r="AP18" s="523" t="s">
        <v>155</v>
      </c>
      <c r="AQ18" s="524"/>
      <c r="AR18" s="526">
        <v>25</v>
      </c>
      <c r="AS18" s="522">
        <v>16</v>
      </c>
      <c r="AT18" s="523" t="s">
        <v>153</v>
      </c>
      <c r="AU18" s="524"/>
      <c r="AV18" s="531" t="s">
        <v>142</v>
      </c>
    </row>
    <row r="19" spans="1:49">
      <c r="A19" s="527">
        <v>17</v>
      </c>
      <c r="B19" s="528" t="s">
        <v>154</v>
      </c>
      <c r="C19" s="529"/>
      <c r="D19" s="610" t="s">
        <v>142</v>
      </c>
      <c r="E19" s="522">
        <v>17</v>
      </c>
      <c r="F19" s="523" t="s">
        <v>157</v>
      </c>
      <c r="G19" s="524"/>
      <c r="H19" s="526" t="s">
        <v>142</v>
      </c>
      <c r="I19" s="522">
        <v>17</v>
      </c>
      <c r="J19" s="523" t="s">
        <v>156</v>
      </c>
      <c r="K19" s="524"/>
      <c r="L19" s="531"/>
      <c r="M19" s="527">
        <v>17</v>
      </c>
      <c r="N19" s="528" t="s">
        <v>159</v>
      </c>
      <c r="O19" s="529"/>
      <c r="P19" s="530" t="s">
        <v>142</v>
      </c>
      <c r="Q19" s="522">
        <v>17</v>
      </c>
      <c r="R19" s="523" t="s">
        <v>157</v>
      </c>
      <c r="S19" s="524"/>
      <c r="T19" s="531" t="s">
        <v>142</v>
      </c>
      <c r="U19" s="522">
        <v>17</v>
      </c>
      <c r="V19" s="523" t="s">
        <v>158</v>
      </c>
      <c r="W19" s="524"/>
      <c r="X19" s="531" t="s">
        <v>142</v>
      </c>
      <c r="Y19" s="522">
        <v>17</v>
      </c>
      <c r="Z19" s="523" t="s">
        <v>155</v>
      </c>
      <c r="AA19" s="524"/>
      <c r="AB19" s="526">
        <v>8</v>
      </c>
      <c r="AC19" s="522">
        <v>17</v>
      </c>
      <c r="AD19" s="523" t="s">
        <v>155</v>
      </c>
      <c r="AE19" s="524"/>
      <c r="AF19" s="531">
        <v>12</v>
      </c>
      <c r="AG19" s="527">
        <v>17</v>
      </c>
      <c r="AH19" s="528" t="s">
        <v>156</v>
      </c>
      <c r="AI19" s="529" t="s">
        <v>105</v>
      </c>
      <c r="AJ19" s="532"/>
      <c r="AK19" s="527">
        <v>17</v>
      </c>
      <c r="AL19" s="528" t="s">
        <v>154</v>
      </c>
      <c r="AM19" s="529"/>
      <c r="AN19" s="530" t="s">
        <v>142</v>
      </c>
      <c r="AO19" s="522">
        <v>17</v>
      </c>
      <c r="AP19" s="523" t="s">
        <v>157</v>
      </c>
      <c r="AQ19" s="524"/>
      <c r="AR19" s="526"/>
      <c r="AS19" s="522">
        <v>17</v>
      </c>
      <c r="AT19" s="523" t="s">
        <v>156</v>
      </c>
      <c r="AU19" s="524"/>
      <c r="AV19" s="531"/>
    </row>
    <row r="20" spans="1:49">
      <c r="A20" s="527">
        <v>18</v>
      </c>
      <c r="B20" s="528" t="s">
        <v>159</v>
      </c>
      <c r="C20" s="529"/>
      <c r="D20" s="610" t="s">
        <v>142</v>
      </c>
      <c r="E20" s="522">
        <v>18</v>
      </c>
      <c r="F20" s="523" t="s">
        <v>153</v>
      </c>
      <c r="G20" s="524"/>
      <c r="H20" s="526"/>
      <c r="I20" s="522">
        <v>18</v>
      </c>
      <c r="J20" s="523" t="s">
        <v>158</v>
      </c>
      <c r="K20" s="524"/>
      <c r="L20" s="531" t="s">
        <v>142</v>
      </c>
      <c r="M20" s="522">
        <v>18</v>
      </c>
      <c r="N20" s="523" t="s">
        <v>155</v>
      </c>
      <c r="O20" s="524"/>
      <c r="P20" s="531">
        <v>47</v>
      </c>
      <c r="Q20" s="522">
        <v>18</v>
      </c>
      <c r="R20" s="523" t="s">
        <v>153</v>
      </c>
      <c r="S20" s="524"/>
      <c r="T20" s="531"/>
      <c r="U20" s="527">
        <v>18</v>
      </c>
      <c r="V20" s="528" t="s">
        <v>154</v>
      </c>
      <c r="W20" s="529"/>
      <c r="X20" s="530" t="s">
        <v>142</v>
      </c>
      <c r="Y20" s="522">
        <v>18</v>
      </c>
      <c r="Z20" s="523" t="s">
        <v>157</v>
      </c>
      <c r="AA20" s="524"/>
      <c r="AB20" s="526" t="s">
        <v>142</v>
      </c>
      <c r="AC20" s="522">
        <v>18</v>
      </c>
      <c r="AD20" s="523" t="s">
        <v>157</v>
      </c>
      <c r="AE20" s="524"/>
      <c r="AF20" s="531"/>
      <c r="AG20" s="527">
        <v>18</v>
      </c>
      <c r="AH20" s="528" t="s">
        <v>158</v>
      </c>
      <c r="AI20" s="529" t="s">
        <v>167</v>
      </c>
      <c r="AJ20" s="532" t="s">
        <v>142</v>
      </c>
      <c r="AK20" s="527">
        <v>18</v>
      </c>
      <c r="AL20" s="528" t="s">
        <v>159</v>
      </c>
      <c r="AM20" s="1525"/>
      <c r="AN20" s="1526"/>
      <c r="AO20" s="522">
        <v>18</v>
      </c>
      <c r="AP20" s="523" t="s">
        <v>153</v>
      </c>
      <c r="AQ20" s="524"/>
      <c r="AR20" s="526" t="s">
        <v>142</v>
      </c>
      <c r="AS20" s="522">
        <v>18</v>
      </c>
      <c r="AT20" s="537" t="s">
        <v>158</v>
      </c>
      <c r="AU20" s="524"/>
      <c r="AV20" s="531" t="s">
        <v>142</v>
      </c>
    </row>
    <row r="21" spans="1:49">
      <c r="A21" s="522">
        <v>19</v>
      </c>
      <c r="B21" s="523" t="s">
        <v>155</v>
      </c>
      <c r="C21" s="524"/>
      <c r="D21" s="534">
        <v>34</v>
      </c>
      <c r="E21" s="522">
        <v>19</v>
      </c>
      <c r="F21" s="523" t="s">
        <v>156</v>
      </c>
      <c r="G21" s="524"/>
      <c r="H21" s="526"/>
      <c r="I21" s="527">
        <v>19</v>
      </c>
      <c r="J21" s="528" t="s">
        <v>154</v>
      </c>
      <c r="K21" s="529"/>
      <c r="L21" s="530" t="s">
        <v>142</v>
      </c>
      <c r="M21" s="522">
        <v>19</v>
      </c>
      <c r="N21" s="523" t="s">
        <v>157</v>
      </c>
      <c r="O21" s="524"/>
      <c r="P21" s="531" t="s">
        <v>142</v>
      </c>
      <c r="Q21" s="522">
        <v>19</v>
      </c>
      <c r="R21" s="523" t="s">
        <v>156</v>
      </c>
      <c r="S21" s="524"/>
      <c r="T21" s="531"/>
      <c r="U21" s="527">
        <v>19</v>
      </c>
      <c r="V21" s="528" t="s">
        <v>159</v>
      </c>
      <c r="W21" s="529"/>
      <c r="X21" s="530" t="s">
        <v>142</v>
      </c>
      <c r="Y21" s="522">
        <v>19</v>
      </c>
      <c r="Z21" s="523" t="s">
        <v>153</v>
      </c>
      <c r="AA21" s="524"/>
      <c r="AB21" s="526"/>
      <c r="AC21" s="522">
        <v>19</v>
      </c>
      <c r="AD21" s="523" t="s">
        <v>153</v>
      </c>
      <c r="AE21" s="524"/>
      <c r="AF21" s="531" t="s">
        <v>142</v>
      </c>
      <c r="AG21" s="527">
        <v>19</v>
      </c>
      <c r="AH21" s="528" t="s">
        <v>154</v>
      </c>
      <c r="AI21" s="529"/>
      <c r="AJ21" s="532" t="s">
        <v>142</v>
      </c>
      <c r="AK21" s="522">
        <v>19</v>
      </c>
      <c r="AL21" s="523" t="s">
        <v>155</v>
      </c>
      <c r="AM21" s="524"/>
      <c r="AN21" s="531">
        <v>21</v>
      </c>
      <c r="AO21" s="522">
        <v>19</v>
      </c>
      <c r="AP21" s="523" t="s">
        <v>156</v>
      </c>
      <c r="AQ21" s="524"/>
      <c r="AR21" s="526"/>
      <c r="AS21" s="527">
        <v>19</v>
      </c>
      <c r="AT21" s="528" t="s">
        <v>154</v>
      </c>
      <c r="AU21" s="529"/>
      <c r="AV21" s="530" t="s">
        <v>142</v>
      </c>
    </row>
    <row r="22" spans="1:49">
      <c r="A22" s="522">
        <v>20</v>
      </c>
      <c r="B22" s="523" t="s">
        <v>157</v>
      </c>
      <c r="C22" s="524"/>
      <c r="D22" s="534" t="s">
        <v>142</v>
      </c>
      <c r="E22" s="522">
        <v>20</v>
      </c>
      <c r="F22" s="523" t="s">
        <v>158</v>
      </c>
      <c r="G22" s="524"/>
      <c r="H22" s="526" t="s">
        <v>142</v>
      </c>
      <c r="I22" s="527">
        <v>20</v>
      </c>
      <c r="J22" s="528" t="s">
        <v>159</v>
      </c>
      <c r="K22" s="529"/>
      <c r="L22" s="530" t="s">
        <v>142</v>
      </c>
      <c r="M22" s="522">
        <v>20</v>
      </c>
      <c r="N22" s="523" t="s">
        <v>153</v>
      </c>
      <c r="O22" s="524"/>
      <c r="P22" s="531"/>
      <c r="Q22" s="522">
        <v>20</v>
      </c>
      <c r="R22" s="523" t="s">
        <v>158</v>
      </c>
      <c r="S22" s="524"/>
      <c r="T22" s="531" t="s">
        <v>142</v>
      </c>
      <c r="U22" s="522">
        <v>20</v>
      </c>
      <c r="V22" s="523" t="s">
        <v>155</v>
      </c>
      <c r="W22" s="524"/>
      <c r="X22" s="531">
        <v>4</v>
      </c>
      <c r="Y22" s="522">
        <v>20</v>
      </c>
      <c r="Z22" s="523" t="s">
        <v>156</v>
      </c>
      <c r="AA22" s="524"/>
      <c r="AB22" s="526"/>
      <c r="AC22" s="522">
        <v>20</v>
      </c>
      <c r="AD22" s="523" t="s">
        <v>156</v>
      </c>
      <c r="AE22" s="524"/>
      <c r="AF22" s="531"/>
      <c r="AG22" s="527">
        <v>20</v>
      </c>
      <c r="AH22" s="528" t="s">
        <v>159</v>
      </c>
      <c r="AI22" s="529" t="s">
        <v>114</v>
      </c>
      <c r="AJ22" s="532" t="s">
        <v>142</v>
      </c>
      <c r="AK22" s="522">
        <v>20</v>
      </c>
      <c r="AL22" s="523" t="s">
        <v>157</v>
      </c>
      <c r="AM22" s="524"/>
      <c r="AN22" s="531"/>
      <c r="AO22" s="522">
        <v>20</v>
      </c>
      <c r="AP22" s="537" t="s">
        <v>158</v>
      </c>
      <c r="AQ22" s="524"/>
      <c r="AR22" s="526" t="s">
        <v>142</v>
      </c>
      <c r="AS22" s="527">
        <v>20</v>
      </c>
      <c r="AT22" s="528" t="s">
        <v>159</v>
      </c>
      <c r="AU22" s="529"/>
      <c r="AV22" s="530" t="s">
        <v>142</v>
      </c>
    </row>
    <row r="23" spans="1:49">
      <c r="A23" s="522">
        <v>21</v>
      </c>
      <c r="B23" s="523" t="s">
        <v>153</v>
      </c>
      <c r="C23" s="524"/>
      <c r="D23" s="534"/>
      <c r="E23" s="527">
        <v>21</v>
      </c>
      <c r="F23" s="528" t="s">
        <v>154</v>
      </c>
      <c r="G23" s="529"/>
      <c r="H23" s="532" t="s">
        <v>142</v>
      </c>
      <c r="I23" s="522">
        <v>21</v>
      </c>
      <c r="J23" s="523" t="s">
        <v>155</v>
      </c>
      <c r="K23" s="524"/>
      <c r="L23" s="531">
        <v>43</v>
      </c>
      <c r="M23" s="522">
        <v>21</v>
      </c>
      <c r="N23" s="523" t="s">
        <v>156</v>
      </c>
      <c r="O23" s="524"/>
      <c r="P23" s="531"/>
      <c r="Q23" s="527">
        <v>21</v>
      </c>
      <c r="R23" s="528" t="s">
        <v>154</v>
      </c>
      <c r="S23" s="529"/>
      <c r="T23" s="530" t="s">
        <v>142</v>
      </c>
      <c r="U23" s="522">
        <v>21</v>
      </c>
      <c r="V23" s="523" t="s">
        <v>157</v>
      </c>
      <c r="W23" s="524"/>
      <c r="X23" s="531" t="s">
        <v>142</v>
      </c>
      <c r="Y23" s="522">
        <v>21</v>
      </c>
      <c r="Z23" s="523" t="s">
        <v>158</v>
      </c>
      <c r="AA23" s="524"/>
      <c r="AB23" s="526" t="s">
        <v>142</v>
      </c>
      <c r="AC23" s="522">
        <v>21</v>
      </c>
      <c r="AD23" s="523" t="s">
        <v>158</v>
      </c>
      <c r="AE23" s="524"/>
      <c r="AF23" s="531" t="s">
        <v>142</v>
      </c>
      <c r="AG23" s="527">
        <v>21</v>
      </c>
      <c r="AH23" s="528" t="s">
        <v>155</v>
      </c>
      <c r="AI23" s="529" t="s">
        <v>312</v>
      </c>
      <c r="AJ23" s="532">
        <v>17</v>
      </c>
      <c r="AK23" s="522">
        <v>21</v>
      </c>
      <c r="AL23" s="523" t="s">
        <v>153</v>
      </c>
      <c r="AM23" s="524"/>
      <c r="AN23" s="531" t="s">
        <v>142</v>
      </c>
      <c r="AO23" s="527">
        <v>21</v>
      </c>
      <c r="AP23" s="528" t="s">
        <v>154</v>
      </c>
      <c r="AQ23" s="529"/>
      <c r="AR23" s="532" t="s">
        <v>142</v>
      </c>
      <c r="AS23" s="522">
        <v>21</v>
      </c>
      <c r="AT23" s="537" t="s">
        <v>155</v>
      </c>
      <c r="AU23" s="524"/>
      <c r="AV23" s="531">
        <v>30</v>
      </c>
      <c r="AW23" s="4"/>
    </row>
    <row r="24" spans="1:49">
      <c r="A24" s="522">
        <v>22</v>
      </c>
      <c r="B24" s="523" t="s">
        <v>156</v>
      </c>
      <c r="C24" s="524"/>
      <c r="D24" s="534"/>
      <c r="E24" s="527">
        <v>22</v>
      </c>
      <c r="F24" s="528" t="s">
        <v>159</v>
      </c>
      <c r="G24" s="529"/>
      <c r="H24" s="532" t="s">
        <v>142</v>
      </c>
      <c r="I24" s="522">
        <v>22</v>
      </c>
      <c r="J24" s="523" t="s">
        <v>157</v>
      </c>
      <c r="K24" s="524"/>
      <c r="L24" s="531" t="s">
        <v>142</v>
      </c>
      <c r="M24" s="522">
        <v>22</v>
      </c>
      <c r="N24" s="523" t="s">
        <v>158</v>
      </c>
      <c r="O24" s="524"/>
      <c r="P24" s="531" t="s">
        <v>142</v>
      </c>
      <c r="Q24" s="527">
        <v>22</v>
      </c>
      <c r="R24" s="528" t="s">
        <v>159</v>
      </c>
      <c r="S24" s="529"/>
      <c r="T24" s="530" t="s">
        <v>142</v>
      </c>
      <c r="U24" s="522">
        <v>22</v>
      </c>
      <c r="V24" s="523" t="s">
        <v>153</v>
      </c>
      <c r="W24" s="524"/>
      <c r="X24" s="531"/>
      <c r="Y24" s="527">
        <v>22</v>
      </c>
      <c r="Z24" s="528" t="s">
        <v>154</v>
      </c>
      <c r="AA24" s="529"/>
      <c r="AB24" s="532" t="s">
        <v>142</v>
      </c>
      <c r="AC24" s="527">
        <v>22</v>
      </c>
      <c r="AD24" s="528" t="s">
        <v>154</v>
      </c>
      <c r="AE24" s="529"/>
      <c r="AF24" s="530" t="s">
        <v>142</v>
      </c>
      <c r="AG24" s="522">
        <v>22</v>
      </c>
      <c r="AH24" s="523" t="s">
        <v>157</v>
      </c>
      <c r="AI24" s="524"/>
      <c r="AJ24" s="526"/>
      <c r="AK24" s="522">
        <v>22</v>
      </c>
      <c r="AL24" s="523" t="s">
        <v>156</v>
      </c>
      <c r="AM24" s="524"/>
      <c r="AN24" s="531"/>
      <c r="AO24" s="527">
        <v>22</v>
      </c>
      <c r="AP24" s="528" t="s">
        <v>159</v>
      </c>
      <c r="AQ24" s="529"/>
      <c r="AR24" s="532" t="s">
        <v>142</v>
      </c>
      <c r="AS24" s="522">
        <v>22</v>
      </c>
      <c r="AT24" s="523" t="s">
        <v>157</v>
      </c>
      <c r="AU24" s="524"/>
      <c r="AV24" s="531"/>
      <c r="AW24" s="4"/>
    </row>
    <row r="25" spans="1:49">
      <c r="A25" s="522">
        <v>23</v>
      </c>
      <c r="B25" s="523" t="s">
        <v>158</v>
      </c>
      <c r="C25" s="524"/>
      <c r="D25" s="534" t="s">
        <v>142</v>
      </c>
      <c r="E25" s="522">
        <v>23</v>
      </c>
      <c r="F25" s="523" t="s">
        <v>155</v>
      </c>
      <c r="G25" s="524"/>
      <c r="H25" s="526">
        <v>39</v>
      </c>
      <c r="I25" s="522">
        <v>23</v>
      </c>
      <c r="J25" s="523" t="s">
        <v>153</v>
      </c>
      <c r="K25" s="524"/>
      <c r="L25" s="531"/>
      <c r="M25" s="527">
        <v>23</v>
      </c>
      <c r="N25" s="528" t="s">
        <v>154</v>
      </c>
      <c r="O25" s="529"/>
      <c r="P25" s="530" t="s">
        <v>142</v>
      </c>
      <c r="Q25" s="522">
        <v>23</v>
      </c>
      <c r="R25" s="523" t="s">
        <v>155</v>
      </c>
      <c r="S25" s="524"/>
      <c r="T25" s="531">
        <v>52</v>
      </c>
      <c r="U25" s="522">
        <v>23</v>
      </c>
      <c r="V25" s="523" t="s">
        <v>156</v>
      </c>
      <c r="W25" s="524"/>
      <c r="X25" s="531"/>
      <c r="Y25" s="527">
        <v>23</v>
      </c>
      <c r="Z25" s="528" t="s">
        <v>159</v>
      </c>
      <c r="AA25" s="529"/>
      <c r="AB25" s="532" t="s">
        <v>142</v>
      </c>
      <c r="AC25" s="527">
        <v>23</v>
      </c>
      <c r="AD25" s="528" t="s">
        <v>159</v>
      </c>
      <c r="AE25" s="529"/>
      <c r="AF25" s="530" t="s">
        <v>142</v>
      </c>
      <c r="AG25" s="522">
        <v>23</v>
      </c>
      <c r="AH25" s="523" t="s">
        <v>153</v>
      </c>
      <c r="AI25" s="524"/>
      <c r="AJ25" s="526" t="s">
        <v>142</v>
      </c>
      <c r="AK25" s="522">
        <v>23</v>
      </c>
      <c r="AL25" s="537" t="s">
        <v>158</v>
      </c>
      <c r="AM25" s="524"/>
      <c r="AN25" s="531" t="s">
        <v>142</v>
      </c>
      <c r="AO25" s="522">
        <v>23</v>
      </c>
      <c r="AP25" s="537" t="s">
        <v>155</v>
      </c>
      <c r="AQ25" s="524"/>
      <c r="AR25" s="526">
        <v>26</v>
      </c>
      <c r="AS25" s="522">
        <v>23</v>
      </c>
      <c r="AT25" s="523" t="s">
        <v>153</v>
      </c>
      <c r="AU25" s="524"/>
      <c r="AV25" s="531" t="s">
        <v>142</v>
      </c>
    </row>
    <row r="26" spans="1:49">
      <c r="A26" s="527">
        <v>24</v>
      </c>
      <c r="B26" s="528" t="s">
        <v>154</v>
      </c>
      <c r="C26" s="529"/>
      <c r="D26" s="533" t="s">
        <v>142</v>
      </c>
      <c r="E26" s="522">
        <v>24</v>
      </c>
      <c r="F26" s="523" t="s">
        <v>157</v>
      </c>
      <c r="G26" s="524"/>
      <c r="H26" s="526" t="s">
        <v>142</v>
      </c>
      <c r="I26" s="522">
        <v>24</v>
      </c>
      <c r="J26" s="523" t="s">
        <v>156</v>
      </c>
      <c r="K26" s="524"/>
      <c r="L26" s="531"/>
      <c r="M26" s="527">
        <v>24</v>
      </c>
      <c r="N26" s="528" t="s">
        <v>159</v>
      </c>
      <c r="O26" s="529"/>
      <c r="P26" s="530" t="s">
        <v>142</v>
      </c>
      <c r="Q26" s="522">
        <v>24</v>
      </c>
      <c r="R26" s="523" t="s">
        <v>157</v>
      </c>
      <c r="S26" s="524" t="s">
        <v>130</v>
      </c>
      <c r="T26" s="531" t="s">
        <v>142</v>
      </c>
      <c r="U26" s="522">
        <v>24</v>
      </c>
      <c r="V26" s="523" t="s">
        <v>158</v>
      </c>
      <c r="W26" s="524"/>
      <c r="X26" s="531" t="s">
        <v>142</v>
      </c>
      <c r="Y26" s="522">
        <v>24</v>
      </c>
      <c r="Z26" s="523" t="s">
        <v>155</v>
      </c>
      <c r="AA26" s="524"/>
      <c r="AB26" s="526">
        <v>9</v>
      </c>
      <c r="AC26" s="522">
        <v>24</v>
      </c>
      <c r="AD26" s="523" t="s">
        <v>155</v>
      </c>
      <c r="AE26" s="524"/>
      <c r="AF26" s="531">
        <v>13</v>
      </c>
      <c r="AG26" s="522">
        <v>24</v>
      </c>
      <c r="AH26" s="523" t="s">
        <v>156</v>
      </c>
      <c r="AI26" s="524"/>
      <c r="AJ26" s="526"/>
      <c r="AK26" s="527">
        <v>24</v>
      </c>
      <c r="AL26" s="528" t="s">
        <v>154</v>
      </c>
      <c r="AM26" s="529"/>
      <c r="AN26" s="530" t="s">
        <v>142</v>
      </c>
      <c r="AO26" s="522">
        <v>24</v>
      </c>
      <c r="AP26" s="523" t="s">
        <v>157</v>
      </c>
      <c r="AQ26" s="524"/>
      <c r="AR26" s="526"/>
      <c r="AS26" s="522">
        <v>24</v>
      </c>
      <c r="AT26" s="523" t="s">
        <v>156</v>
      </c>
      <c r="AU26" s="524"/>
      <c r="AV26" s="531"/>
    </row>
    <row r="27" spans="1:49">
      <c r="A27" s="527">
        <v>25</v>
      </c>
      <c r="B27" s="528" t="s">
        <v>159</v>
      </c>
      <c r="C27" s="529"/>
      <c r="D27" s="533" t="s">
        <v>142</v>
      </c>
      <c r="E27" s="522">
        <v>25</v>
      </c>
      <c r="F27" s="523" t="s">
        <v>153</v>
      </c>
      <c r="G27" s="524"/>
      <c r="H27" s="526"/>
      <c r="I27" s="522">
        <v>25</v>
      </c>
      <c r="J27" s="523" t="s">
        <v>158</v>
      </c>
      <c r="K27" s="524"/>
      <c r="L27" s="531" t="s">
        <v>142</v>
      </c>
      <c r="M27" s="522">
        <v>25</v>
      </c>
      <c r="N27" s="523" t="s">
        <v>155</v>
      </c>
      <c r="O27" s="524"/>
      <c r="P27" s="531">
        <v>48</v>
      </c>
      <c r="Q27" s="527">
        <v>25</v>
      </c>
      <c r="R27" s="528" t="s">
        <v>153</v>
      </c>
      <c r="S27" s="529" t="s">
        <v>317</v>
      </c>
      <c r="T27" s="530"/>
      <c r="U27" s="527">
        <v>25</v>
      </c>
      <c r="V27" s="528" t="s">
        <v>154</v>
      </c>
      <c r="W27" s="529"/>
      <c r="X27" s="530" t="s">
        <v>142</v>
      </c>
      <c r="Y27" s="522">
        <v>25</v>
      </c>
      <c r="Z27" s="523" t="s">
        <v>157</v>
      </c>
      <c r="AA27" s="524"/>
      <c r="AB27" s="526" t="s">
        <v>142</v>
      </c>
      <c r="AC27" s="522">
        <v>25</v>
      </c>
      <c r="AD27" s="523" t="s">
        <v>157</v>
      </c>
      <c r="AE27" s="524"/>
      <c r="AF27" s="531"/>
      <c r="AG27" s="522">
        <v>25</v>
      </c>
      <c r="AH27" s="537" t="s">
        <v>158</v>
      </c>
      <c r="AI27" s="524"/>
      <c r="AJ27" s="526" t="s">
        <v>142</v>
      </c>
      <c r="AK27" s="527">
        <v>25</v>
      </c>
      <c r="AL27" s="528" t="s">
        <v>159</v>
      </c>
      <c r="AM27" s="529"/>
      <c r="AN27" s="530" t="s">
        <v>142</v>
      </c>
      <c r="AO27" s="522">
        <v>25</v>
      </c>
      <c r="AP27" s="523" t="s">
        <v>153</v>
      </c>
      <c r="AQ27" s="524"/>
      <c r="AR27" s="526" t="s">
        <v>142</v>
      </c>
      <c r="AS27" s="522">
        <v>25</v>
      </c>
      <c r="AT27" s="523" t="s">
        <v>158</v>
      </c>
      <c r="AU27" s="524"/>
      <c r="AV27" s="531" t="s">
        <v>142</v>
      </c>
    </row>
    <row r="28" spans="1:49">
      <c r="A28" s="522">
        <v>26</v>
      </c>
      <c r="B28" s="523" t="s">
        <v>155</v>
      </c>
      <c r="C28" s="524"/>
      <c r="D28" s="534">
        <v>35</v>
      </c>
      <c r="E28" s="522">
        <v>26</v>
      </c>
      <c r="F28" s="523" t="s">
        <v>156</v>
      </c>
      <c r="G28" s="524"/>
      <c r="H28" s="526"/>
      <c r="I28" s="527">
        <v>26</v>
      </c>
      <c r="J28" s="528" t="s">
        <v>154</v>
      </c>
      <c r="K28" s="529"/>
      <c r="L28" s="530" t="s">
        <v>142</v>
      </c>
      <c r="M28" s="522">
        <v>26</v>
      </c>
      <c r="N28" s="523" t="s">
        <v>157</v>
      </c>
      <c r="O28" s="524"/>
      <c r="P28" s="531" t="s">
        <v>142</v>
      </c>
      <c r="Q28" s="527">
        <v>26</v>
      </c>
      <c r="R28" s="528" t="s">
        <v>156</v>
      </c>
      <c r="S28" s="529" t="s">
        <v>97</v>
      </c>
      <c r="T28" s="530"/>
      <c r="U28" s="527">
        <v>26</v>
      </c>
      <c r="V28" s="528" t="s">
        <v>159</v>
      </c>
      <c r="W28" s="529"/>
      <c r="X28" s="530" t="s">
        <v>142</v>
      </c>
      <c r="Y28" s="522">
        <v>26</v>
      </c>
      <c r="Z28" s="523" t="s">
        <v>153</v>
      </c>
      <c r="AA28" s="524"/>
      <c r="AB28" s="526"/>
      <c r="AC28" s="522">
        <v>26</v>
      </c>
      <c r="AD28" s="523" t="s">
        <v>153</v>
      </c>
      <c r="AE28" s="524"/>
      <c r="AF28" s="531" t="s">
        <v>142</v>
      </c>
      <c r="AG28" s="527">
        <v>26</v>
      </c>
      <c r="AH28" s="528" t="s">
        <v>154</v>
      </c>
      <c r="AI28" s="529"/>
      <c r="AJ28" s="532" t="s">
        <v>142</v>
      </c>
      <c r="AK28" s="522">
        <v>26</v>
      </c>
      <c r="AL28" s="537" t="s">
        <v>155</v>
      </c>
      <c r="AM28" s="524"/>
      <c r="AN28" s="531">
        <v>22</v>
      </c>
      <c r="AO28" s="522">
        <v>26</v>
      </c>
      <c r="AP28" s="523" t="s">
        <v>156</v>
      </c>
      <c r="AQ28" s="524"/>
      <c r="AR28" s="526"/>
      <c r="AS28" s="527">
        <v>26</v>
      </c>
      <c r="AT28" s="541" t="s">
        <v>154</v>
      </c>
      <c r="AU28" s="529"/>
      <c r="AV28" s="530" t="s">
        <v>142</v>
      </c>
    </row>
    <row r="29" spans="1:49">
      <c r="A29" s="522">
        <v>27</v>
      </c>
      <c r="B29" s="523" t="s">
        <v>157</v>
      </c>
      <c r="C29" s="524"/>
      <c r="D29" s="534" t="s">
        <v>142</v>
      </c>
      <c r="E29" s="522">
        <v>27</v>
      </c>
      <c r="F29" s="523" t="s">
        <v>158</v>
      </c>
      <c r="G29" s="524"/>
      <c r="H29" s="526" t="s">
        <v>142</v>
      </c>
      <c r="I29" s="527">
        <v>27</v>
      </c>
      <c r="J29" s="528" t="s">
        <v>159</v>
      </c>
      <c r="K29" s="529"/>
      <c r="L29" s="530" t="s">
        <v>142</v>
      </c>
      <c r="M29" s="522">
        <v>27</v>
      </c>
      <c r="N29" s="523" t="s">
        <v>153</v>
      </c>
      <c r="O29" s="524"/>
      <c r="P29" s="531"/>
      <c r="Q29" s="522">
        <v>27</v>
      </c>
      <c r="R29" s="523" t="s">
        <v>158</v>
      </c>
      <c r="S29" s="524"/>
      <c r="T29" s="531" t="s">
        <v>142</v>
      </c>
      <c r="U29" s="522">
        <v>27</v>
      </c>
      <c r="V29" s="523" t="s">
        <v>155</v>
      </c>
      <c r="W29" s="524"/>
      <c r="X29" s="531">
        <v>5</v>
      </c>
      <c r="Y29" s="522">
        <v>27</v>
      </c>
      <c r="Z29" s="523" t="s">
        <v>156</v>
      </c>
      <c r="AA29" s="524"/>
      <c r="AB29" s="526"/>
      <c r="AC29" s="522">
        <v>27</v>
      </c>
      <c r="AD29" s="523" t="s">
        <v>156</v>
      </c>
      <c r="AE29" s="524"/>
      <c r="AF29" s="531"/>
      <c r="AG29" s="527">
        <v>27</v>
      </c>
      <c r="AH29" s="528" t="s">
        <v>159</v>
      </c>
      <c r="AI29" s="529"/>
      <c r="AJ29" s="532" t="s">
        <v>142</v>
      </c>
      <c r="AK29" s="522">
        <v>27</v>
      </c>
      <c r="AL29" s="523" t="s">
        <v>157</v>
      </c>
      <c r="AM29" s="524"/>
      <c r="AN29" s="531"/>
      <c r="AO29" s="522">
        <v>27</v>
      </c>
      <c r="AP29" s="523" t="s">
        <v>158</v>
      </c>
      <c r="AQ29" s="524"/>
      <c r="AR29" s="526" t="s">
        <v>142</v>
      </c>
      <c r="AS29" s="527">
        <v>27</v>
      </c>
      <c r="AT29" s="528" t="s">
        <v>159</v>
      </c>
      <c r="AU29" s="529"/>
      <c r="AV29" s="530" t="s">
        <v>142</v>
      </c>
    </row>
    <row r="30" spans="1:49">
      <c r="A30" s="522">
        <v>28</v>
      </c>
      <c r="B30" s="523" t="s">
        <v>153</v>
      </c>
      <c r="C30" s="524"/>
      <c r="D30" s="534"/>
      <c r="E30" s="527">
        <v>28</v>
      </c>
      <c r="F30" s="528" t="s">
        <v>154</v>
      </c>
      <c r="G30" s="529"/>
      <c r="H30" s="532" t="s">
        <v>142</v>
      </c>
      <c r="I30" s="522">
        <v>28</v>
      </c>
      <c r="J30" s="523" t="s">
        <v>155</v>
      </c>
      <c r="K30" s="524"/>
      <c r="L30" s="531">
        <v>44</v>
      </c>
      <c r="M30" s="522">
        <v>28</v>
      </c>
      <c r="N30" s="523" t="s">
        <v>156</v>
      </c>
      <c r="O30" s="524"/>
      <c r="P30" s="531"/>
      <c r="Q30" s="527">
        <v>28</v>
      </c>
      <c r="R30" s="528" t="s">
        <v>154</v>
      </c>
      <c r="S30" s="529"/>
      <c r="T30" s="530" t="s">
        <v>142</v>
      </c>
      <c r="U30" s="522">
        <v>28</v>
      </c>
      <c r="V30" s="523" t="s">
        <v>157</v>
      </c>
      <c r="W30" s="524"/>
      <c r="X30" s="531" t="s">
        <v>142</v>
      </c>
      <c r="Y30" s="522">
        <v>28</v>
      </c>
      <c r="Z30" s="537" t="s">
        <v>158</v>
      </c>
      <c r="AA30" s="524"/>
      <c r="AB30" s="531" t="s">
        <v>142</v>
      </c>
      <c r="AC30" s="522">
        <v>28</v>
      </c>
      <c r="AD30" s="537" t="s">
        <v>158</v>
      </c>
      <c r="AE30" s="524"/>
      <c r="AF30" s="531" t="s">
        <v>142</v>
      </c>
      <c r="AG30" s="522">
        <v>28</v>
      </c>
      <c r="AH30" s="537" t="s">
        <v>155</v>
      </c>
      <c r="AI30" s="524"/>
      <c r="AJ30" s="526">
        <v>18</v>
      </c>
      <c r="AK30" s="522">
        <v>28</v>
      </c>
      <c r="AL30" s="523" t="s">
        <v>153</v>
      </c>
      <c r="AM30" s="524"/>
      <c r="AN30" s="531" t="s">
        <v>142</v>
      </c>
      <c r="AO30" s="527">
        <v>28</v>
      </c>
      <c r="AP30" s="541" t="s">
        <v>154</v>
      </c>
      <c r="AQ30" s="529"/>
      <c r="AR30" s="532" t="s">
        <v>142</v>
      </c>
      <c r="AS30" s="522">
        <v>28</v>
      </c>
      <c r="AT30" s="523" t="s">
        <v>155</v>
      </c>
      <c r="AU30" s="524"/>
      <c r="AV30" s="531">
        <v>31</v>
      </c>
    </row>
    <row r="31" spans="1:49">
      <c r="A31" s="522">
        <v>29</v>
      </c>
      <c r="B31" s="523" t="s">
        <v>156</v>
      </c>
      <c r="C31" s="524"/>
      <c r="D31" s="525"/>
      <c r="E31" s="527">
        <v>29</v>
      </c>
      <c r="F31" s="528" t="s">
        <v>159</v>
      </c>
      <c r="G31" s="529"/>
      <c r="H31" s="532" t="s">
        <v>142</v>
      </c>
      <c r="I31" s="522">
        <v>29</v>
      </c>
      <c r="J31" s="523" t="s">
        <v>157</v>
      </c>
      <c r="K31" s="524"/>
      <c r="L31" s="531" t="s">
        <v>142</v>
      </c>
      <c r="M31" s="522">
        <v>29</v>
      </c>
      <c r="N31" s="523" t="s">
        <v>158</v>
      </c>
      <c r="O31" s="524"/>
      <c r="P31" s="531" t="s">
        <v>142</v>
      </c>
      <c r="Q31" s="527">
        <v>29</v>
      </c>
      <c r="R31" s="528" t="s">
        <v>159</v>
      </c>
      <c r="S31" s="529"/>
      <c r="T31" s="530" t="s">
        <v>142</v>
      </c>
      <c r="U31" s="522">
        <v>29</v>
      </c>
      <c r="V31" s="523" t="s">
        <v>153</v>
      </c>
      <c r="W31" s="524"/>
      <c r="X31" s="531"/>
      <c r="Y31" s="196"/>
      <c r="Z31" s="197"/>
      <c r="AA31" s="198"/>
      <c r="AB31" s="207"/>
      <c r="AC31" s="527">
        <v>29</v>
      </c>
      <c r="AD31" s="528" t="s">
        <v>154</v>
      </c>
      <c r="AE31" s="529"/>
      <c r="AF31" s="530" t="s">
        <v>142</v>
      </c>
      <c r="AG31" s="522">
        <v>29</v>
      </c>
      <c r="AH31" s="523" t="s">
        <v>157</v>
      </c>
      <c r="AI31" s="524"/>
      <c r="AJ31" s="526"/>
      <c r="AK31" s="527">
        <v>29</v>
      </c>
      <c r="AL31" s="528" t="s">
        <v>156</v>
      </c>
      <c r="AM31" s="529" t="s">
        <v>546</v>
      </c>
      <c r="AN31" s="530"/>
      <c r="AO31" s="527">
        <v>29</v>
      </c>
      <c r="AP31" s="528" t="s">
        <v>159</v>
      </c>
      <c r="AQ31" s="529"/>
      <c r="AR31" s="532" t="s">
        <v>142</v>
      </c>
      <c r="AS31" s="522">
        <v>29</v>
      </c>
      <c r="AT31" s="523" t="s">
        <v>157</v>
      </c>
      <c r="AU31" s="524"/>
      <c r="AV31" s="531"/>
    </row>
    <row r="32" spans="1:49">
      <c r="A32" s="522">
        <v>30</v>
      </c>
      <c r="B32" s="523" t="s">
        <v>158</v>
      </c>
      <c r="C32" s="524"/>
      <c r="D32" s="525" t="s">
        <v>142</v>
      </c>
      <c r="E32" s="522">
        <v>30</v>
      </c>
      <c r="F32" s="523" t="s">
        <v>155</v>
      </c>
      <c r="G32" s="524"/>
      <c r="H32" s="526">
        <v>40</v>
      </c>
      <c r="I32" s="522">
        <v>30</v>
      </c>
      <c r="J32" s="523" t="s">
        <v>153</v>
      </c>
      <c r="K32" s="524"/>
      <c r="L32" s="531"/>
      <c r="M32" s="527">
        <v>30</v>
      </c>
      <c r="N32" s="528" t="s">
        <v>154</v>
      </c>
      <c r="O32" s="529"/>
      <c r="P32" s="530" t="s">
        <v>142</v>
      </c>
      <c r="Q32" s="522">
        <v>30</v>
      </c>
      <c r="R32" s="523" t="s">
        <v>155</v>
      </c>
      <c r="S32" s="524"/>
      <c r="T32" s="531">
        <v>1</v>
      </c>
      <c r="U32" s="522">
        <v>30</v>
      </c>
      <c r="V32" s="523" t="s">
        <v>156</v>
      </c>
      <c r="W32" s="524"/>
      <c r="X32" s="531"/>
      <c r="Y32" s="203"/>
      <c r="Z32" s="204"/>
      <c r="AA32" s="205"/>
      <c r="AB32" s="206"/>
      <c r="AC32" s="527">
        <v>30</v>
      </c>
      <c r="AD32" s="528" t="s">
        <v>159</v>
      </c>
      <c r="AE32" s="529"/>
      <c r="AF32" s="530" t="s">
        <v>142</v>
      </c>
      <c r="AG32" s="522">
        <v>30</v>
      </c>
      <c r="AH32" s="523" t="s">
        <v>153</v>
      </c>
      <c r="AI32" s="524"/>
      <c r="AJ32" s="526" t="s">
        <v>142</v>
      </c>
      <c r="AK32" s="522">
        <v>30</v>
      </c>
      <c r="AL32" s="523" t="s">
        <v>158</v>
      </c>
      <c r="AM32" s="524"/>
      <c r="AN32" s="531" t="s">
        <v>142</v>
      </c>
      <c r="AO32" s="522">
        <v>30</v>
      </c>
      <c r="AP32" s="523" t="s">
        <v>155</v>
      </c>
      <c r="AQ32" s="524"/>
      <c r="AR32" s="526">
        <v>27</v>
      </c>
      <c r="AS32" s="522">
        <v>30</v>
      </c>
      <c r="AT32" s="523" t="s">
        <v>153</v>
      </c>
      <c r="AU32" s="524"/>
      <c r="AV32" s="531" t="s">
        <v>142</v>
      </c>
    </row>
    <row r="33" spans="1:48">
      <c r="A33" s="527">
        <v>31</v>
      </c>
      <c r="B33" s="528" t="s">
        <v>154</v>
      </c>
      <c r="C33" s="529"/>
      <c r="D33" s="610" t="s">
        <v>142</v>
      </c>
      <c r="E33" s="203"/>
      <c r="F33" s="204"/>
      <c r="G33" s="205"/>
      <c r="H33" s="535"/>
      <c r="I33" s="536">
        <v>31</v>
      </c>
      <c r="J33" s="537" t="s">
        <v>156</v>
      </c>
      <c r="K33" s="538"/>
      <c r="L33" s="539"/>
      <c r="M33" s="203"/>
      <c r="N33" s="204"/>
      <c r="O33" s="205"/>
      <c r="P33" s="206"/>
      <c r="Q33" s="536">
        <v>31</v>
      </c>
      <c r="R33" s="537" t="s">
        <v>157</v>
      </c>
      <c r="S33" s="612" t="s">
        <v>129</v>
      </c>
      <c r="T33" s="539" t="s">
        <v>142</v>
      </c>
      <c r="U33" s="536">
        <v>31</v>
      </c>
      <c r="V33" s="537" t="s">
        <v>158</v>
      </c>
      <c r="W33" s="538"/>
      <c r="X33" s="539" t="s">
        <v>142</v>
      </c>
      <c r="AC33" s="536">
        <v>31</v>
      </c>
      <c r="AD33" s="537" t="s">
        <v>155</v>
      </c>
      <c r="AE33" s="538"/>
      <c r="AF33" s="539">
        <v>14</v>
      </c>
      <c r="AG33" s="203"/>
      <c r="AH33" s="204"/>
      <c r="AI33" s="205"/>
      <c r="AJ33" s="206"/>
      <c r="AK33" s="540">
        <v>31</v>
      </c>
      <c r="AL33" s="541" t="s">
        <v>154</v>
      </c>
      <c r="AM33" s="543"/>
      <c r="AN33" s="542" t="s">
        <v>142</v>
      </c>
      <c r="AO33" s="203"/>
      <c r="AP33" s="204"/>
      <c r="AQ33" s="205"/>
      <c r="AR33" s="206"/>
      <c r="AS33" s="536">
        <v>31</v>
      </c>
      <c r="AT33" s="537" t="s">
        <v>156</v>
      </c>
      <c r="AU33" s="538"/>
      <c r="AV33" s="539"/>
    </row>
  </sheetData>
  <mergeCells count="1">
    <mergeCell ref="AM20:AN20"/>
  </mergeCells>
  <pageMargins left="0.7" right="0.7" top="0.75" bottom="0.75" header="0.3" footer="0.3"/>
  <pageSetup paperSize="9" scale="48" orientation="landscape"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FD849-6585-0B4F-ACD4-90A6627B4891}">
  <sheetPr>
    <pageSetUpPr fitToPage="1"/>
  </sheetPr>
  <dimension ref="A1:X33"/>
  <sheetViews>
    <sheetView workbookViewId="0">
      <selection activeCell="B4" sqref="B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527" t="str">
        <f>'TOMT ÅR'!A1</f>
        <v>Årskalender for Min egen skole 2024-2025</v>
      </c>
      <c r="B1" s="1528"/>
      <c r="C1" s="1528"/>
      <c r="D1" s="1528"/>
      <c r="E1" s="1528"/>
      <c r="F1" s="1528"/>
      <c r="G1" s="1528"/>
      <c r="H1" s="1528"/>
      <c r="I1" s="1528"/>
      <c r="J1" s="1528"/>
      <c r="K1" s="1528"/>
      <c r="L1" s="1528"/>
      <c r="M1" s="1528"/>
      <c r="N1" s="1528"/>
      <c r="O1" s="1528"/>
      <c r="P1" s="1528"/>
      <c r="Q1" s="1528"/>
      <c r="R1" s="1528"/>
      <c r="S1" s="1528"/>
      <c r="T1" s="1528"/>
      <c r="U1" s="1528"/>
      <c r="V1" s="1528"/>
      <c r="W1" s="1528"/>
      <c r="X1" s="1529"/>
    </row>
    <row r="2" spans="1:24" ht="18">
      <c r="A2" s="302" t="s">
        <v>91</v>
      </c>
      <c r="B2" s="303"/>
      <c r="C2" s="304"/>
      <c r="D2" s="305"/>
      <c r="E2" s="302" t="s">
        <v>92</v>
      </c>
      <c r="F2" s="303"/>
      <c r="G2" s="304"/>
      <c r="H2" s="305"/>
      <c r="I2" s="306" t="s">
        <v>93</v>
      </c>
      <c r="J2" s="303"/>
      <c r="K2" s="304"/>
      <c r="L2" s="305"/>
      <c r="M2" s="302" t="s">
        <v>94</v>
      </c>
      <c r="N2" s="303"/>
      <c r="O2" s="304"/>
      <c r="P2" s="305"/>
      <c r="Q2" s="302" t="s">
        <v>95</v>
      </c>
      <c r="R2" s="303"/>
      <c r="S2" s="304"/>
      <c r="T2" s="305"/>
      <c r="U2" s="302" t="s">
        <v>96</v>
      </c>
      <c r="V2" s="303"/>
      <c r="W2" s="304"/>
      <c r="X2" s="305"/>
    </row>
    <row r="3" spans="1:24">
      <c r="A3" s="522">
        <v>1</v>
      </c>
      <c r="B3" s="523" t="s">
        <v>156</v>
      </c>
      <c r="C3" s="524"/>
      <c r="D3" s="525">
        <v>31.285714285714285</v>
      </c>
      <c r="E3" s="527">
        <v>1</v>
      </c>
      <c r="F3" s="528" t="s">
        <v>159</v>
      </c>
      <c r="G3" s="529"/>
      <c r="H3" s="532" t="s">
        <v>142</v>
      </c>
      <c r="I3" s="522">
        <v>1</v>
      </c>
      <c r="J3" s="523" t="s">
        <v>157</v>
      </c>
      <c r="K3" s="524"/>
      <c r="L3" s="531" t="s">
        <v>142</v>
      </c>
      <c r="M3" s="522"/>
      <c r="N3" s="523" t="s">
        <v>158</v>
      </c>
      <c r="O3" s="524"/>
      <c r="P3" s="531" t="s">
        <v>142</v>
      </c>
      <c r="Q3" s="527">
        <v>1</v>
      </c>
      <c r="R3" s="528" t="s">
        <v>159</v>
      </c>
      <c r="S3" s="529"/>
      <c r="T3" s="530" t="s">
        <v>142</v>
      </c>
      <c r="U3" s="527">
        <v>1</v>
      </c>
      <c r="V3" s="528" t="s">
        <v>153</v>
      </c>
      <c r="W3" s="529" t="s">
        <v>141</v>
      </c>
      <c r="X3" s="530"/>
    </row>
    <row r="4" spans="1:24">
      <c r="A4" s="522">
        <v>2</v>
      </c>
      <c r="B4" s="523" t="s">
        <v>158</v>
      </c>
      <c r="C4" s="524"/>
      <c r="D4" s="525" t="s">
        <v>142</v>
      </c>
      <c r="E4" s="522">
        <v>2</v>
      </c>
      <c r="F4" s="523" t="s">
        <v>155</v>
      </c>
      <c r="G4" s="524"/>
      <c r="H4" s="526">
        <v>36</v>
      </c>
      <c r="I4" s="522">
        <v>2</v>
      </c>
      <c r="J4" s="523" t="s">
        <v>153</v>
      </c>
      <c r="K4" s="524"/>
      <c r="L4" s="531"/>
      <c r="M4" s="527">
        <v>2</v>
      </c>
      <c r="N4" s="528" t="s">
        <v>154</v>
      </c>
      <c r="O4" s="529"/>
      <c r="P4" s="530" t="s">
        <v>142</v>
      </c>
      <c r="Q4" s="522">
        <v>2</v>
      </c>
      <c r="R4" s="523" t="s">
        <v>155</v>
      </c>
      <c r="S4" s="524"/>
      <c r="T4" s="531">
        <v>49</v>
      </c>
      <c r="U4" s="522">
        <v>2</v>
      </c>
      <c r="V4" s="523" t="s">
        <v>156</v>
      </c>
      <c r="W4" s="524"/>
      <c r="X4" s="531"/>
    </row>
    <row r="5" spans="1:24">
      <c r="A5" s="527">
        <v>3</v>
      </c>
      <c r="B5" s="528" t="s">
        <v>154</v>
      </c>
      <c r="C5" s="529"/>
      <c r="D5" s="610" t="s">
        <v>142</v>
      </c>
      <c r="E5" s="522">
        <v>3</v>
      </c>
      <c r="F5" s="523" t="s">
        <v>157</v>
      </c>
      <c r="G5" s="524"/>
      <c r="H5" s="526" t="s">
        <v>142</v>
      </c>
      <c r="I5" s="522">
        <v>3</v>
      </c>
      <c r="J5" s="523" t="s">
        <v>156</v>
      </c>
      <c r="K5" s="524"/>
      <c r="L5" s="531"/>
      <c r="M5" s="527">
        <v>3</v>
      </c>
      <c r="N5" s="528" t="s">
        <v>159</v>
      </c>
      <c r="O5" s="529"/>
      <c r="P5" s="530" t="s">
        <v>142</v>
      </c>
      <c r="Q5" s="522">
        <v>3</v>
      </c>
      <c r="R5" s="523" t="s">
        <v>157</v>
      </c>
      <c r="S5" s="524"/>
      <c r="T5" s="531" t="s">
        <v>142</v>
      </c>
      <c r="U5" s="522">
        <v>3</v>
      </c>
      <c r="V5" s="523" t="s">
        <v>158</v>
      </c>
      <c r="W5" s="524"/>
      <c r="X5" s="531" t="s">
        <v>142</v>
      </c>
    </row>
    <row r="6" spans="1:24">
      <c r="A6" s="527">
        <v>4</v>
      </c>
      <c r="B6" s="528" t="s">
        <v>159</v>
      </c>
      <c r="C6" s="529"/>
      <c r="D6" s="610" t="s">
        <v>142</v>
      </c>
      <c r="E6" s="522">
        <v>4</v>
      </c>
      <c r="F6" s="523" t="s">
        <v>153</v>
      </c>
      <c r="G6" s="524"/>
      <c r="H6" s="526"/>
      <c r="I6" s="522">
        <v>4</v>
      </c>
      <c r="J6" s="523" t="s">
        <v>158</v>
      </c>
      <c r="K6" s="524"/>
      <c r="L6" s="531" t="s">
        <v>142</v>
      </c>
      <c r="M6" s="522">
        <v>4</v>
      </c>
      <c r="N6" s="523" t="s">
        <v>155</v>
      </c>
      <c r="O6" s="524"/>
      <c r="P6" s="531">
        <v>45</v>
      </c>
      <c r="Q6" s="522">
        <v>4</v>
      </c>
      <c r="R6" s="523" t="s">
        <v>153</v>
      </c>
      <c r="S6" s="524"/>
      <c r="T6" s="531"/>
      <c r="U6" s="527">
        <v>4</v>
      </c>
      <c r="V6" s="528" t="s">
        <v>154</v>
      </c>
      <c r="W6" s="529"/>
      <c r="X6" s="530" t="s">
        <v>142</v>
      </c>
    </row>
    <row r="7" spans="1:24">
      <c r="A7" s="522">
        <v>5</v>
      </c>
      <c r="B7" s="523" t="s">
        <v>155</v>
      </c>
      <c r="C7" s="524"/>
      <c r="D7" s="534">
        <v>32</v>
      </c>
      <c r="E7" s="522">
        <v>5</v>
      </c>
      <c r="F7" s="523" t="s">
        <v>156</v>
      </c>
      <c r="G7" s="524"/>
      <c r="H7" s="526"/>
      <c r="I7" s="527">
        <v>5</v>
      </c>
      <c r="J7" s="528" t="s">
        <v>154</v>
      </c>
      <c r="K7" s="529"/>
      <c r="L7" s="530" t="s">
        <v>142</v>
      </c>
      <c r="M7" s="522">
        <v>5</v>
      </c>
      <c r="N7" s="523" t="s">
        <v>157</v>
      </c>
      <c r="O7" s="524"/>
      <c r="P7" s="531" t="s">
        <v>142</v>
      </c>
      <c r="Q7" s="522">
        <v>5</v>
      </c>
      <c r="R7" s="523" t="s">
        <v>156</v>
      </c>
      <c r="S7" s="524"/>
      <c r="T7" s="531"/>
      <c r="U7" s="527">
        <v>5</v>
      </c>
      <c r="V7" s="528" t="s">
        <v>159</v>
      </c>
      <c r="W7" s="529"/>
      <c r="X7" s="530" t="s">
        <v>142</v>
      </c>
    </row>
    <row r="8" spans="1:24">
      <c r="A8" s="522">
        <v>6</v>
      </c>
      <c r="B8" s="523" t="s">
        <v>157</v>
      </c>
      <c r="C8" s="524"/>
      <c r="D8" s="534" t="s">
        <v>142</v>
      </c>
      <c r="E8" s="522">
        <v>6</v>
      </c>
      <c r="F8" s="523" t="s">
        <v>158</v>
      </c>
      <c r="G8" s="524"/>
      <c r="H8" s="526" t="s">
        <v>142</v>
      </c>
      <c r="I8" s="527">
        <v>6</v>
      </c>
      <c r="J8" s="528" t="s">
        <v>159</v>
      </c>
      <c r="K8" s="529"/>
      <c r="L8" s="530" t="s">
        <v>142</v>
      </c>
      <c r="M8" s="522">
        <v>6</v>
      </c>
      <c r="N8" s="523" t="s">
        <v>153</v>
      </c>
      <c r="O8" s="524"/>
      <c r="P8" s="531"/>
      <c r="Q8" s="522">
        <v>6</v>
      </c>
      <c r="R8" s="523" t="s">
        <v>158</v>
      </c>
      <c r="S8" s="524"/>
      <c r="T8" s="531" t="s">
        <v>142</v>
      </c>
      <c r="U8" s="522">
        <v>6</v>
      </c>
      <c r="V8" s="523" t="s">
        <v>155</v>
      </c>
      <c r="W8" s="524"/>
      <c r="X8" s="531">
        <v>2</v>
      </c>
    </row>
    <row r="9" spans="1:24">
      <c r="A9" s="522">
        <v>7</v>
      </c>
      <c r="B9" s="523" t="s">
        <v>153</v>
      </c>
      <c r="C9" s="524"/>
      <c r="D9" s="534"/>
      <c r="E9" s="527">
        <v>7</v>
      </c>
      <c r="F9" s="528" t="s">
        <v>154</v>
      </c>
      <c r="G9" s="529"/>
      <c r="H9" s="532" t="s">
        <v>142</v>
      </c>
      <c r="I9" s="522">
        <v>7</v>
      </c>
      <c r="J9" s="523" t="s">
        <v>155</v>
      </c>
      <c r="K9" s="524"/>
      <c r="L9" s="531">
        <v>41</v>
      </c>
      <c r="M9" s="522">
        <v>7</v>
      </c>
      <c r="N9" s="523" t="s">
        <v>156</v>
      </c>
      <c r="O9" s="524"/>
      <c r="P9" s="531"/>
      <c r="Q9" s="527">
        <v>7</v>
      </c>
      <c r="R9" s="528" t="s">
        <v>154</v>
      </c>
      <c r="S9" s="529"/>
      <c r="T9" s="530" t="s">
        <v>142</v>
      </c>
      <c r="U9" s="522">
        <v>7</v>
      </c>
      <c r="V9" s="523" t="s">
        <v>157</v>
      </c>
      <c r="W9" s="524"/>
      <c r="X9" s="531" t="s">
        <v>142</v>
      </c>
    </row>
    <row r="10" spans="1:24">
      <c r="A10" s="522">
        <v>8</v>
      </c>
      <c r="B10" s="523" t="s">
        <v>156</v>
      </c>
      <c r="C10" s="524"/>
      <c r="D10" s="525"/>
      <c r="E10" s="527">
        <v>8</v>
      </c>
      <c r="F10" s="528" t="s">
        <v>159</v>
      </c>
      <c r="G10" s="529"/>
      <c r="H10" s="532" t="s">
        <v>142</v>
      </c>
      <c r="I10" s="522">
        <v>8</v>
      </c>
      <c r="J10" s="523" t="s">
        <v>157</v>
      </c>
      <c r="K10" s="524"/>
      <c r="L10" s="531" t="s">
        <v>142</v>
      </c>
      <c r="M10" s="522">
        <v>8</v>
      </c>
      <c r="N10" s="523" t="s">
        <v>158</v>
      </c>
      <c r="O10" s="524"/>
      <c r="P10" s="531" t="s">
        <v>142</v>
      </c>
      <c r="Q10" s="527">
        <v>8</v>
      </c>
      <c r="R10" s="528" t="s">
        <v>159</v>
      </c>
      <c r="S10" s="529"/>
      <c r="T10" s="530" t="s">
        <v>142</v>
      </c>
      <c r="U10" s="522">
        <v>8</v>
      </c>
      <c r="V10" s="523" t="s">
        <v>153</v>
      </c>
      <c r="W10" s="524"/>
      <c r="X10" s="531"/>
    </row>
    <row r="11" spans="1:24">
      <c r="A11" s="522">
        <v>9</v>
      </c>
      <c r="B11" s="523" t="s">
        <v>158</v>
      </c>
      <c r="C11" s="524"/>
      <c r="D11" s="525" t="s">
        <v>142</v>
      </c>
      <c r="E11" s="522">
        <v>9</v>
      </c>
      <c r="F11" s="523" t="s">
        <v>155</v>
      </c>
      <c r="G11" s="524"/>
      <c r="H11" s="526">
        <v>37</v>
      </c>
      <c r="I11" s="522">
        <v>9</v>
      </c>
      <c r="J11" s="523" t="s">
        <v>153</v>
      </c>
      <c r="K11" s="524"/>
      <c r="L11" s="531"/>
      <c r="M11" s="527">
        <v>9</v>
      </c>
      <c r="N11" s="528" t="s">
        <v>154</v>
      </c>
      <c r="O11" s="529"/>
      <c r="P11" s="530" t="s">
        <v>142</v>
      </c>
      <c r="Q11" s="522">
        <v>9</v>
      </c>
      <c r="R11" s="523" t="s">
        <v>155</v>
      </c>
      <c r="S11" s="524"/>
      <c r="T11" s="531">
        <v>50</v>
      </c>
      <c r="U11" s="522">
        <v>9</v>
      </c>
      <c r="V11" s="523" t="s">
        <v>156</v>
      </c>
      <c r="W11" s="524"/>
      <c r="X11" s="531"/>
    </row>
    <row r="12" spans="1:24">
      <c r="A12" s="527">
        <v>10</v>
      </c>
      <c r="B12" s="528" t="s">
        <v>154</v>
      </c>
      <c r="C12" s="529"/>
      <c r="D12" s="610" t="s">
        <v>142</v>
      </c>
      <c r="E12" s="522">
        <v>10</v>
      </c>
      <c r="F12" s="523" t="s">
        <v>157</v>
      </c>
      <c r="G12" s="524"/>
      <c r="H12" s="526" t="s">
        <v>142</v>
      </c>
      <c r="I12" s="522">
        <v>10</v>
      </c>
      <c r="J12" s="523" t="s">
        <v>156</v>
      </c>
      <c r="K12" s="524"/>
      <c r="L12" s="531"/>
      <c r="M12" s="527">
        <v>10</v>
      </c>
      <c r="N12" s="528" t="s">
        <v>159</v>
      </c>
      <c r="O12" s="529"/>
      <c r="P12" s="530" t="s">
        <v>142</v>
      </c>
      <c r="Q12" s="522">
        <v>10</v>
      </c>
      <c r="R12" s="523" t="s">
        <v>157</v>
      </c>
      <c r="S12" s="524"/>
      <c r="T12" s="531" t="s">
        <v>142</v>
      </c>
      <c r="U12" s="522">
        <v>10</v>
      </c>
      <c r="V12" s="523" t="s">
        <v>158</v>
      </c>
      <c r="W12" s="524"/>
      <c r="X12" s="531" t="s">
        <v>142</v>
      </c>
    </row>
    <row r="13" spans="1:24">
      <c r="A13" s="527">
        <v>11</v>
      </c>
      <c r="B13" s="528" t="s">
        <v>159</v>
      </c>
      <c r="C13" s="529"/>
      <c r="D13" s="610" t="s">
        <v>142</v>
      </c>
      <c r="E13" s="522">
        <v>11</v>
      </c>
      <c r="F13" s="523" t="s">
        <v>153</v>
      </c>
      <c r="G13" s="524"/>
      <c r="H13" s="526"/>
      <c r="I13" s="522">
        <v>11</v>
      </c>
      <c r="J13" s="523" t="s">
        <v>158</v>
      </c>
      <c r="K13" s="524"/>
      <c r="L13" s="531" t="s">
        <v>142</v>
      </c>
      <c r="M13" s="522">
        <v>11</v>
      </c>
      <c r="N13" s="523" t="s">
        <v>155</v>
      </c>
      <c r="O13" s="524"/>
      <c r="P13" s="531">
        <v>46</v>
      </c>
      <c r="Q13" s="522">
        <v>11</v>
      </c>
      <c r="R13" s="523" t="s">
        <v>153</v>
      </c>
      <c r="S13" s="524"/>
      <c r="T13" s="531"/>
      <c r="U13" s="527">
        <v>11</v>
      </c>
      <c r="V13" s="528" t="s">
        <v>154</v>
      </c>
      <c r="W13" s="529"/>
      <c r="X13" s="530" t="s">
        <v>142</v>
      </c>
    </row>
    <row r="14" spans="1:24">
      <c r="A14" s="522">
        <v>12</v>
      </c>
      <c r="B14" s="523" t="s">
        <v>155</v>
      </c>
      <c r="C14" s="524"/>
      <c r="D14" s="534">
        <v>33</v>
      </c>
      <c r="E14" s="522">
        <v>12</v>
      </c>
      <c r="F14" s="523" t="s">
        <v>156</v>
      </c>
      <c r="G14" s="524"/>
      <c r="H14" s="526"/>
      <c r="I14" s="527">
        <v>12</v>
      </c>
      <c r="J14" s="528" t="s">
        <v>154</v>
      </c>
      <c r="K14" s="529"/>
      <c r="L14" s="530" t="s">
        <v>142</v>
      </c>
      <c r="M14" s="522">
        <v>12</v>
      </c>
      <c r="N14" s="523" t="s">
        <v>157</v>
      </c>
      <c r="O14" s="524"/>
      <c r="P14" s="531" t="s">
        <v>142</v>
      </c>
      <c r="Q14" s="522">
        <v>12</v>
      </c>
      <c r="R14" s="523" t="s">
        <v>156</v>
      </c>
      <c r="S14" s="524"/>
      <c r="T14" s="531"/>
      <c r="U14" s="527">
        <v>12</v>
      </c>
      <c r="V14" s="528" t="s">
        <v>159</v>
      </c>
      <c r="W14" s="529"/>
      <c r="X14" s="530" t="s">
        <v>142</v>
      </c>
    </row>
    <row r="15" spans="1:24">
      <c r="A15" s="522">
        <v>13</v>
      </c>
      <c r="B15" s="523" t="s">
        <v>157</v>
      </c>
      <c r="C15" s="524"/>
      <c r="D15" s="534" t="s">
        <v>142</v>
      </c>
      <c r="E15" s="522">
        <v>13</v>
      </c>
      <c r="F15" s="523" t="s">
        <v>158</v>
      </c>
      <c r="G15" s="524"/>
      <c r="H15" s="526" t="s">
        <v>142</v>
      </c>
      <c r="I15" s="527">
        <v>13</v>
      </c>
      <c r="J15" s="528" t="s">
        <v>159</v>
      </c>
      <c r="K15" s="529"/>
      <c r="L15" s="530" t="s">
        <v>142</v>
      </c>
      <c r="M15" s="522">
        <v>13</v>
      </c>
      <c r="N15" s="523" t="s">
        <v>153</v>
      </c>
      <c r="O15" s="524"/>
      <c r="P15" s="531"/>
      <c r="Q15" s="522">
        <v>13</v>
      </c>
      <c r="R15" s="523" t="s">
        <v>158</v>
      </c>
      <c r="S15" s="524"/>
      <c r="T15" s="531" t="s">
        <v>142</v>
      </c>
      <c r="U15" s="522">
        <v>13</v>
      </c>
      <c r="V15" s="523" t="s">
        <v>155</v>
      </c>
      <c r="W15" s="524"/>
      <c r="X15" s="531">
        <v>3</v>
      </c>
    </row>
    <row r="16" spans="1:24">
      <c r="A16" s="522">
        <v>14</v>
      </c>
      <c r="B16" s="523" t="s">
        <v>153</v>
      </c>
      <c r="C16" s="524"/>
      <c r="D16" s="534"/>
      <c r="E16" s="527">
        <v>14</v>
      </c>
      <c r="F16" s="528" t="s">
        <v>154</v>
      </c>
      <c r="G16" s="529"/>
      <c r="H16" s="532" t="s">
        <v>142</v>
      </c>
      <c r="I16" s="522">
        <v>14</v>
      </c>
      <c r="J16" s="523" t="s">
        <v>155</v>
      </c>
      <c r="K16" s="524"/>
      <c r="L16" s="531">
        <v>42</v>
      </c>
      <c r="M16" s="522">
        <v>14</v>
      </c>
      <c r="N16" s="523" t="s">
        <v>156</v>
      </c>
      <c r="O16" s="524"/>
      <c r="P16" s="531"/>
      <c r="Q16" s="527">
        <v>14</v>
      </c>
      <c r="R16" s="528" t="s">
        <v>154</v>
      </c>
      <c r="S16" s="529"/>
      <c r="T16" s="530" t="s">
        <v>142</v>
      </c>
      <c r="U16" s="522">
        <v>14</v>
      </c>
      <c r="V16" s="523" t="s">
        <v>157</v>
      </c>
      <c r="W16" s="524"/>
      <c r="X16" s="531" t="s">
        <v>142</v>
      </c>
    </row>
    <row r="17" spans="1:24">
      <c r="A17" s="522">
        <v>15</v>
      </c>
      <c r="B17" s="523" t="s">
        <v>156</v>
      </c>
      <c r="C17" s="524"/>
      <c r="D17" s="525"/>
      <c r="E17" s="527">
        <v>15</v>
      </c>
      <c r="F17" s="528" t="s">
        <v>159</v>
      </c>
      <c r="G17" s="529"/>
      <c r="H17" s="532" t="s">
        <v>142</v>
      </c>
      <c r="I17" s="522">
        <v>15</v>
      </c>
      <c r="J17" s="523" t="s">
        <v>157</v>
      </c>
      <c r="K17" s="524"/>
      <c r="L17" s="531" t="s">
        <v>142</v>
      </c>
      <c r="M17" s="522">
        <v>15</v>
      </c>
      <c r="N17" s="523" t="s">
        <v>158</v>
      </c>
      <c r="O17" s="524"/>
      <c r="P17" s="531" t="s">
        <v>142</v>
      </c>
      <c r="Q17" s="527">
        <v>15</v>
      </c>
      <c r="R17" s="528" t="s">
        <v>159</v>
      </c>
      <c r="S17" s="529"/>
      <c r="T17" s="530" t="s">
        <v>142</v>
      </c>
      <c r="U17" s="522">
        <v>15</v>
      </c>
      <c r="V17" s="523" t="s">
        <v>153</v>
      </c>
      <c r="W17" s="524"/>
      <c r="X17" s="531"/>
    </row>
    <row r="18" spans="1:24">
      <c r="A18" s="522">
        <v>16</v>
      </c>
      <c r="B18" s="523" t="s">
        <v>158</v>
      </c>
      <c r="C18" s="524"/>
      <c r="D18" s="525" t="s">
        <v>142</v>
      </c>
      <c r="E18" s="522">
        <v>16</v>
      </c>
      <c r="F18" s="523" t="s">
        <v>155</v>
      </c>
      <c r="G18" s="524"/>
      <c r="H18" s="526">
        <v>38</v>
      </c>
      <c r="I18" s="522">
        <v>16</v>
      </c>
      <c r="J18" s="523" t="s">
        <v>153</v>
      </c>
      <c r="K18" s="524"/>
      <c r="L18" s="531"/>
      <c r="M18" s="527">
        <v>16</v>
      </c>
      <c r="N18" s="528" t="s">
        <v>154</v>
      </c>
      <c r="O18" s="529"/>
      <c r="P18" s="530" t="s">
        <v>142</v>
      </c>
      <c r="Q18" s="522">
        <v>16</v>
      </c>
      <c r="R18" s="523" t="s">
        <v>155</v>
      </c>
      <c r="S18" s="524"/>
      <c r="T18" s="531">
        <v>51</v>
      </c>
      <c r="U18" s="522">
        <v>16</v>
      </c>
      <c r="V18" s="523" t="s">
        <v>156</v>
      </c>
      <c r="W18" s="524"/>
      <c r="X18" s="531"/>
    </row>
    <row r="19" spans="1:24">
      <c r="A19" s="527">
        <v>17</v>
      </c>
      <c r="B19" s="528" t="s">
        <v>154</v>
      </c>
      <c r="C19" s="529"/>
      <c r="D19" s="610" t="s">
        <v>142</v>
      </c>
      <c r="E19" s="522">
        <v>17</v>
      </c>
      <c r="F19" s="523" t="s">
        <v>157</v>
      </c>
      <c r="G19" s="524"/>
      <c r="H19" s="526" t="s">
        <v>142</v>
      </c>
      <c r="I19" s="522">
        <v>17</v>
      </c>
      <c r="J19" s="523" t="s">
        <v>156</v>
      </c>
      <c r="K19" s="524"/>
      <c r="L19" s="531"/>
      <c r="M19" s="527">
        <v>17</v>
      </c>
      <c r="N19" s="528" t="s">
        <v>159</v>
      </c>
      <c r="O19" s="529"/>
      <c r="P19" s="530" t="s">
        <v>142</v>
      </c>
      <c r="Q19" s="522">
        <v>17</v>
      </c>
      <c r="R19" s="523" t="s">
        <v>157</v>
      </c>
      <c r="S19" s="524"/>
      <c r="T19" s="531" t="s">
        <v>142</v>
      </c>
      <c r="U19" s="522">
        <v>17</v>
      </c>
      <c r="V19" s="523" t="s">
        <v>158</v>
      </c>
      <c r="W19" s="524"/>
      <c r="X19" s="531" t="s">
        <v>142</v>
      </c>
    </row>
    <row r="20" spans="1:24">
      <c r="A20" s="527">
        <v>18</v>
      </c>
      <c r="B20" s="528" t="s">
        <v>159</v>
      </c>
      <c r="C20" s="529"/>
      <c r="D20" s="610" t="s">
        <v>142</v>
      </c>
      <c r="E20" s="522">
        <v>18</v>
      </c>
      <c r="F20" s="523" t="s">
        <v>153</v>
      </c>
      <c r="G20" s="524"/>
      <c r="H20" s="526"/>
      <c r="I20" s="522">
        <v>18</v>
      </c>
      <c r="J20" s="523" t="s">
        <v>158</v>
      </c>
      <c r="K20" s="524"/>
      <c r="L20" s="531" t="s">
        <v>142</v>
      </c>
      <c r="M20" s="522">
        <v>18</v>
      </c>
      <c r="N20" s="523" t="s">
        <v>155</v>
      </c>
      <c r="O20" s="524"/>
      <c r="P20" s="531">
        <v>47</v>
      </c>
      <c r="Q20" s="522">
        <v>18</v>
      </c>
      <c r="R20" s="523" t="s">
        <v>153</v>
      </c>
      <c r="S20" s="524"/>
      <c r="T20" s="531"/>
      <c r="U20" s="527">
        <v>18</v>
      </c>
      <c r="V20" s="528" t="s">
        <v>154</v>
      </c>
      <c r="W20" s="529"/>
      <c r="X20" s="530" t="s">
        <v>142</v>
      </c>
    </row>
    <row r="21" spans="1:24">
      <c r="A21" s="522">
        <v>19</v>
      </c>
      <c r="B21" s="523" t="s">
        <v>155</v>
      </c>
      <c r="C21" s="524"/>
      <c r="D21" s="534">
        <v>34</v>
      </c>
      <c r="E21" s="522">
        <v>19</v>
      </c>
      <c r="F21" s="523" t="s">
        <v>156</v>
      </c>
      <c r="G21" s="524"/>
      <c r="H21" s="526"/>
      <c r="I21" s="527">
        <v>19</v>
      </c>
      <c r="J21" s="528" t="s">
        <v>154</v>
      </c>
      <c r="K21" s="529"/>
      <c r="L21" s="530" t="s">
        <v>142</v>
      </c>
      <c r="M21" s="522">
        <v>19</v>
      </c>
      <c r="N21" s="523" t="s">
        <v>157</v>
      </c>
      <c r="O21" s="524"/>
      <c r="P21" s="531" t="s">
        <v>142</v>
      </c>
      <c r="Q21" s="522">
        <v>19</v>
      </c>
      <c r="R21" s="523" t="s">
        <v>156</v>
      </c>
      <c r="S21" s="524"/>
      <c r="T21" s="531"/>
      <c r="U21" s="527">
        <v>19</v>
      </c>
      <c r="V21" s="528" t="s">
        <v>159</v>
      </c>
      <c r="W21" s="529"/>
      <c r="X21" s="530" t="s">
        <v>142</v>
      </c>
    </row>
    <row r="22" spans="1:24">
      <c r="A22" s="522">
        <v>20</v>
      </c>
      <c r="B22" s="523" t="s">
        <v>157</v>
      </c>
      <c r="C22" s="524"/>
      <c r="D22" s="534" t="s">
        <v>142</v>
      </c>
      <c r="E22" s="522">
        <v>20</v>
      </c>
      <c r="F22" s="523" t="s">
        <v>158</v>
      </c>
      <c r="G22" s="524"/>
      <c r="H22" s="526" t="s">
        <v>142</v>
      </c>
      <c r="I22" s="527">
        <v>20</v>
      </c>
      <c r="J22" s="528" t="s">
        <v>159</v>
      </c>
      <c r="K22" s="529"/>
      <c r="L22" s="530" t="s">
        <v>142</v>
      </c>
      <c r="M22" s="522">
        <v>20</v>
      </c>
      <c r="N22" s="523" t="s">
        <v>153</v>
      </c>
      <c r="O22" s="524"/>
      <c r="P22" s="531"/>
      <c r="Q22" s="522">
        <v>20</v>
      </c>
      <c r="R22" s="523" t="s">
        <v>158</v>
      </c>
      <c r="S22" s="524"/>
      <c r="T22" s="531" t="s">
        <v>142</v>
      </c>
      <c r="U22" s="522">
        <v>20</v>
      </c>
      <c r="V22" s="523" t="s">
        <v>155</v>
      </c>
      <c r="W22" s="524"/>
      <c r="X22" s="531">
        <v>4</v>
      </c>
    </row>
    <row r="23" spans="1:24">
      <c r="A23" s="522">
        <v>21</v>
      </c>
      <c r="B23" s="523" t="s">
        <v>153</v>
      </c>
      <c r="C23" s="524"/>
      <c r="D23" s="534"/>
      <c r="E23" s="527">
        <v>21</v>
      </c>
      <c r="F23" s="528" t="s">
        <v>154</v>
      </c>
      <c r="G23" s="529"/>
      <c r="H23" s="532" t="s">
        <v>142</v>
      </c>
      <c r="I23" s="522">
        <v>21</v>
      </c>
      <c r="J23" s="523" t="s">
        <v>155</v>
      </c>
      <c r="K23" s="524"/>
      <c r="L23" s="531">
        <v>43</v>
      </c>
      <c r="M23" s="522">
        <v>21</v>
      </c>
      <c r="N23" s="523" t="s">
        <v>156</v>
      </c>
      <c r="O23" s="524"/>
      <c r="P23" s="531"/>
      <c r="Q23" s="527">
        <v>21</v>
      </c>
      <c r="R23" s="528" t="s">
        <v>154</v>
      </c>
      <c r="S23" s="529"/>
      <c r="T23" s="530" t="s">
        <v>142</v>
      </c>
      <c r="U23" s="522">
        <v>21</v>
      </c>
      <c r="V23" s="523" t="s">
        <v>157</v>
      </c>
      <c r="W23" s="524"/>
      <c r="X23" s="531" t="s">
        <v>142</v>
      </c>
    </row>
    <row r="24" spans="1:24">
      <c r="A24" s="522">
        <v>22</v>
      </c>
      <c r="B24" s="523" t="s">
        <v>156</v>
      </c>
      <c r="C24" s="524"/>
      <c r="D24" s="534"/>
      <c r="E24" s="527">
        <v>22</v>
      </c>
      <c r="F24" s="528" t="s">
        <v>159</v>
      </c>
      <c r="G24" s="529"/>
      <c r="H24" s="532" t="s">
        <v>142</v>
      </c>
      <c r="I24" s="522">
        <v>22</v>
      </c>
      <c r="J24" s="523" t="s">
        <v>157</v>
      </c>
      <c r="K24" s="524"/>
      <c r="L24" s="531" t="s">
        <v>142</v>
      </c>
      <c r="M24" s="522">
        <v>22</v>
      </c>
      <c r="N24" s="523" t="s">
        <v>158</v>
      </c>
      <c r="O24" s="524"/>
      <c r="P24" s="531" t="s">
        <v>142</v>
      </c>
      <c r="Q24" s="527">
        <v>22</v>
      </c>
      <c r="R24" s="528" t="s">
        <v>159</v>
      </c>
      <c r="S24" s="529"/>
      <c r="T24" s="530" t="s">
        <v>142</v>
      </c>
      <c r="U24" s="522">
        <v>22</v>
      </c>
      <c r="V24" s="523" t="s">
        <v>153</v>
      </c>
      <c r="W24" s="524"/>
      <c r="X24" s="531"/>
    </row>
    <row r="25" spans="1:24">
      <c r="A25" s="522">
        <v>23</v>
      </c>
      <c r="B25" s="523" t="s">
        <v>158</v>
      </c>
      <c r="C25" s="524"/>
      <c r="D25" s="534" t="s">
        <v>142</v>
      </c>
      <c r="E25" s="522">
        <v>23</v>
      </c>
      <c r="F25" s="523" t="s">
        <v>155</v>
      </c>
      <c r="G25" s="524"/>
      <c r="H25" s="526">
        <v>39</v>
      </c>
      <c r="I25" s="522">
        <v>23</v>
      </c>
      <c r="J25" s="523" t="s">
        <v>153</v>
      </c>
      <c r="K25" s="524"/>
      <c r="L25" s="531"/>
      <c r="M25" s="527">
        <v>23</v>
      </c>
      <c r="N25" s="528" t="s">
        <v>154</v>
      </c>
      <c r="O25" s="529"/>
      <c r="P25" s="530" t="s">
        <v>142</v>
      </c>
      <c r="Q25" s="522">
        <v>23</v>
      </c>
      <c r="R25" s="523" t="s">
        <v>155</v>
      </c>
      <c r="S25" s="524"/>
      <c r="T25" s="531">
        <v>52</v>
      </c>
      <c r="U25" s="522">
        <v>23</v>
      </c>
      <c r="V25" s="523" t="s">
        <v>156</v>
      </c>
      <c r="W25" s="524"/>
      <c r="X25" s="531"/>
    </row>
    <row r="26" spans="1:24">
      <c r="A26" s="527">
        <v>24</v>
      </c>
      <c r="B26" s="528" t="s">
        <v>154</v>
      </c>
      <c r="C26" s="529"/>
      <c r="D26" s="533" t="s">
        <v>142</v>
      </c>
      <c r="E26" s="522">
        <v>24</v>
      </c>
      <c r="F26" s="523" t="s">
        <v>157</v>
      </c>
      <c r="G26" s="524"/>
      <c r="H26" s="526" t="s">
        <v>142</v>
      </c>
      <c r="I26" s="522">
        <v>24</v>
      </c>
      <c r="J26" s="523" t="s">
        <v>156</v>
      </c>
      <c r="K26" s="524"/>
      <c r="L26" s="531"/>
      <c r="M26" s="527">
        <v>24</v>
      </c>
      <c r="N26" s="528" t="s">
        <v>159</v>
      </c>
      <c r="O26" s="529"/>
      <c r="P26" s="530" t="s">
        <v>142</v>
      </c>
      <c r="Q26" s="522">
        <v>24</v>
      </c>
      <c r="R26" s="523" t="s">
        <v>157</v>
      </c>
      <c r="S26" s="524" t="s">
        <v>130</v>
      </c>
      <c r="T26" s="531" t="s">
        <v>142</v>
      </c>
      <c r="U26" s="522">
        <v>24</v>
      </c>
      <c r="V26" s="523" t="s">
        <v>158</v>
      </c>
      <c r="W26" s="524"/>
      <c r="X26" s="531" t="s">
        <v>142</v>
      </c>
    </row>
    <row r="27" spans="1:24">
      <c r="A27" s="527">
        <v>25</v>
      </c>
      <c r="B27" s="528" t="s">
        <v>159</v>
      </c>
      <c r="C27" s="529"/>
      <c r="D27" s="533" t="s">
        <v>142</v>
      </c>
      <c r="E27" s="522">
        <v>25</v>
      </c>
      <c r="F27" s="523" t="s">
        <v>153</v>
      </c>
      <c r="G27" s="524"/>
      <c r="H27" s="526"/>
      <c r="I27" s="522">
        <v>25</v>
      </c>
      <c r="J27" s="523" t="s">
        <v>158</v>
      </c>
      <c r="K27" s="524"/>
      <c r="L27" s="531" t="s">
        <v>142</v>
      </c>
      <c r="M27" s="522">
        <v>25</v>
      </c>
      <c r="N27" s="523" t="s">
        <v>155</v>
      </c>
      <c r="O27" s="524"/>
      <c r="P27" s="531">
        <v>48</v>
      </c>
      <c r="Q27" s="527">
        <v>25</v>
      </c>
      <c r="R27" s="528" t="s">
        <v>153</v>
      </c>
      <c r="S27" s="529" t="s">
        <v>317</v>
      </c>
      <c r="T27" s="530"/>
      <c r="U27" s="527">
        <v>25</v>
      </c>
      <c r="V27" s="528" t="s">
        <v>154</v>
      </c>
      <c r="W27" s="529"/>
      <c r="X27" s="530" t="s">
        <v>142</v>
      </c>
    </row>
    <row r="28" spans="1:24">
      <c r="A28" s="522">
        <v>26</v>
      </c>
      <c r="B28" s="523" t="s">
        <v>155</v>
      </c>
      <c r="C28" s="524"/>
      <c r="D28" s="534">
        <v>35</v>
      </c>
      <c r="E28" s="522">
        <v>26</v>
      </c>
      <c r="F28" s="523" t="s">
        <v>156</v>
      </c>
      <c r="G28" s="524"/>
      <c r="H28" s="526"/>
      <c r="I28" s="527">
        <v>26</v>
      </c>
      <c r="J28" s="528" t="s">
        <v>154</v>
      </c>
      <c r="K28" s="529"/>
      <c r="L28" s="530" t="s">
        <v>142</v>
      </c>
      <c r="M28" s="522">
        <v>26</v>
      </c>
      <c r="N28" s="523" t="s">
        <v>157</v>
      </c>
      <c r="O28" s="524"/>
      <c r="P28" s="531" t="s">
        <v>142</v>
      </c>
      <c r="Q28" s="527">
        <v>26</v>
      </c>
      <c r="R28" s="528" t="s">
        <v>156</v>
      </c>
      <c r="S28" s="529" t="s">
        <v>97</v>
      </c>
      <c r="T28" s="530"/>
      <c r="U28" s="527">
        <v>26</v>
      </c>
      <c r="V28" s="528" t="s">
        <v>159</v>
      </c>
      <c r="W28" s="529"/>
      <c r="X28" s="530" t="s">
        <v>142</v>
      </c>
    </row>
    <row r="29" spans="1:24">
      <c r="A29" s="522">
        <v>27</v>
      </c>
      <c r="B29" s="523" t="s">
        <v>157</v>
      </c>
      <c r="C29" s="524"/>
      <c r="D29" s="534" t="s">
        <v>142</v>
      </c>
      <c r="E29" s="522">
        <v>27</v>
      </c>
      <c r="F29" s="523" t="s">
        <v>158</v>
      </c>
      <c r="G29" s="524"/>
      <c r="H29" s="526" t="s">
        <v>142</v>
      </c>
      <c r="I29" s="527">
        <v>27</v>
      </c>
      <c r="J29" s="528" t="s">
        <v>159</v>
      </c>
      <c r="K29" s="529"/>
      <c r="L29" s="530" t="s">
        <v>142</v>
      </c>
      <c r="M29" s="522">
        <v>27</v>
      </c>
      <c r="N29" s="523" t="s">
        <v>153</v>
      </c>
      <c r="O29" s="524"/>
      <c r="P29" s="531"/>
      <c r="Q29" s="522">
        <v>27</v>
      </c>
      <c r="R29" s="523" t="s">
        <v>158</v>
      </c>
      <c r="S29" s="524"/>
      <c r="T29" s="531" t="s">
        <v>142</v>
      </c>
      <c r="U29" s="522">
        <v>27</v>
      </c>
      <c r="V29" s="523" t="s">
        <v>155</v>
      </c>
      <c r="W29" s="524"/>
      <c r="X29" s="531">
        <v>5</v>
      </c>
    </row>
    <row r="30" spans="1:24">
      <c r="A30" s="522">
        <v>28</v>
      </c>
      <c r="B30" s="523" t="s">
        <v>153</v>
      </c>
      <c r="C30" s="524"/>
      <c r="D30" s="534"/>
      <c r="E30" s="527">
        <v>28</v>
      </c>
      <c r="F30" s="528" t="s">
        <v>154</v>
      </c>
      <c r="G30" s="529"/>
      <c r="H30" s="532" t="s">
        <v>142</v>
      </c>
      <c r="I30" s="522">
        <v>28</v>
      </c>
      <c r="J30" s="523" t="s">
        <v>155</v>
      </c>
      <c r="K30" s="524"/>
      <c r="L30" s="531">
        <v>44</v>
      </c>
      <c r="M30" s="522">
        <v>28</v>
      </c>
      <c r="N30" s="523" t="s">
        <v>156</v>
      </c>
      <c r="O30" s="524"/>
      <c r="P30" s="531"/>
      <c r="Q30" s="527">
        <v>28</v>
      </c>
      <c r="R30" s="528" t="s">
        <v>154</v>
      </c>
      <c r="S30" s="529"/>
      <c r="T30" s="530" t="s">
        <v>142</v>
      </c>
      <c r="U30" s="522">
        <v>28</v>
      </c>
      <c r="V30" s="523" t="s">
        <v>157</v>
      </c>
      <c r="W30" s="524"/>
      <c r="X30" s="531" t="s">
        <v>142</v>
      </c>
    </row>
    <row r="31" spans="1:24">
      <c r="A31" s="522">
        <v>29</v>
      </c>
      <c r="B31" s="523" t="s">
        <v>156</v>
      </c>
      <c r="C31" s="524"/>
      <c r="D31" s="525"/>
      <c r="E31" s="527">
        <v>29</v>
      </c>
      <c r="F31" s="528" t="s">
        <v>159</v>
      </c>
      <c r="G31" s="529"/>
      <c r="H31" s="532" t="s">
        <v>142</v>
      </c>
      <c r="I31" s="522">
        <v>29</v>
      </c>
      <c r="J31" s="523" t="s">
        <v>157</v>
      </c>
      <c r="K31" s="524"/>
      <c r="L31" s="531" t="s">
        <v>142</v>
      </c>
      <c r="M31" s="522">
        <v>29</v>
      </c>
      <c r="N31" s="523" t="s">
        <v>158</v>
      </c>
      <c r="O31" s="524"/>
      <c r="P31" s="531" t="s">
        <v>142</v>
      </c>
      <c r="Q31" s="527">
        <v>29</v>
      </c>
      <c r="R31" s="528" t="s">
        <v>159</v>
      </c>
      <c r="S31" s="529"/>
      <c r="T31" s="530" t="s">
        <v>142</v>
      </c>
      <c r="U31" s="522">
        <v>29</v>
      </c>
      <c r="V31" s="523" t="s">
        <v>153</v>
      </c>
      <c r="W31" s="524"/>
      <c r="X31" s="531"/>
    </row>
    <row r="32" spans="1:24">
      <c r="A32" s="522">
        <v>30</v>
      </c>
      <c r="B32" s="523" t="s">
        <v>158</v>
      </c>
      <c r="C32" s="524"/>
      <c r="D32" s="525" t="s">
        <v>142</v>
      </c>
      <c r="E32" s="522">
        <v>30</v>
      </c>
      <c r="F32" s="523" t="s">
        <v>155</v>
      </c>
      <c r="G32" s="524"/>
      <c r="H32" s="526">
        <v>40</v>
      </c>
      <c r="I32" s="522">
        <v>30</v>
      </c>
      <c r="J32" s="523" t="s">
        <v>153</v>
      </c>
      <c r="K32" s="524"/>
      <c r="L32" s="531"/>
      <c r="M32" s="527">
        <v>30</v>
      </c>
      <c r="N32" s="528" t="s">
        <v>154</v>
      </c>
      <c r="O32" s="529"/>
      <c r="P32" s="530" t="s">
        <v>142</v>
      </c>
      <c r="Q32" s="522">
        <v>30</v>
      </c>
      <c r="R32" s="523" t="s">
        <v>155</v>
      </c>
      <c r="S32" s="524"/>
      <c r="T32" s="531">
        <v>1</v>
      </c>
      <c r="U32" s="522">
        <v>30</v>
      </c>
      <c r="V32" s="523" t="s">
        <v>156</v>
      </c>
      <c r="W32" s="524"/>
      <c r="X32" s="531"/>
    </row>
    <row r="33" spans="1:24">
      <c r="A33" s="527">
        <v>31</v>
      </c>
      <c r="B33" s="528" t="s">
        <v>154</v>
      </c>
      <c r="C33" s="529"/>
      <c r="D33" s="610" t="s">
        <v>142</v>
      </c>
      <c r="E33" s="203"/>
      <c r="F33" s="204"/>
      <c r="G33" s="205"/>
      <c r="H33" s="535"/>
      <c r="I33" s="536">
        <v>31</v>
      </c>
      <c r="J33" s="537" t="s">
        <v>156</v>
      </c>
      <c r="K33" s="538"/>
      <c r="L33" s="539"/>
      <c r="M33" s="203"/>
      <c r="N33" s="204"/>
      <c r="O33" s="205"/>
      <c r="P33" s="206"/>
      <c r="Q33" s="536">
        <v>31</v>
      </c>
      <c r="R33" s="537" t="s">
        <v>157</v>
      </c>
      <c r="S33" s="612" t="s">
        <v>129</v>
      </c>
      <c r="T33" s="539" t="s">
        <v>142</v>
      </c>
      <c r="U33" s="536">
        <v>31</v>
      </c>
      <c r="V33" s="537" t="s">
        <v>158</v>
      </c>
      <c r="W33" s="538"/>
      <c r="X33" s="539" t="s">
        <v>142</v>
      </c>
    </row>
  </sheetData>
  <mergeCells count="1">
    <mergeCell ref="A1:X1"/>
  </mergeCells>
  <pageMargins left="0.7" right="0.7" top="0.75" bottom="0.75" header="0.3" footer="0.3"/>
  <pageSetup paperSize="9" scale="69"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706DB-B170-7B44-A058-A208CB5534F6}">
  <sheetPr>
    <pageSetUpPr fitToPage="1"/>
  </sheetPr>
  <dimension ref="A1:X33"/>
  <sheetViews>
    <sheetView workbookViewId="0">
      <selection activeCell="B4" sqref="B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0">
      <c r="A1" s="1527" t="str">
        <f>'TOMT ÅR'!A1</f>
        <v>Årskalender for Min egen skole 2024-2025</v>
      </c>
      <c r="B1" s="1528"/>
      <c r="C1" s="1528"/>
      <c r="D1" s="1528"/>
      <c r="E1" s="1528"/>
      <c r="F1" s="1528"/>
      <c r="G1" s="1528"/>
      <c r="H1" s="1528"/>
      <c r="I1" s="1528"/>
      <c r="J1" s="1528"/>
      <c r="K1" s="1528"/>
      <c r="L1" s="1528"/>
      <c r="M1" s="1528"/>
      <c r="N1" s="1528"/>
      <c r="O1" s="1528"/>
      <c r="P1" s="1528"/>
      <c r="Q1" s="1528"/>
      <c r="R1" s="1528"/>
      <c r="S1" s="1528"/>
      <c r="T1" s="1528"/>
      <c r="U1" s="1528"/>
      <c r="V1" s="1528"/>
      <c r="W1" s="1528"/>
      <c r="X1" s="1529"/>
    </row>
    <row r="2" spans="1:24" ht="18">
      <c r="A2" s="306" t="s">
        <v>99</v>
      </c>
      <c r="B2" s="303"/>
      <c r="C2" s="304"/>
      <c r="D2" s="305"/>
      <c r="E2" s="302" t="s">
        <v>100</v>
      </c>
      <c r="F2" s="303"/>
      <c r="G2" s="304"/>
      <c r="H2" s="305"/>
      <c r="I2" s="302" t="s">
        <v>101</v>
      </c>
      <c r="J2" s="303"/>
      <c r="K2" s="304"/>
      <c r="L2" s="305"/>
      <c r="M2" s="302" t="s">
        <v>102</v>
      </c>
      <c r="N2" s="303"/>
      <c r="O2" s="304"/>
      <c r="P2" s="305"/>
      <c r="Q2" s="302" t="s">
        <v>103</v>
      </c>
      <c r="R2" s="303"/>
      <c r="S2" s="304"/>
      <c r="T2" s="305"/>
      <c r="U2" s="302" t="s">
        <v>104</v>
      </c>
      <c r="V2" s="303"/>
      <c r="W2" s="304"/>
      <c r="X2" s="305"/>
    </row>
    <row r="3" spans="1:24">
      <c r="A3" s="527">
        <v>1</v>
      </c>
      <c r="B3" s="528" t="s">
        <v>154</v>
      </c>
      <c r="C3" s="529"/>
      <c r="D3" s="532" t="s">
        <v>142</v>
      </c>
      <c r="E3" s="527">
        <v>1</v>
      </c>
      <c r="F3" s="528" t="s">
        <v>154</v>
      </c>
      <c r="G3" s="529"/>
      <c r="H3" s="530" t="s">
        <v>142</v>
      </c>
      <c r="I3" s="522">
        <v>1</v>
      </c>
      <c r="J3" s="523" t="s">
        <v>157</v>
      </c>
      <c r="K3" s="524"/>
      <c r="L3" s="526"/>
      <c r="M3" s="522">
        <v>1</v>
      </c>
      <c r="N3" s="523" t="s">
        <v>156</v>
      </c>
      <c r="O3" s="524"/>
      <c r="P3" s="531"/>
      <c r="Q3" s="527">
        <v>1</v>
      </c>
      <c r="R3" s="528" t="s">
        <v>159</v>
      </c>
      <c r="S3" s="529"/>
      <c r="T3" s="532" t="s">
        <v>142</v>
      </c>
      <c r="U3" s="522">
        <v>1</v>
      </c>
      <c r="V3" s="523" t="s">
        <v>157</v>
      </c>
      <c r="W3" s="524"/>
      <c r="X3" s="531"/>
    </row>
    <row r="4" spans="1:24">
      <c r="A4" s="527">
        <v>2</v>
      </c>
      <c r="B4" s="528" t="s">
        <v>159</v>
      </c>
      <c r="C4" s="529"/>
      <c r="D4" s="532" t="s">
        <v>142</v>
      </c>
      <c r="E4" s="527">
        <v>2</v>
      </c>
      <c r="F4" s="528" t="s">
        <v>159</v>
      </c>
      <c r="G4" s="529"/>
      <c r="H4" s="530" t="s">
        <v>142</v>
      </c>
      <c r="I4" s="522">
        <v>2</v>
      </c>
      <c r="J4" s="523" t="s">
        <v>153</v>
      </c>
      <c r="K4" s="524"/>
      <c r="L4" s="526" t="s">
        <v>142</v>
      </c>
      <c r="M4" s="522">
        <v>2</v>
      </c>
      <c r="N4" s="523" t="s">
        <v>158</v>
      </c>
      <c r="O4" s="524"/>
      <c r="P4" s="531" t="s">
        <v>142</v>
      </c>
      <c r="Q4" s="522">
        <v>2</v>
      </c>
      <c r="R4" s="523" t="s">
        <v>155</v>
      </c>
      <c r="S4" s="524"/>
      <c r="T4" s="526">
        <v>23</v>
      </c>
      <c r="U4" s="522">
        <v>2</v>
      </c>
      <c r="V4" s="523" t="s">
        <v>153</v>
      </c>
      <c r="W4" s="524"/>
      <c r="X4" s="531" t="s">
        <v>142</v>
      </c>
    </row>
    <row r="5" spans="1:24">
      <c r="A5" s="522">
        <v>3</v>
      </c>
      <c r="B5" s="523" t="s">
        <v>155</v>
      </c>
      <c r="C5" s="524"/>
      <c r="D5" s="526">
        <v>6</v>
      </c>
      <c r="E5" s="522">
        <v>3</v>
      </c>
      <c r="F5" s="523" t="s">
        <v>155</v>
      </c>
      <c r="G5" s="524"/>
      <c r="H5" s="531">
        <v>10</v>
      </c>
      <c r="I5" s="522">
        <v>3</v>
      </c>
      <c r="J5" s="523" t="s">
        <v>156</v>
      </c>
      <c r="K5" s="524"/>
      <c r="L5" s="526"/>
      <c r="M5" s="527">
        <v>3</v>
      </c>
      <c r="N5" s="528" t="s">
        <v>154</v>
      </c>
      <c r="O5" s="529"/>
      <c r="P5" s="530" t="s">
        <v>142</v>
      </c>
      <c r="Q5" s="522">
        <v>3</v>
      </c>
      <c r="R5" s="523" t="s">
        <v>157</v>
      </c>
      <c r="S5" s="524"/>
      <c r="T5" s="526"/>
      <c r="U5" s="522">
        <v>3</v>
      </c>
      <c r="V5" s="523" t="s">
        <v>156</v>
      </c>
      <c r="W5" s="524"/>
      <c r="X5" s="531"/>
    </row>
    <row r="6" spans="1:24">
      <c r="A6" s="522">
        <v>4</v>
      </c>
      <c r="B6" s="523" t="s">
        <v>157</v>
      </c>
      <c r="C6" s="524"/>
      <c r="D6" s="526" t="s">
        <v>142</v>
      </c>
      <c r="E6" s="522">
        <v>4</v>
      </c>
      <c r="F6" s="523" t="s">
        <v>157</v>
      </c>
      <c r="G6" s="524"/>
      <c r="H6" s="531"/>
      <c r="I6" s="522">
        <v>4</v>
      </c>
      <c r="J6" s="523" t="s">
        <v>158</v>
      </c>
      <c r="K6" s="524"/>
      <c r="L6" s="526" t="s">
        <v>142</v>
      </c>
      <c r="M6" s="527">
        <v>4</v>
      </c>
      <c r="N6" s="528" t="s">
        <v>159</v>
      </c>
      <c r="O6" s="529"/>
      <c r="P6" s="530" t="s">
        <v>142</v>
      </c>
      <c r="Q6" s="522">
        <v>4</v>
      </c>
      <c r="R6" s="523" t="s">
        <v>153</v>
      </c>
      <c r="S6" s="524"/>
      <c r="T6" s="526" t="s">
        <v>142</v>
      </c>
      <c r="U6" s="522">
        <v>4</v>
      </c>
      <c r="V6" s="523" t="s">
        <v>158</v>
      </c>
      <c r="W6" s="524"/>
      <c r="X6" s="531" t="s">
        <v>142</v>
      </c>
    </row>
    <row r="7" spans="1:24">
      <c r="A7" s="522">
        <v>5</v>
      </c>
      <c r="B7" s="523" t="s">
        <v>153</v>
      </c>
      <c r="C7" s="524"/>
      <c r="D7" s="526"/>
      <c r="E7" s="522">
        <v>5</v>
      </c>
      <c r="F7" s="523" t="s">
        <v>153</v>
      </c>
      <c r="G7" s="524"/>
      <c r="H7" s="531" t="s">
        <v>142</v>
      </c>
      <c r="I7" s="527">
        <v>5</v>
      </c>
      <c r="J7" s="528" t="s">
        <v>154</v>
      </c>
      <c r="K7" s="529"/>
      <c r="L7" s="532" t="s">
        <v>142</v>
      </c>
      <c r="M7" s="522">
        <v>5</v>
      </c>
      <c r="N7" s="523" t="s">
        <v>155</v>
      </c>
      <c r="O7" s="524"/>
      <c r="P7" s="531">
        <v>19</v>
      </c>
      <c r="Q7" s="522">
        <v>5</v>
      </c>
      <c r="R7" s="523" t="s">
        <v>156</v>
      </c>
      <c r="S7" s="524" t="s">
        <v>218</v>
      </c>
      <c r="T7" s="526"/>
      <c r="U7" s="527">
        <v>5</v>
      </c>
      <c r="V7" s="528" t="s">
        <v>154</v>
      </c>
      <c r="W7" s="529"/>
      <c r="X7" s="530" t="s">
        <v>142</v>
      </c>
    </row>
    <row r="8" spans="1:24">
      <c r="A8" s="522">
        <v>6</v>
      </c>
      <c r="B8" s="523" t="s">
        <v>156</v>
      </c>
      <c r="C8" s="524"/>
      <c r="D8" s="526"/>
      <c r="E8" s="522">
        <v>6</v>
      </c>
      <c r="F8" s="523" t="s">
        <v>156</v>
      </c>
      <c r="G8" s="524"/>
      <c r="H8" s="531"/>
      <c r="I8" s="527">
        <v>6</v>
      </c>
      <c r="J8" s="528" t="s">
        <v>159</v>
      </c>
      <c r="K8" s="529"/>
      <c r="L8" s="532" t="s">
        <v>142</v>
      </c>
      <c r="M8" s="522">
        <v>6</v>
      </c>
      <c r="N8" s="523" t="s">
        <v>157</v>
      </c>
      <c r="O8" s="524"/>
      <c r="P8" s="531"/>
      <c r="Q8" s="522">
        <v>6</v>
      </c>
      <c r="R8" s="523" t="s">
        <v>158</v>
      </c>
      <c r="S8" s="524"/>
      <c r="T8" s="526" t="s">
        <v>142</v>
      </c>
      <c r="U8" s="527">
        <v>6</v>
      </c>
      <c r="V8" s="528" t="s">
        <v>159</v>
      </c>
      <c r="W8" s="529"/>
      <c r="X8" s="530" t="s">
        <v>142</v>
      </c>
    </row>
    <row r="9" spans="1:24">
      <c r="A9" s="522">
        <v>7</v>
      </c>
      <c r="B9" s="523" t="s">
        <v>158</v>
      </c>
      <c r="C9" s="524"/>
      <c r="D9" s="526" t="s">
        <v>142</v>
      </c>
      <c r="E9" s="522">
        <v>7</v>
      </c>
      <c r="F9" s="523" t="s">
        <v>158</v>
      </c>
      <c r="G9" s="524"/>
      <c r="H9" s="531" t="s">
        <v>142</v>
      </c>
      <c r="I9" s="522">
        <v>7</v>
      </c>
      <c r="J9" s="523" t="s">
        <v>155</v>
      </c>
      <c r="K9" s="524"/>
      <c r="L9" s="526">
        <v>15</v>
      </c>
      <c r="M9" s="522">
        <v>7</v>
      </c>
      <c r="N9" s="523" t="s">
        <v>153</v>
      </c>
      <c r="O9" s="524"/>
      <c r="P9" s="531" t="s">
        <v>142</v>
      </c>
      <c r="Q9" s="527">
        <v>7</v>
      </c>
      <c r="R9" s="528" t="s">
        <v>154</v>
      </c>
      <c r="S9" s="529"/>
      <c r="T9" s="532" t="s">
        <v>142</v>
      </c>
      <c r="U9" s="522">
        <v>7</v>
      </c>
      <c r="V9" s="523" t="s">
        <v>155</v>
      </c>
      <c r="W9" s="524"/>
      <c r="X9" s="531">
        <v>28</v>
      </c>
    </row>
    <row r="10" spans="1:24">
      <c r="A10" s="527">
        <v>8</v>
      </c>
      <c r="B10" s="528" t="s">
        <v>154</v>
      </c>
      <c r="C10" s="529"/>
      <c r="D10" s="532" t="s">
        <v>142</v>
      </c>
      <c r="E10" s="527">
        <v>8</v>
      </c>
      <c r="F10" s="528" t="s">
        <v>154</v>
      </c>
      <c r="G10" s="529"/>
      <c r="H10" s="530" t="s">
        <v>142</v>
      </c>
      <c r="I10" s="522">
        <v>8</v>
      </c>
      <c r="J10" s="523" t="s">
        <v>157</v>
      </c>
      <c r="K10" s="524"/>
      <c r="L10" s="526"/>
      <c r="M10" s="522">
        <v>8</v>
      </c>
      <c r="N10" s="523" t="s">
        <v>156</v>
      </c>
      <c r="O10" s="524"/>
      <c r="P10" s="531"/>
      <c r="Q10" s="527">
        <v>8</v>
      </c>
      <c r="R10" s="528" t="s">
        <v>159</v>
      </c>
      <c r="S10" s="529" t="s">
        <v>177</v>
      </c>
      <c r="T10" s="532" t="s">
        <v>142</v>
      </c>
      <c r="U10" s="522">
        <v>8</v>
      </c>
      <c r="V10" s="523" t="s">
        <v>157</v>
      </c>
      <c r="W10" s="524"/>
      <c r="X10" s="531"/>
    </row>
    <row r="11" spans="1:24">
      <c r="A11" s="527">
        <v>9</v>
      </c>
      <c r="B11" s="528" t="s">
        <v>159</v>
      </c>
      <c r="C11" s="529"/>
      <c r="D11" s="532" t="s">
        <v>142</v>
      </c>
      <c r="E11" s="527">
        <v>9</v>
      </c>
      <c r="F11" s="528" t="s">
        <v>159</v>
      </c>
      <c r="G11" s="529"/>
      <c r="H11" s="530" t="s">
        <v>142</v>
      </c>
      <c r="I11" s="522">
        <v>9</v>
      </c>
      <c r="J11" s="523" t="s">
        <v>153</v>
      </c>
      <c r="K11" s="524"/>
      <c r="L11" s="526" t="s">
        <v>142</v>
      </c>
      <c r="M11" s="522">
        <v>9</v>
      </c>
      <c r="N11" s="523" t="s">
        <v>158</v>
      </c>
      <c r="O11" s="611"/>
      <c r="P11" s="531" t="s">
        <v>142</v>
      </c>
      <c r="Q11" s="527">
        <v>9</v>
      </c>
      <c r="R11" s="528" t="s">
        <v>155</v>
      </c>
      <c r="S11" s="529" t="s">
        <v>545</v>
      </c>
      <c r="T11" s="532">
        <v>24</v>
      </c>
      <c r="U11" s="522">
        <v>9</v>
      </c>
      <c r="V11" s="523" t="s">
        <v>153</v>
      </c>
      <c r="W11" s="524"/>
      <c r="X11" s="531" t="s">
        <v>142</v>
      </c>
    </row>
    <row r="12" spans="1:24">
      <c r="A12" s="522">
        <v>10</v>
      </c>
      <c r="B12" s="523" t="s">
        <v>155</v>
      </c>
      <c r="C12" s="524"/>
      <c r="D12" s="526">
        <v>7</v>
      </c>
      <c r="E12" s="522">
        <v>10</v>
      </c>
      <c r="F12" s="523" t="s">
        <v>155</v>
      </c>
      <c r="G12" s="524"/>
      <c r="H12" s="531">
        <v>11</v>
      </c>
      <c r="I12" s="522">
        <v>10</v>
      </c>
      <c r="J12" s="523" t="s">
        <v>156</v>
      </c>
      <c r="K12" s="524"/>
      <c r="L12" s="526"/>
      <c r="M12" s="527">
        <v>10</v>
      </c>
      <c r="N12" s="528" t="s">
        <v>154</v>
      </c>
      <c r="O12" s="529"/>
      <c r="P12" s="530" t="s">
        <v>142</v>
      </c>
      <c r="Q12" s="522">
        <v>10</v>
      </c>
      <c r="R12" s="523" t="s">
        <v>157</v>
      </c>
      <c r="S12" s="524"/>
      <c r="T12" s="526"/>
      <c r="U12" s="522">
        <v>10</v>
      </c>
      <c r="V12" s="523" t="s">
        <v>156</v>
      </c>
      <c r="W12" s="524"/>
      <c r="X12" s="531"/>
    </row>
    <row r="13" spans="1:24">
      <c r="A13" s="522">
        <v>11</v>
      </c>
      <c r="B13" s="523" t="s">
        <v>157</v>
      </c>
      <c r="C13" s="524"/>
      <c r="D13" s="526" t="s">
        <v>142</v>
      </c>
      <c r="E13" s="522">
        <v>11</v>
      </c>
      <c r="F13" s="523" t="s">
        <v>157</v>
      </c>
      <c r="G13" s="524"/>
      <c r="H13" s="531"/>
      <c r="I13" s="522">
        <v>11</v>
      </c>
      <c r="J13" s="523" t="s">
        <v>158</v>
      </c>
      <c r="K13" s="524"/>
      <c r="L13" s="526" t="s">
        <v>142</v>
      </c>
      <c r="M13" s="527">
        <v>11</v>
      </c>
      <c r="N13" s="528" t="s">
        <v>159</v>
      </c>
      <c r="O13" s="529"/>
      <c r="P13" s="530" t="s">
        <v>142</v>
      </c>
      <c r="Q13" s="522">
        <v>11</v>
      </c>
      <c r="R13" s="523" t="s">
        <v>153</v>
      </c>
      <c r="S13" s="524"/>
      <c r="T13" s="526" t="s">
        <v>142</v>
      </c>
      <c r="U13" s="522">
        <v>11</v>
      </c>
      <c r="V13" s="523" t="s">
        <v>158</v>
      </c>
      <c r="W13" s="524"/>
      <c r="X13" s="531" t="s">
        <v>142</v>
      </c>
    </row>
    <row r="14" spans="1:24">
      <c r="A14" s="522">
        <v>12</v>
      </c>
      <c r="B14" s="523" t="s">
        <v>153</v>
      </c>
      <c r="C14" s="524"/>
      <c r="D14" s="526"/>
      <c r="E14" s="522">
        <v>12</v>
      </c>
      <c r="F14" s="523" t="s">
        <v>153</v>
      </c>
      <c r="G14" s="524"/>
      <c r="H14" s="531" t="s">
        <v>142</v>
      </c>
      <c r="I14" s="527">
        <v>12</v>
      </c>
      <c r="J14" s="528" t="s">
        <v>154</v>
      </c>
      <c r="K14" s="529"/>
      <c r="L14" s="532" t="s">
        <v>142</v>
      </c>
      <c r="M14" s="522">
        <v>12</v>
      </c>
      <c r="N14" s="523" t="s">
        <v>155</v>
      </c>
      <c r="O14" s="524"/>
      <c r="P14" s="531">
        <v>20</v>
      </c>
      <c r="Q14" s="522">
        <v>12</v>
      </c>
      <c r="R14" s="523" t="s">
        <v>156</v>
      </c>
      <c r="S14" s="524"/>
      <c r="T14" s="526"/>
      <c r="U14" s="527">
        <v>12</v>
      </c>
      <c r="V14" s="528" t="s">
        <v>154</v>
      </c>
      <c r="W14" s="529"/>
      <c r="X14" s="530" t="s">
        <v>142</v>
      </c>
    </row>
    <row r="15" spans="1:24">
      <c r="A15" s="522">
        <v>13</v>
      </c>
      <c r="B15" s="523" t="s">
        <v>156</v>
      </c>
      <c r="C15" s="524"/>
      <c r="D15" s="526"/>
      <c r="E15" s="522">
        <v>13</v>
      </c>
      <c r="F15" s="523" t="s">
        <v>156</v>
      </c>
      <c r="G15" s="524"/>
      <c r="H15" s="531"/>
      <c r="I15" s="527">
        <v>13</v>
      </c>
      <c r="J15" s="528" t="s">
        <v>159</v>
      </c>
      <c r="K15" s="529" t="s">
        <v>176</v>
      </c>
      <c r="L15" s="532" t="s">
        <v>142</v>
      </c>
      <c r="M15" s="522">
        <v>13</v>
      </c>
      <c r="N15" s="523" t="s">
        <v>157</v>
      </c>
      <c r="O15" s="524"/>
      <c r="P15" s="531"/>
      <c r="Q15" s="522">
        <v>13</v>
      </c>
      <c r="R15" s="523" t="s">
        <v>158</v>
      </c>
      <c r="S15" s="524"/>
      <c r="T15" s="526" t="s">
        <v>142</v>
      </c>
      <c r="U15" s="527">
        <v>13</v>
      </c>
      <c r="V15" s="528" t="s">
        <v>159</v>
      </c>
      <c r="W15" s="529"/>
      <c r="X15" s="530" t="s">
        <v>142</v>
      </c>
    </row>
    <row r="16" spans="1:24">
      <c r="A16" s="522">
        <v>14</v>
      </c>
      <c r="B16" s="523" t="s">
        <v>158</v>
      </c>
      <c r="C16" s="524"/>
      <c r="D16" s="526" t="s">
        <v>142</v>
      </c>
      <c r="E16" s="522">
        <v>14</v>
      </c>
      <c r="F16" s="523" t="s">
        <v>158</v>
      </c>
      <c r="G16" s="524"/>
      <c r="H16" s="531" t="s">
        <v>142</v>
      </c>
      <c r="I16" s="522">
        <v>14</v>
      </c>
      <c r="J16" s="523" t="s">
        <v>155</v>
      </c>
      <c r="K16" s="524"/>
      <c r="L16" s="526">
        <v>16</v>
      </c>
      <c r="M16" s="522">
        <v>14</v>
      </c>
      <c r="N16" s="523" t="s">
        <v>153</v>
      </c>
      <c r="O16" s="524"/>
      <c r="P16" s="531" t="s">
        <v>142</v>
      </c>
      <c r="Q16" s="527">
        <v>14</v>
      </c>
      <c r="R16" s="528" t="s">
        <v>154</v>
      </c>
      <c r="S16" s="529"/>
      <c r="T16" s="532" t="s">
        <v>142</v>
      </c>
      <c r="U16" s="522">
        <v>14</v>
      </c>
      <c r="V16" s="523" t="s">
        <v>155</v>
      </c>
      <c r="W16" s="524"/>
      <c r="X16" s="531">
        <v>29</v>
      </c>
    </row>
    <row r="17" spans="1:24">
      <c r="A17" s="527">
        <v>15</v>
      </c>
      <c r="B17" s="528" t="s">
        <v>154</v>
      </c>
      <c r="C17" s="529"/>
      <c r="D17" s="532" t="s">
        <v>142</v>
      </c>
      <c r="E17" s="527">
        <v>15</v>
      </c>
      <c r="F17" s="528" t="s">
        <v>154</v>
      </c>
      <c r="G17" s="529"/>
      <c r="H17" s="530" t="s">
        <v>142</v>
      </c>
      <c r="I17" s="522">
        <v>15</v>
      </c>
      <c r="J17" s="523" t="s">
        <v>157</v>
      </c>
      <c r="K17" s="524"/>
      <c r="L17" s="526"/>
      <c r="M17" s="522">
        <v>15</v>
      </c>
      <c r="N17" s="523" t="s">
        <v>156</v>
      </c>
      <c r="O17" s="524"/>
      <c r="P17" s="531"/>
      <c r="Q17" s="527">
        <v>15</v>
      </c>
      <c r="R17" s="528" t="s">
        <v>159</v>
      </c>
      <c r="S17" s="529"/>
      <c r="T17" s="532" t="s">
        <v>142</v>
      </c>
      <c r="U17" s="522">
        <v>15</v>
      </c>
      <c r="V17" s="523" t="s">
        <v>157</v>
      </c>
      <c r="W17" s="524"/>
      <c r="X17" s="531"/>
    </row>
    <row r="18" spans="1:24">
      <c r="A18" s="527">
        <v>16</v>
      </c>
      <c r="B18" s="528" t="s">
        <v>159</v>
      </c>
      <c r="C18" s="529"/>
      <c r="D18" s="532" t="s">
        <v>142</v>
      </c>
      <c r="E18" s="527">
        <v>16</v>
      </c>
      <c r="F18" s="528" t="s">
        <v>159</v>
      </c>
      <c r="G18" s="529"/>
      <c r="H18" s="530" t="s">
        <v>142</v>
      </c>
      <c r="I18" s="522">
        <v>16</v>
      </c>
      <c r="J18" s="523" t="s">
        <v>153</v>
      </c>
      <c r="K18" s="524"/>
      <c r="L18" s="526" t="s">
        <v>142</v>
      </c>
      <c r="M18" s="522">
        <v>16</v>
      </c>
      <c r="N18" s="523" t="s">
        <v>158</v>
      </c>
      <c r="O18" s="524"/>
      <c r="P18" s="531" t="s">
        <v>142</v>
      </c>
      <c r="Q18" s="522">
        <v>16</v>
      </c>
      <c r="R18" s="523" t="s">
        <v>155</v>
      </c>
      <c r="S18" s="524"/>
      <c r="T18" s="526">
        <v>25</v>
      </c>
      <c r="U18" s="522">
        <v>16</v>
      </c>
      <c r="V18" s="523" t="s">
        <v>153</v>
      </c>
      <c r="W18" s="524"/>
      <c r="X18" s="531" t="s">
        <v>142</v>
      </c>
    </row>
    <row r="19" spans="1:24">
      <c r="A19" s="522">
        <v>17</v>
      </c>
      <c r="B19" s="523" t="s">
        <v>155</v>
      </c>
      <c r="C19" s="524"/>
      <c r="D19" s="526">
        <v>8</v>
      </c>
      <c r="E19" s="522">
        <v>17</v>
      </c>
      <c r="F19" s="523" t="s">
        <v>155</v>
      </c>
      <c r="G19" s="524"/>
      <c r="H19" s="531">
        <v>12</v>
      </c>
      <c r="I19" s="527">
        <v>17</v>
      </c>
      <c r="J19" s="528" t="s">
        <v>156</v>
      </c>
      <c r="K19" s="529" t="s">
        <v>105</v>
      </c>
      <c r="L19" s="532"/>
      <c r="M19" s="527">
        <v>17</v>
      </c>
      <c r="N19" s="528" t="s">
        <v>154</v>
      </c>
      <c r="O19" s="529"/>
      <c r="P19" s="530" t="s">
        <v>142</v>
      </c>
      <c r="Q19" s="522">
        <v>17</v>
      </c>
      <c r="R19" s="523" t="s">
        <v>157</v>
      </c>
      <c r="S19" s="524"/>
      <c r="T19" s="526"/>
      <c r="U19" s="522">
        <v>17</v>
      </c>
      <c r="V19" s="523" t="s">
        <v>156</v>
      </c>
      <c r="W19" s="524"/>
      <c r="X19" s="531"/>
    </row>
    <row r="20" spans="1:24">
      <c r="A20" s="522">
        <v>18</v>
      </c>
      <c r="B20" s="523" t="s">
        <v>157</v>
      </c>
      <c r="C20" s="524"/>
      <c r="D20" s="526" t="s">
        <v>142</v>
      </c>
      <c r="E20" s="522">
        <v>18</v>
      </c>
      <c r="F20" s="523" t="s">
        <v>157</v>
      </c>
      <c r="G20" s="524"/>
      <c r="H20" s="531"/>
      <c r="I20" s="527">
        <v>18</v>
      </c>
      <c r="J20" s="528" t="s">
        <v>158</v>
      </c>
      <c r="K20" s="529" t="s">
        <v>167</v>
      </c>
      <c r="L20" s="532" t="s">
        <v>142</v>
      </c>
      <c r="M20" s="527">
        <v>18</v>
      </c>
      <c r="N20" s="528" t="s">
        <v>159</v>
      </c>
      <c r="O20" s="1525"/>
      <c r="P20" s="1526"/>
      <c r="Q20" s="522">
        <v>18</v>
      </c>
      <c r="R20" s="523" t="s">
        <v>153</v>
      </c>
      <c r="S20" s="524"/>
      <c r="T20" s="526" t="s">
        <v>142</v>
      </c>
      <c r="U20" s="522">
        <v>18</v>
      </c>
      <c r="V20" s="537" t="s">
        <v>158</v>
      </c>
      <c r="W20" s="524"/>
      <c r="X20" s="531" t="s">
        <v>142</v>
      </c>
    </row>
    <row r="21" spans="1:24">
      <c r="A21" s="522">
        <v>19</v>
      </c>
      <c r="B21" s="523" t="s">
        <v>153</v>
      </c>
      <c r="C21" s="524"/>
      <c r="D21" s="526"/>
      <c r="E21" s="522">
        <v>19</v>
      </c>
      <c r="F21" s="523" t="s">
        <v>153</v>
      </c>
      <c r="G21" s="524"/>
      <c r="H21" s="531" t="s">
        <v>142</v>
      </c>
      <c r="I21" s="527">
        <v>19</v>
      </c>
      <c r="J21" s="528" t="s">
        <v>154</v>
      </c>
      <c r="K21" s="529"/>
      <c r="L21" s="532" t="s">
        <v>142</v>
      </c>
      <c r="M21" s="522">
        <v>19</v>
      </c>
      <c r="N21" s="523" t="s">
        <v>155</v>
      </c>
      <c r="O21" s="524"/>
      <c r="P21" s="531">
        <v>21</v>
      </c>
      <c r="Q21" s="522">
        <v>19</v>
      </c>
      <c r="R21" s="523" t="s">
        <v>156</v>
      </c>
      <c r="S21" s="524"/>
      <c r="T21" s="526"/>
      <c r="U21" s="527">
        <v>19</v>
      </c>
      <c r="V21" s="528" t="s">
        <v>154</v>
      </c>
      <c r="W21" s="529"/>
      <c r="X21" s="530" t="s">
        <v>142</v>
      </c>
    </row>
    <row r="22" spans="1:24">
      <c r="A22" s="522">
        <v>20</v>
      </c>
      <c r="B22" s="523" t="s">
        <v>156</v>
      </c>
      <c r="C22" s="524"/>
      <c r="D22" s="526"/>
      <c r="E22" s="522">
        <v>20</v>
      </c>
      <c r="F22" s="523" t="s">
        <v>156</v>
      </c>
      <c r="G22" s="524"/>
      <c r="H22" s="531"/>
      <c r="I22" s="527">
        <v>20</v>
      </c>
      <c r="J22" s="528" t="s">
        <v>159</v>
      </c>
      <c r="K22" s="529" t="s">
        <v>114</v>
      </c>
      <c r="L22" s="532" t="s">
        <v>142</v>
      </c>
      <c r="M22" s="522">
        <v>20</v>
      </c>
      <c r="N22" s="523" t="s">
        <v>157</v>
      </c>
      <c r="O22" s="524"/>
      <c r="P22" s="531"/>
      <c r="Q22" s="522">
        <v>20</v>
      </c>
      <c r="R22" s="537" t="s">
        <v>158</v>
      </c>
      <c r="S22" s="524"/>
      <c r="T22" s="526" t="s">
        <v>142</v>
      </c>
      <c r="U22" s="527">
        <v>20</v>
      </c>
      <c r="V22" s="528" t="s">
        <v>159</v>
      </c>
      <c r="W22" s="529"/>
      <c r="X22" s="530" t="s">
        <v>142</v>
      </c>
    </row>
    <row r="23" spans="1:24">
      <c r="A23" s="522">
        <v>21</v>
      </c>
      <c r="B23" s="523" t="s">
        <v>158</v>
      </c>
      <c r="C23" s="524"/>
      <c r="D23" s="526" t="s">
        <v>142</v>
      </c>
      <c r="E23" s="522">
        <v>21</v>
      </c>
      <c r="F23" s="523" t="s">
        <v>158</v>
      </c>
      <c r="G23" s="524"/>
      <c r="H23" s="531" t="s">
        <v>142</v>
      </c>
      <c r="I23" s="527">
        <v>21</v>
      </c>
      <c r="J23" s="528" t="s">
        <v>155</v>
      </c>
      <c r="K23" s="529" t="s">
        <v>312</v>
      </c>
      <c r="L23" s="532">
        <v>17</v>
      </c>
      <c r="M23" s="522">
        <v>21</v>
      </c>
      <c r="N23" s="523" t="s">
        <v>153</v>
      </c>
      <c r="O23" s="524"/>
      <c r="P23" s="531" t="s">
        <v>142</v>
      </c>
      <c r="Q23" s="527">
        <v>21</v>
      </c>
      <c r="R23" s="528" t="s">
        <v>154</v>
      </c>
      <c r="S23" s="529"/>
      <c r="T23" s="532" t="s">
        <v>142</v>
      </c>
      <c r="U23" s="522">
        <v>21</v>
      </c>
      <c r="V23" s="537" t="s">
        <v>155</v>
      </c>
      <c r="W23" s="524"/>
      <c r="X23" s="531">
        <v>30</v>
      </c>
    </row>
    <row r="24" spans="1:24">
      <c r="A24" s="527">
        <v>22</v>
      </c>
      <c r="B24" s="528" t="s">
        <v>154</v>
      </c>
      <c r="C24" s="529"/>
      <c r="D24" s="532" t="s">
        <v>142</v>
      </c>
      <c r="E24" s="527">
        <v>22</v>
      </c>
      <c r="F24" s="528" t="s">
        <v>154</v>
      </c>
      <c r="G24" s="529"/>
      <c r="H24" s="530" t="s">
        <v>142</v>
      </c>
      <c r="I24" s="522">
        <v>22</v>
      </c>
      <c r="J24" s="523" t="s">
        <v>157</v>
      </c>
      <c r="K24" s="524"/>
      <c r="L24" s="526"/>
      <c r="M24" s="522">
        <v>22</v>
      </c>
      <c r="N24" s="523" t="s">
        <v>156</v>
      </c>
      <c r="O24" s="524"/>
      <c r="P24" s="531"/>
      <c r="Q24" s="527">
        <v>22</v>
      </c>
      <c r="R24" s="528" t="s">
        <v>159</v>
      </c>
      <c r="S24" s="529"/>
      <c r="T24" s="532" t="s">
        <v>142</v>
      </c>
      <c r="U24" s="522">
        <v>22</v>
      </c>
      <c r="V24" s="523" t="s">
        <v>157</v>
      </c>
      <c r="W24" s="524"/>
      <c r="X24" s="531"/>
    </row>
    <row r="25" spans="1:24">
      <c r="A25" s="527">
        <v>23</v>
      </c>
      <c r="B25" s="528" t="s">
        <v>159</v>
      </c>
      <c r="C25" s="529"/>
      <c r="D25" s="532" t="s">
        <v>142</v>
      </c>
      <c r="E25" s="527">
        <v>23</v>
      </c>
      <c r="F25" s="528" t="s">
        <v>159</v>
      </c>
      <c r="G25" s="529"/>
      <c r="H25" s="530" t="s">
        <v>142</v>
      </c>
      <c r="I25" s="522">
        <v>23</v>
      </c>
      <c r="J25" s="523" t="s">
        <v>153</v>
      </c>
      <c r="K25" s="524"/>
      <c r="L25" s="526" t="s">
        <v>142</v>
      </c>
      <c r="M25" s="522">
        <v>23</v>
      </c>
      <c r="N25" s="537" t="s">
        <v>158</v>
      </c>
      <c r="O25" s="524"/>
      <c r="P25" s="531" t="s">
        <v>142</v>
      </c>
      <c r="Q25" s="522">
        <v>23</v>
      </c>
      <c r="R25" s="537" t="s">
        <v>155</v>
      </c>
      <c r="S25" s="524"/>
      <c r="T25" s="526">
        <v>26</v>
      </c>
      <c r="U25" s="522">
        <v>23</v>
      </c>
      <c r="V25" s="523" t="s">
        <v>153</v>
      </c>
      <c r="W25" s="524"/>
      <c r="X25" s="531" t="s">
        <v>142</v>
      </c>
    </row>
    <row r="26" spans="1:24">
      <c r="A26" s="522">
        <v>24</v>
      </c>
      <c r="B26" s="523" t="s">
        <v>155</v>
      </c>
      <c r="C26" s="524"/>
      <c r="D26" s="526">
        <v>9</v>
      </c>
      <c r="E26" s="522">
        <v>24</v>
      </c>
      <c r="F26" s="523" t="s">
        <v>155</v>
      </c>
      <c r="G26" s="524"/>
      <c r="H26" s="531">
        <v>13</v>
      </c>
      <c r="I26" s="522">
        <v>24</v>
      </c>
      <c r="J26" s="523" t="s">
        <v>156</v>
      </c>
      <c r="K26" s="524"/>
      <c r="L26" s="526"/>
      <c r="M26" s="527">
        <v>24</v>
      </c>
      <c r="N26" s="528" t="s">
        <v>154</v>
      </c>
      <c r="O26" s="529"/>
      <c r="P26" s="530" t="s">
        <v>142</v>
      </c>
      <c r="Q26" s="522">
        <v>24</v>
      </c>
      <c r="R26" s="523" t="s">
        <v>157</v>
      </c>
      <c r="S26" s="524"/>
      <c r="T26" s="526"/>
      <c r="U26" s="522">
        <v>24</v>
      </c>
      <c r="V26" s="523" t="s">
        <v>156</v>
      </c>
      <c r="W26" s="524"/>
      <c r="X26" s="531"/>
    </row>
    <row r="27" spans="1:24">
      <c r="A27" s="522">
        <v>25</v>
      </c>
      <c r="B27" s="523" t="s">
        <v>157</v>
      </c>
      <c r="C27" s="524"/>
      <c r="D27" s="526" t="s">
        <v>142</v>
      </c>
      <c r="E27" s="522">
        <v>25</v>
      </c>
      <c r="F27" s="523" t="s">
        <v>157</v>
      </c>
      <c r="G27" s="524"/>
      <c r="H27" s="531"/>
      <c r="I27" s="522">
        <v>25</v>
      </c>
      <c r="J27" s="537" t="s">
        <v>158</v>
      </c>
      <c r="K27" s="524"/>
      <c r="L27" s="526" t="s">
        <v>142</v>
      </c>
      <c r="M27" s="527">
        <v>25</v>
      </c>
      <c r="N27" s="528" t="s">
        <v>159</v>
      </c>
      <c r="O27" s="529"/>
      <c r="P27" s="530" t="s">
        <v>142</v>
      </c>
      <c r="Q27" s="522">
        <v>25</v>
      </c>
      <c r="R27" s="523" t="s">
        <v>153</v>
      </c>
      <c r="S27" s="524"/>
      <c r="T27" s="526" t="s">
        <v>142</v>
      </c>
      <c r="U27" s="522">
        <v>25</v>
      </c>
      <c r="V27" s="523" t="s">
        <v>158</v>
      </c>
      <c r="W27" s="524"/>
      <c r="X27" s="531" t="s">
        <v>142</v>
      </c>
    </row>
    <row r="28" spans="1:24">
      <c r="A28" s="522">
        <v>26</v>
      </c>
      <c r="B28" s="523" t="s">
        <v>153</v>
      </c>
      <c r="C28" s="524"/>
      <c r="D28" s="526"/>
      <c r="E28" s="522">
        <v>26</v>
      </c>
      <c r="F28" s="523" t="s">
        <v>153</v>
      </c>
      <c r="G28" s="524"/>
      <c r="H28" s="531" t="s">
        <v>142</v>
      </c>
      <c r="I28" s="527">
        <v>26</v>
      </c>
      <c r="J28" s="528" t="s">
        <v>154</v>
      </c>
      <c r="K28" s="529"/>
      <c r="L28" s="532" t="s">
        <v>142</v>
      </c>
      <c r="M28" s="522">
        <v>26</v>
      </c>
      <c r="N28" s="537" t="s">
        <v>155</v>
      </c>
      <c r="O28" s="524"/>
      <c r="P28" s="531">
        <v>22</v>
      </c>
      <c r="Q28" s="522">
        <v>26</v>
      </c>
      <c r="R28" s="523" t="s">
        <v>156</v>
      </c>
      <c r="S28" s="524"/>
      <c r="T28" s="526"/>
      <c r="U28" s="527">
        <v>26</v>
      </c>
      <c r="V28" s="541" t="s">
        <v>154</v>
      </c>
      <c r="W28" s="529"/>
      <c r="X28" s="530" t="s">
        <v>142</v>
      </c>
    </row>
    <row r="29" spans="1:24">
      <c r="A29" s="522">
        <v>27</v>
      </c>
      <c r="B29" s="523" t="s">
        <v>156</v>
      </c>
      <c r="C29" s="524"/>
      <c r="D29" s="526"/>
      <c r="E29" s="522">
        <v>27</v>
      </c>
      <c r="F29" s="523" t="s">
        <v>156</v>
      </c>
      <c r="G29" s="524"/>
      <c r="H29" s="531"/>
      <c r="I29" s="527">
        <v>27</v>
      </c>
      <c r="J29" s="528" t="s">
        <v>159</v>
      </c>
      <c r="K29" s="529"/>
      <c r="L29" s="532" t="s">
        <v>142</v>
      </c>
      <c r="M29" s="522">
        <v>27</v>
      </c>
      <c r="N29" s="523" t="s">
        <v>157</v>
      </c>
      <c r="O29" s="524"/>
      <c r="P29" s="531"/>
      <c r="Q29" s="522">
        <v>27</v>
      </c>
      <c r="R29" s="523" t="s">
        <v>158</v>
      </c>
      <c r="S29" s="524"/>
      <c r="T29" s="526" t="s">
        <v>142</v>
      </c>
      <c r="U29" s="527">
        <v>27</v>
      </c>
      <c r="V29" s="528" t="s">
        <v>159</v>
      </c>
      <c r="W29" s="529"/>
      <c r="X29" s="530" t="s">
        <v>142</v>
      </c>
    </row>
    <row r="30" spans="1:24">
      <c r="A30" s="522">
        <v>28</v>
      </c>
      <c r="B30" s="537" t="s">
        <v>158</v>
      </c>
      <c r="C30" s="524"/>
      <c r="D30" s="531" t="s">
        <v>142</v>
      </c>
      <c r="E30" s="522">
        <v>28</v>
      </c>
      <c r="F30" s="537" t="s">
        <v>158</v>
      </c>
      <c r="G30" s="524"/>
      <c r="H30" s="531" t="s">
        <v>142</v>
      </c>
      <c r="I30" s="522">
        <v>28</v>
      </c>
      <c r="J30" s="537" t="s">
        <v>155</v>
      </c>
      <c r="K30" s="524"/>
      <c r="L30" s="526">
        <v>18</v>
      </c>
      <c r="M30" s="522">
        <v>28</v>
      </c>
      <c r="N30" s="523" t="s">
        <v>153</v>
      </c>
      <c r="O30" s="524"/>
      <c r="P30" s="531" t="s">
        <v>142</v>
      </c>
      <c r="Q30" s="527">
        <v>28</v>
      </c>
      <c r="R30" s="541" t="s">
        <v>154</v>
      </c>
      <c r="S30" s="529"/>
      <c r="T30" s="532" t="s">
        <v>142</v>
      </c>
      <c r="U30" s="522">
        <v>28</v>
      </c>
      <c r="V30" s="523" t="s">
        <v>155</v>
      </c>
      <c r="W30" s="524"/>
      <c r="X30" s="531">
        <v>31</v>
      </c>
    </row>
    <row r="31" spans="1:24">
      <c r="A31" s="196"/>
      <c r="B31" s="197"/>
      <c r="C31" s="198"/>
      <c r="D31" s="207"/>
      <c r="E31" s="527">
        <v>29</v>
      </c>
      <c r="F31" s="528" t="s">
        <v>154</v>
      </c>
      <c r="G31" s="529"/>
      <c r="H31" s="530" t="s">
        <v>142</v>
      </c>
      <c r="I31" s="522">
        <v>29</v>
      </c>
      <c r="J31" s="523" t="s">
        <v>157</v>
      </c>
      <c r="K31" s="524"/>
      <c r="L31" s="526"/>
      <c r="M31" s="527">
        <v>29</v>
      </c>
      <c r="N31" s="528" t="s">
        <v>156</v>
      </c>
      <c r="O31" s="529" t="s">
        <v>546</v>
      </c>
      <c r="P31" s="530"/>
      <c r="Q31" s="527">
        <v>29</v>
      </c>
      <c r="R31" s="528" t="s">
        <v>159</v>
      </c>
      <c r="S31" s="529"/>
      <c r="T31" s="532" t="s">
        <v>142</v>
      </c>
      <c r="U31" s="522">
        <v>29</v>
      </c>
      <c r="V31" s="523" t="s">
        <v>157</v>
      </c>
      <c r="W31" s="524"/>
      <c r="X31" s="531"/>
    </row>
    <row r="32" spans="1:24">
      <c r="A32" s="203"/>
      <c r="B32" s="204"/>
      <c r="C32" s="205"/>
      <c r="D32" s="206"/>
      <c r="E32" s="527">
        <v>30</v>
      </c>
      <c r="F32" s="528" t="s">
        <v>159</v>
      </c>
      <c r="G32" s="529"/>
      <c r="H32" s="530" t="s">
        <v>142</v>
      </c>
      <c r="I32" s="522">
        <v>30</v>
      </c>
      <c r="J32" s="523" t="s">
        <v>153</v>
      </c>
      <c r="K32" s="524"/>
      <c r="L32" s="526" t="s">
        <v>142</v>
      </c>
      <c r="M32" s="522">
        <v>30</v>
      </c>
      <c r="N32" s="523" t="s">
        <v>158</v>
      </c>
      <c r="O32" s="524"/>
      <c r="P32" s="531" t="s">
        <v>142</v>
      </c>
      <c r="Q32" s="522">
        <v>30</v>
      </c>
      <c r="R32" s="523" t="s">
        <v>155</v>
      </c>
      <c r="S32" s="524"/>
      <c r="T32" s="526">
        <v>27</v>
      </c>
      <c r="U32" s="522">
        <v>30</v>
      </c>
      <c r="V32" s="523" t="s">
        <v>153</v>
      </c>
      <c r="W32" s="524"/>
      <c r="X32" s="531" t="s">
        <v>142</v>
      </c>
    </row>
    <row r="33" spans="5:24">
      <c r="E33" s="536">
        <v>31</v>
      </c>
      <c r="F33" s="537" t="s">
        <v>155</v>
      </c>
      <c r="G33" s="538"/>
      <c r="H33" s="539">
        <v>14</v>
      </c>
      <c r="I33" s="203"/>
      <c r="J33" s="204"/>
      <c r="K33" s="205"/>
      <c r="L33" s="206"/>
      <c r="M33" s="540">
        <v>31</v>
      </c>
      <c r="N33" s="541" t="s">
        <v>154</v>
      </c>
      <c r="O33" s="543"/>
      <c r="P33" s="542" t="s">
        <v>142</v>
      </c>
      <c r="Q33" s="203"/>
      <c r="R33" s="204"/>
      <c r="S33" s="205"/>
      <c r="T33" s="206"/>
      <c r="U33" s="536">
        <v>31</v>
      </c>
      <c r="V33" s="537" t="s">
        <v>156</v>
      </c>
      <c r="W33" s="538"/>
      <c r="X33" s="539"/>
    </row>
  </sheetData>
  <mergeCells count="2">
    <mergeCell ref="A1:X1"/>
    <mergeCell ref="O20:P20"/>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6CBD-364F-6F40-9D72-07780921BA31}">
  <sheetPr>
    <tabColor rgb="FFFFFF00"/>
    <pageSetUpPr fitToPage="1"/>
  </sheetPr>
  <dimension ref="A1:J30"/>
  <sheetViews>
    <sheetView workbookViewId="0">
      <selection activeCell="C8" sqref="C8"/>
    </sheetView>
  </sheetViews>
  <sheetFormatPr baseColWidth="10" defaultRowHeight="16"/>
  <sheetData>
    <row r="1" spans="1:10" ht="24" customHeight="1">
      <c r="A1" s="746" t="s">
        <v>686</v>
      </c>
      <c r="B1" s="746"/>
      <c r="C1" s="746"/>
      <c r="D1" s="746"/>
      <c r="E1" s="746"/>
      <c r="F1" s="746"/>
      <c r="G1" s="746"/>
      <c r="H1" s="746"/>
      <c r="I1" s="746"/>
      <c r="J1" s="705"/>
    </row>
    <row r="3" spans="1:10" ht="24">
      <c r="A3" s="637" t="s">
        <v>571</v>
      </c>
    </row>
    <row r="4" spans="1:10">
      <c r="A4" t="s">
        <v>572</v>
      </c>
    </row>
    <row r="5" spans="1:10" ht="131" customHeight="1">
      <c r="A5" s="743" t="s">
        <v>624</v>
      </c>
      <c r="B5" s="743"/>
      <c r="C5" s="743"/>
      <c r="D5" s="743"/>
      <c r="E5" s="743"/>
      <c r="F5" s="743"/>
      <c r="G5" s="743"/>
      <c r="H5" s="743"/>
      <c r="I5" s="743"/>
    </row>
    <row r="6" spans="1:10" ht="31" customHeight="1">
      <c r="A6" s="743" t="s">
        <v>682</v>
      </c>
      <c r="B6" s="743"/>
      <c r="C6" s="743"/>
      <c r="D6" s="743"/>
      <c r="E6" s="743"/>
      <c r="F6" s="743"/>
      <c r="G6" s="743"/>
      <c r="H6" s="743"/>
      <c r="I6" s="743"/>
    </row>
    <row r="8" spans="1:10" ht="24">
      <c r="A8" s="637" t="s">
        <v>573</v>
      </c>
    </row>
    <row r="9" spans="1:10" ht="34" customHeight="1">
      <c r="A9" s="743" t="s">
        <v>574</v>
      </c>
      <c r="B9" s="743"/>
      <c r="C9" s="743"/>
      <c r="D9" s="743"/>
      <c r="E9" s="743"/>
      <c r="F9" s="743"/>
      <c r="G9" s="743"/>
      <c r="H9" s="743"/>
      <c r="I9" s="743"/>
    </row>
    <row r="10" spans="1:10" ht="19">
      <c r="A10" s="759" t="s">
        <v>575</v>
      </c>
      <c r="B10" s="759"/>
      <c r="C10" s="759"/>
      <c r="D10" s="759"/>
      <c r="E10" s="759"/>
      <c r="F10" s="759"/>
      <c r="G10" s="759"/>
      <c r="H10" s="759"/>
      <c r="I10" s="759"/>
    </row>
    <row r="11" spans="1:10">
      <c r="A11" s="758" t="s">
        <v>519</v>
      </c>
      <c r="B11" s="758"/>
      <c r="C11" s="758"/>
      <c r="D11" s="758"/>
      <c r="E11" s="758"/>
      <c r="F11" s="758"/>
      <c r="G11" s="758"/>
      <c r="H11" s="758"/>
      <c r="I11" s="758"/>
    </row>
    <row r="12" spans="1:10" ht="47" customHeight="1">
      <c r="A12" s="743" t="s">
        <v>576</v>
      </c>
      <c r="B12" s="743"/>
      <c r="C12" s="743"/>
      <c r="D12" s="743"/>
      <c r="E12" s="743"/>
      <c r="F12" s="743"/>
      <c r="G12" s="743"/>
      <c r="H12" s="743"/>
      <c r="I12" s="743"/>
    </row>
    <row r="13" spans="1:10">
      <c r="A13" s="758" t="s">
        <v>577</v>
      </c>
      <c r="B13" s="758"/>
      <c r="C13" s="758"/>
      <c r="D13" s="758"/>
      <c r="E13" s="758"/>
      <c r="F13" s="758"/>
      <c r="G13" s="758"/>
      <c r="H13" s="758"/>
      <c r="I13" s="758"/>
    </row>
    <row r="14" spans="1:10" ht="65" customHeight="1">
      <c r="A14" s="743" t="s">
        <v>578</v>
      </c>
      <c r="B14" s="743"/>
      <c r="C14" s="743"/>
      <c r="D14" s="743"/>
      <c r="E14" s="743"/>
      <c r="F14" s="743"/>
      <c r="G14" s="743"/>
      <c r="H14" s="743"/>
      <c r="I14" s="743"/>
    </row>
    <row r="15" spans="1:10">
      <c r="A15" s="757" t="s">
        <v>579</v>
      </c>
      <c r="B15" s="757"/>
      <c r="C15" s="757"/>
      <c r="D15" s="757"/>
      <c r="E15" s="757"/>
      <c r="F15" s="757"/>
      <c r="G15" s="757"/>
      <c r="H15" s="757"/>
      <c r="I15" s="757"/>
    </row>
    <row r="16" spans="1:10">
      <c r="A16" s="639" t="s">
        <v>582</v>
      </c>
      <c r="B16" s="639"/>
      <c r="C16" s="639"/>
      <c r="D16" s="639"/>
      <c r="E16" s="639"/>
      <c r="F16" s="639"/>
      <c r="G16" s="639"/>
      <c r="H16" s="639"/>
      <c r="I16" s="639"/>
    </row>
    <row r="17" spans="1:9" ht="34" customHeight="1">
      <c r="A17" s="743" t="s">
        <v>683</v>
      </c>
      <c r="B17" s="743"/>
      <c r="C17" s="743"/>
      <c r="D17" s="743"/>
      <c r="E17" s="743"/>
      <c r="F17" s="743"/>
      <c r="G17" s="743"/>
      <c r="H17" s="743"/>
      <c r="I17" s="743"/>
    </row>
    <row r="18" spans="1:9" ht="13" customHeight="1">
      <c r="A18" s="756" t="s">
        <v>162</v>
      </c>
      <c r="B18" s="756"/>
      <c r="C18" s="756"/>
      <c r="D18" s="756"/>
      <c r="E18" s="756"/>
      <c r="F18" s="756"/>
      <c r="G18" s="756"/>
      <c r="H18" s="756"/>
      <c r="I18" s="756"/>
    </row>
    <row r="19" spans="1:9">
      <c r="A19" s="747" t="s">
        <v>580</v>
      </c>
      <c r="B19" s="747"/>
      <c r="C19" s="747"/>
      <c r="D19" s="747"/>
      <c r="E19" s="747"/>
      <c r="F19" s="747"/>
      <c r="G19" s="747"/>
      <c r="H19" s="747"/>
      <c r="I19" s="747"/>
    </row>
    <row r="20" spans="1:9">
      <c r="A20" s="747" t="s">
        <v>581</v>
      </c>
      <c r="B20" s="747"/>
      <c r="C20" s="747"/>
      <c r="D20" s="747"/>
      <c r="E20" s="747"/>
      <c r="F20" s="747"/>
      <c r="G20" s="747"/>
      <c r="H20" s="747"/>
      <c r="I20" s="747"/>
    </row>
    <row r="21" spans="1:9" ht="53" customHeight="1">
      <c r="A21" s="743" t="s">
        <v>625</v>
      </c>
      <c r="B21" s="743"/>
      <c r="C21" s="743"/>
      <c r="D21" s="743"/>
      <c r="E21" s="743"/>
      <c r="F21" s="743"/>
      <c r="G21" s="743"/>
      <c r="H21" s="743"/>
      <c r="I21" s="743"/>
    </row>
    <row r="22" spans="1:9" ht="34" customHeight="1">
      <c r="A22" s="743" t="s">
        <v>626</v>
      </c>
      <c r="B22" s="743"/>
      <c r="C22" s="743"/>
      <c r="D22" s="743"/>
      <c r="E22" s="743"/>
      <c r="F22" s="743"/>
      <c r="G22" s="743"/>
      <c r="H22" s="743"/>
      <c r="I22" s="743"/>
    </row>
    <row r="23" spans="1:9" ht="83" customHeight="1">
      <c r="A23" s="754" t="s">
        <v>627</v>
      </c>
      <c r="B23" s="755"/>
      <c r="C23" s="755"/>
      <c r="D23" s="755"/>
      <c r="E23" s="755"/>
      <c r="F23" s="755"/>
      <c r="G23" s="755"/>
      <c r="H23" s="755"/>
      <c r="I23" s="755"/>
    </row>
    <row r="24" spans="1:9">
      <c r="A24" s="638"/>
    </row>
    <row r="25" spans="1:9" ht="24">
      <c r="A25" s="637" t="s">
        <v>633</v>
      </c>
    </row>
    <row r="26" spans="1:9">
      <c r="A26" s="747" t="s">
        <v>628</v>
      </c>
      <c r="B26" s="747"/>
      <c r="C26" s="747"/>
      <c r="D26" s="747"/>
      <c r="E26" s="747"/>
      <c r="F26" s="747"/>
      <c r="G26" s="747"/>
      <c r="H26" s="747"/>
      <c r="I26" s="747"/>
    </row>
    <row r="27" spans="1:9" ht="31" customHeight="1">
      <c r="A27" s="743" t="s">
        <v>629</v>
      </c>
      <c r="B27" s="743"/>
      <c r="C27" s="743"/>
      <c r="D27" s="743"/>
      <c r="E27" s="743"/>
      <c r="F27" s="743"/>
      <c r="G27" s="743"/>
      <c r="H27" s="743"/>
      <c r="I27" s="743"/>
    </row>
    <row r="28" spans="1:9">
      <c r="A28" s="747" t="s">
        <v>630</v>
      </c>
      <c r="B28" s="747"/>
      <c r="C28" s="747"/>
      <c r="D28" s="747"/>
      <c r="E28" s="747"/>
      <c r="F28" s="747"/>
      <c r="G28" s="747"/>
      <c r="H28" s="747"/>
      <c r="I28" s="747"/>
    </row>
    <row r="29" spans="1:9" ht="31" customHeight="1">
      <c r="A29" s="743" t="s">
        <v>631</v>
      </c>
      <c r="B29" s="743"/>
      <c r="C29" s="743"/>
      <c r="D29" s="743"/>
      <c r="E29" s="743"/>
      <c r="F29" s="743"/>
      <c r="G29" s="743"/>
      <c r="H29" s="743"/>
      <c r="I29" s="743"/>
    </row>
    <row r="30" spans="1:9" ht="31" customHeight="1">
      <c r="A30" s="743" t="s">
        <v>632</v>
      </c>
      <c r="B30" s="743"/>
      <c r="C30" s="743"/>
      <c r="D30" s="743"/>
      <c r="E30" s="743"/>
      <c r="F30" s="743"/>
      <c r="G30" s="743"/>
      <c r="H30" s="743"/>
      <c r="I30" s="743"/>
    </row>
  </sheetData>
  <sheetProtection sheet="1" objects="1" scenarios="1"/>
  <mergeCells count="22">
    <mergeCell ref="A1:I1"/>
    <mergeCell ref="A5:I5"/>
    <mergeCell ref="A12:I12"/>
    <mergeCell ref="A9:I9"/>
    <mergeCell ref="A14:I14"/>
    <mergeCell ref="A13:I13"/>
    <mergeCell ref="A6:I6"/>
    <mergeCell ref="A10:I10"/>
    <mergeCell ref="A11:I11"/>
    <mergeCell ref="A15:I15"/>
    <mergeCell ref="A17:I17"/>
    <mergeCell ref="A19:I19"/>
    <mergeCell ref="A20:I20"/>
    <mergeCell ref="A21:I21"/>
    <mergeCell ref="A28:I28"/>
    <mergeCell ref="A29:I29"/>
    <mergeCell ref="A30:I30"/>
    <mergeCell ref="A23:I23"/>
    <mergeCell ref="A18:I18"/>
    <mergeCell ref="A26:I26"/>
    <mergeCell ref="A27:I27"/>
    <mergeCell ref="A22:I22"/>
  </mergeCells>
  <pageMargins left="0.7" right="0.7" top="0.75" bottom="0.75" header="0.3" footer="0.3"/>
  <pageSetup paperSize="9" scale="84" orientation="portrait" horizontalDpi="0" verticalDpi="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I37"/>
  <sheetViews>
    <sheetView zoomScale="114" workbookViewId="0">
      <selection activeCell="H31" sqref="H31"/>
    </sheetView>
  </sheetViews>
  <sheetFormatPr baseColWidth="10" defaultRowHeight="16"/>
  <cols>
    <col min="4" max="4" width="23.83203125" customWidth="1"/>
    <col min="9" max="9" width="71.5" hidden="1" customWidth="1"/>
    <col min="10" max="11" width="0" hidden="1" customWidth="1"/>
  </cols>
  <sheetData>
    <row r="1" spans="1:9" ht="80" customHeight="1">
      <c r="A1" s="741"/>
      <c r="B1" s="741"/>
      <c r="C1" s="814" t="s">
        <v>373</v>
      </c>
      <c r="D1" s="814"/>
      <c r="E1" s="814"/>
      <c r="F1" s="814"/>
      <c r="G1" s="814"/>
      <c r="H1" s="814"/>
    </row>
    <row r="2" spans="1:9" ht="122" customHeight="1">
      <c r="A2" s="741"/>
      <c r="B2" s="741"/>
      <c r="C2" s="814" t="s">
        <v>374</v>
      </c>
      <c r="D2" s="814"/>
      <c r="E2" s="814"/>
      <c r="F2" s="814"/>
      <c r="G2" s="814"/>
      <c r="H2" s="814"/>
    </row>
    <row r="3" spans="1:9" ht="115" customHeight="1">
      <c r="A3" s="741"/>
      <c r="B3" s="741"/>
      <c r="C3" s="814" t="s">
        <v>495</v>
      </c>
      <c r="D3" s="814"/>
      <c r="E3" s="814"/>
      <c r="F3" s="814"/>
      <c r="G3" s="814"/>
      <c r="H3" s="814"/>
    </row>
    <row r="4" spans="1:9" ht="59" customHeight="1" thickBot="1">
      <c r="A4" s="816"/>
      <c r="B4" s="816"/>
      <c r="C4" s="815" t="s">
        <v>341</v>
      </c>
      <c r="D4" s="815"/>
      <c r="E4" s="815"/>
      <c r="F4" s="815"/>
      <c r="G4" s="815"/>
      <c r="H4" s="815"/>
    </row>
    <row r="5" spans="1:9" ht="24">
      <c r="A5" s="761" t="s">
        <v>359</v>
      </c>
      <c r="B5" s="763" t="s">
        <v>4</v>
      </c>
      <c r="C5" s="764"/>
      <c r="D5" s="764"/>
      <c r="E5" s="764"/>
      <c r="F5" s="764"/>
      <c r="G5" s="764"/>
      <c r="H5" s="765"/>
    </row>
    <row r="6" spans="1:9" ht="32" customHeight="1">
      <c r="A6" s="762"/>
      <c r="B6" s="327" t="s">
        <v>66</v>
      </c>
      <c r="C6" s="328"/>
      <c r="D6" s="328"/>
      <c r="E6" s="328"/>
      <c r="F6" s="328" t="str">
        <f>Vejledning!B2</f>
        <v>2024-2025</v>
      </c>
      <c r="G6" s="328"/>
      <c r="H6" s="329"/>
    </row>
    <row r="7" spans="1:9">
      <c r="A7" s="762"/>
      <c r="B7" s="766" t="s">
        <v>24</v>
      </c>
      <c r="C7" s="766"/>
      <c r="D7" s="766"/>
      <c r="E7" s="767"/>
      <c r="F7" s="768"/>
      <c r="G7" s="768"/>
      <c r="H7" s="769"/>
    </row>
    <row r="8" spans="1:9">
      <c r="A8" s="762"/>
      <c r="B8" s="766" t="s">
        <v>53</v>
      </c>
      <c r="C8" s="766"/>
      <c r="D8" s="766"/>
      <c r="E8" s="767"/>
      <c r="F8" s="768"/>
      <c r="G8" s="768"/>
      <c r="H8" s="769"/>
    </row>
    <row r="9" spans="1:9">
      <c r="A9" s="762"/>
      <c r="B9" s="770" t="s">
        <v>29</v>
      </c>
      <c r="C9" s="771"/>
      <c r="D9" s="772"/>
      <c r="E9" s="779" t="s">
        <v>27</v>
      </c>
      <c r="F9" s="780"/>
      <c r="G9" s="779" t="s">
        <v>28</v>
      </c>
      <c r="H9" s="781"/>
    </row>
    <row r="10" spans="1:9">
      <c r="A10" s="762"/>
      <c r="B10" s="773"/>
      <c r="C10" s="774"/>
      <c r="D10" s="775"/>
      <c r="E10" s="782" t="s">
        <v>333</v>
      </c>
      <c r="F10" s="783"/>
      <c r="G10" s="782" t="str">
        <f>E10</f>
        <v>Dato format dd.mm.åååå</v>
      </c>
      <c r="H10" s="784"/>
    </row>
    <row r="11" spans="1:9">
      <c r="A11" s="762"/>
      <c r="B11" s="776"/>
      <c r="C11" s="777"/>
      <c r="D11" s="778"/>
      <c r="E11" s="785"/>
      <c r="F11" s="786"/>
      <c r="G11" s="785"/>
      <c r="H11" s="787"/>
    </row>
    <row r="12" spans="1:9" ht="73" customHeight="1">
      <c r="A12" s="762"/>
      <c r="B12" s="818" t="s">
        <v>417</v>
      </c>
      <c r="C12" s="819"/>
      <c r="D12" s="820"/>
      <c r="E12" s="785" t="s">
        <v>184</v>
      </c>
      <c r="F12" s="821"/>
      <c r="G12" s="821"/>
      <c r="H12" s="787"/>
    </row>
    <row r="13" spans="1:9" ht="35" customHeight="1">
      <c r="A13" s="762"/>
      <c r="B13" s="788" t="s">
        <v>445</v>
      </c>
      <c r="C13" s="788"/>
      <c r="D13" s="788"/>
      <c r="E13" s="796">
        <v>1</v>
      </c>
      <c r="F13" s="797"/>
      <c r="G13" s="797"/>
      <c r="H13" s="798"/>
      <c r="I13" s="40" t="s">
        <v>184</v>
      </c>
    </row>
    <row r="14" spans="1:9" ht="35" customHeight="1">
      <c r="A14" s="762"/>
      <c r="B14" s="808" t="s">
        <v>352</v>
      </c>
      <c r="C14" s="809"/>
      <c r="D14" s="810"/>
      <c r="E14" s="796"/>
      <c r="F14" s="797"/>
      <c r="G14" s="797"/>
      <c r="H14" s="798"/>
      <c r="I14" s="40" t="s">
        <v>185</v>
      </c>
    </row>
    <row r="15" spans="1:9" ht="17" thickBot="1">
      <c r="A15" s="762"/>
      <c r="B15" s="808" t="s">
        <v>183</v>
      </c>
      <c r="C15" s="809"/>
      <c r="D15" s="810"/>
      <c r="E15" s="811">
        <f>IF(E14="Ja",E13*33.63/37,E13)</f>
        <v>1</v>
      </c>
      <c r="F15" s="812"/>
      <c r="G15" s="812"/>
      <c r="H15" s="813"/>
      <c r="I15" s="40"/>
    </row>
    <row r="16" spans="1:9" ht="30" customHeight="1" thickBot="1">
      <c r="A16" s="760"/>
      <c r="B16" s="760"/>
      <c r="C16" s="760"/>
      <c r="D16" s="760"/>
      <c r="E16" s="760"/>
      <c r="F16" s="760"/>
      <c r="G16" s="760"/>
      <c r="H16" s="760"/>
    </row>
    <row r="17" spans="1:9" ht="32" customHeight="1">
      <c r="A17" s="761" t="s">
        <v>360</v>
      </c>
      <c r="B17" s="799" t="s">
        <v>256</v>
      </c>
      <c r="C17" s="800"/>
      <c r="D17" s="800"/>
      <c r="E17" s="800"/>
      <c r="F17" s="800"/>
      <c r="G17" s="800"/>
      <c r="H17" s="801"/>
      <c r="I17" s="403" t="s">
        <v>319</v>
      </c>
    </row>
    <row r="18" spans="1:9" ht="20" customHeight="1">
      <c r="A18" s="762"/>
      <c r="B18" s="312" t="s">
        <v>257</v>
      </c>
      <c r="C18" s="236"/>
      <c r="D18" s="236"/>
      <c r="E18" s="236"/>
      <c r="F18" s="236"/>
      <c r="G18" s="236"/>
      <c r="H18" s="307"/>
      <c r="I18" s="403" t="s">
        <v>375</v>
      </c>
    </row>
    <row r="19" spans="1:9" ht="65" customHeight="1">
      <c r="A19" s="762"/>
      <c r="B19" s="802" t="s">
        <v>468</v>
      </c>
      <c r="C19" s="803"/>
      <c r="D19" s="803"/>
      <c r="E19" s="803"/>
      <c r="F19" s="803"/>
      <c r="G19" s="803"/>
      <c r="H19" s="804"/>
      <c r="I19" s="403" t="s">
        <v>376</v>
      </c>
    </row>
    <row r="20" spans="1:9" ht="38" customHeight="1">
      <c r="A20" s="762"/>
      <c r="B20" s="802" t="s">
        <v>321</v>
      </c>
      <c r="C20" s="803"/>
      <c r="D20" s="803"/>
      <c r="E20" s="803"/>
      <c r="F20" s="803"/>
      <c r="G20" s="803"/>
      <c r="H20" s="804"/>
      <c r="I20" s="403" t="s">
        <v>320</v>
      </c>
    </row>
    <row r="21" spans="1:9" ht="19" customHeight="1">
      <c r="A21" s="762"/>
      <c r="B21" s="792" t="s">
        <v>322</v>
      </c>
      <c r="C21" s="793"/>
      <c r="D21" s="793"/>
      <c r="E21" s="793"/>
      <c r="F21" s="793"/>
      <c r="G21" s="793"/>
      <c r="H21" s="794"/>
      <c r="I21" s="403" t="s">
        <v>324</v>
      </c>
    </row>
    <row r="22" spans="1:9" ht="30" customHeight="1">
      <c r="A22" s="762"/>
      <c r="B22" s="825" t="s">
        <v>319</v>
      </c>
      <c r="C22" s="826"/>
      <c r="D22" s="826"/>
      <c r="E22" s="826"/>
      <c r="F22" s="826"/>
      <c r="G22" s="826"/>
      <c r="H22" s="827"/>
      <c r="I22" s="403" t="s">
        <v>377</v>
      </c>
    </row>
    <row r="23" spans="1:9" ht="16" customHeight="1">
      <c r="A23" s="762"/>
      <c r="B23" s="805" t="s">
        <v>258</v>
      </c>
      <c r="C23" s="806"/>
      <c r="D23" s="806"/>
      <c r="E23" s="806"/>
      <c r="F23" s="806"/>
      <c r="G23" s="806"/>
      <c r="H23" s="807"/>
      <c r="I23" s="403" t="s">
        <v>378</v>
      </c>
    </row>
    <row r="24" spans="1:9" ht="70" customHeight="1">
      <c r="A24" s="762"/>
      <c r="B24" s="802" t="s">
        <v>469</v>
      </c>
      <c r="C24" s="803"/>
      <c r="D24" s="803"/>
      <c r="E24" s="803"/>
      <c r="F24" s="803"/>
      <c r="G24" s="803"/>
      <c r="H24" s="804"/>
      <c r="I24" s="403" t="s">
        <v>379</v>
      </c>
    </row>
    <row r="25" spans="1:9" ht="20" customHeight="1">
      <c r="A25" s="762"/>
      <c r="B25" s="792" t="s">
        <v>322</v>
      </c>
      <c r="C25" s="793"/>
      <c r="D25" s="793"/>
      <c r="E25" s="793"/>
      <c r="F25" s="793"/>
      <c r="G25" s="793"/>
      <c r="H25" s="794"/>
      <c r="I25" s="403" t="s">
        <v>380</v>
      </c>
    </row>
    <row r="26" spans="1:9" ht="30" customHeight="1" thickBot="1">
      <c r="A26" s="795"/>
      <c r="B26" s="789" t="s">
        <v>320</v>
      </c>
      <c r="C26" s="790"/>
      <c r="D26" s="790"/>
      <c r="E26" s="790"/>
      <c r="F26" s="790"/>
      <c r="G26" s="790"/>
      <c r="H26" s="791"/>
      <c r="I26" s="403" t="s">
        <v>381</v>
      </c>
    </row>
    <row r="27" spans="1:9" ht="30" customHeight="1" thickBot="1">
      <c r="A27" s="760"/>
      <c r="B27" s="760"/>
      <c r="C27" s="760"/>
      <c r="D27" s="760"/>
      <c r="E27" s="760"/>
      <c r="F27" s="760"/>
      <c r="G27" s="760"/>
      <c r="H27" s="760"/>
      <c r="I27" s="391"/>
    </row>
    <row r="28" spans="1:9" ht="26">
      <c r="A28" s="823" t="s">
        <v>232</v>
      </c>
      <c r="B28" s="799" t="s">
        <v>328</v>
      </c>
      <c r="C28" s="800"/>
      <c r="D28" s="800"/>
      <c r="E28" s="800"/>
      <c r="F28" s="800"/>
      <c r="G28" s="800"/>
      <c r="H28" s="801"/>
      <c r="I28" s="403" t="s">
        <v>184</v>
      </c>
    </row>
    <row r="29" spans="1:9" ht="55" customHeight="1">
      <c r="A29" s="824"/>
      <c r="B29" s="788" t="s">
        <v>327</v>
      </c>
      <c r="C29" s="788"/>
      <c r="D29" s="788"/>
      <c r="E29" s="788"/>
      <c r="F29" s="788"/>
      <c r="G29" s="788"/>
      <c r="H29" s="369" t="s">
        <v>185</v>
      </c>
      <c r="I29" s="404" t="s">
        <v>185</v>
      </c>
    </row>
    <row r="30" spans="1:9" ht="40" customHeight="1">
      <c r="A30" s="824"/>
      <c r="B30" s="822" t="s">
        <v>699</v>
      </c>
      <c r="C30" s="822"/>
      <c r="D30" s="822"/>
      <c r="E30" s="822"/>
      <c r="F30" s="822"/>
      <c r="G30" s="822"/>
      <c r="H30" s="405"/>
      <c r="I30" s="391"/>
    </row>
    <row r="31" spans="1:9" ht="41" customHeight="1">
      <c r="A31" s="824"/>
      <c r="B31" s="808" t="s">
        <v>326</v>
      </c>
      <c r="C31" s="809"/>
      <c r="D31" s="809"/>
      <c r="E31" s="809"/>
      <c r="F31" s="809"/>
      <c r="G31" s="810"/>
      <c r="H31" s="326">
        <f>August!P41+September!P39+Oktober!P40+November!P39+December!P40+Januar!P40+Februar!P38+Marts!P40+April!P39+Maj!P40+Juni!P39+Juli!P40</f>
        <v>0</v>
      </c>
    </row>
    <row r="32" spans="1:9" ht="16" customHeight="1">
      <c r="C32" s="359"/>
      <c r="D32" s="359"/>
      <c r="E32" s="359"/>
      <c r="F32" s="359"/>
      <c r="G32" s="359"/>
      <c r="H32" s="359"/>
    </row>
    <row r="33" spans="1:8" ht="16" customHeight="1">
      <c r="A33" s="745"/>
      <c r="B33" s="745"/>
      <c r="C33" s="817" t="s">
        <v>353</v>
      </c>
      <c r="D33" s="817"/>
      <c r="E33" s="817"/>
      <c r="F33" s="817"/>
      <c r="G33" s="817"/>
      <c r="H33" s="817"/>
    </row>
    <row r="34" spans="1:8" ht="16" customHeight="1">
      <c r="A34" s="745"/>
      <c r="B34" s="745"/>
      <c r="C34" s="817"/>
      <c r="D34" s="817"/>
      <c r="E34" s="817"/>
      <c r="F34" s="817"/>
      <c r="G34" s="817"/>
      <c r="H34" s="817"/>
    </row>
    <row r="35" spans="1:8" ht="31" customHeight="1">
      <c r="A35" s="745"/>
      <c r="B35" s="745"/>
      <c r="C35" s="817"/>
      <c r="D35" s="817"/>
      <c r="E35" s="817"/>
      <c r="F35" s="817"/>
      <c r="G35" s="817"/>
      <c r="H35" s="817"/>
    </row>
    <row r="36" spans="1:8" ht="16" customHeight="1">
      <c r="A36" s="745"/>
      <c r="B36" s="745"/>
      <c r="C36" s="817"/>
      <c r="D36" s="817"/>
      <c r="E36" s="817"/>
      <c r="F36" s="817"/>
      <c r="G36" s="817"/>
      <c r="H36" s="817"/>
    </row>
    <row r="37" spans="1:8">
      <c r="A37" s="745"/>
      <c r="B37" s="745"/>
      <c r="C37" s="817"/>
      <c r="D37" s="817"/>
      <c r="E37" s="817"/>
      <c r="F37" s="817"/>
      <c r="G37" s="817"/>
      <c r="H37" s="817"/>
    </row>
  </sheetData>
  <sheetProtection sheet="1" objects="1" scenarios="1"/>
  <mergeCells count="45">
    <mergeCell ref="C1:H1"/>
    <mergeCell ref="C3:H3"/>
    <mergeCell ref="C4:H4"/>
    <mergeCell ref="A1:B4"/>
    <mergeCell ref="C33:H37"/>
    <mergeCell ref="A33:B37"/>
    <mergeCell ref="B12:D12"/>
    <mergeCell ref="E12:H12"/>
    <mergeCell ref="C2:H2"/>
    <mergeCell ref="B28:H28"/>
    <mergeCell ref="B30:G30"/>
    <mergeCell ref="B31:G31"/>
    <mergeCell ref="A28:A31"/>
    <mergeCell ref="B25:H25"/>
    <mergeCell ref="B29:G29"/>
    <mergeCell ref="B22:H22"/>
    <mergeCell ref="B21:H21"/>
    <mergeCell ref="A17:A26"/>
    <mergeCell ref="E13:H13"/>
    <mergeCell ref="B17:H17"/>
    <mergeCell ref="B19:H19"/>
    <mergeCell ref="B20:H20"/>
    <mergeCell ref="B23:H23"/>
    <mergeCell ref="B24:H24"/>
    <mergeCell ref="B15:D15"/>
    <mergeCell ref="E15:H15"/>
    <mergeCell ref="B14:D14"/>
    <mergeCell ref="E14:H14"/>
    <mergeCell ref="A16:H16"/>
    <mergeCell ref="A27:H27"/>
    <mergeCell ref="A5:A15"/>
    <mergeCell ref="B5:H5"/>
    <mergeCell ref="B7:D7"/>
    <mergeCell ref="E7:H7"/>
    <mergeCell ref="B8:D8"/>
    <mergeCell ref="E8:H8"/>
    <mergeCell ref="B9:D11"/>
    <mergeCell ref="E9:F9"/>
    <mergeCell ref="G9:H9"/>
    <mergeCell ref="E10:F10"/>
    <mergeCell ref="G10:H10"/>
    <mergeCell ref="E11:F11"/>
    <mergeCell ref="G11:H11"/>
    <mergeCell ref="B13:D13"/>
    <mergeCell ref="B26:H26"/>
  </mergeCells>
  <conditionalFormatting sqref="B30">
    <cfRule type="expression" dxfId="993" priority="5">
      <formula>OR($H29="Nej",)</formula>
    </cfRule>
  </conditionalFormatting>
  <conditionalFormatting sqref="B31 H31">
    <cfRule type="expression" dxfId="992" priority="1">
      <formula>OR($H$29="Ja",)</formula>
    </cfRule>
  </conditionalFormatting>
  <conditionalFormatting sqref="B31">
    <cfRule type="expression" dxfId="991" priority="4">
      <formula>OR($J$8="Ja",)</formula>
    </cfRule>
  </conditionalFormatting>
  <conditionalFormatting sqref="B30:H30">
    <cfRule type="expression" dxfId="990" priority="2">
      <formula>OR($H$29="Nej",)</formula>
    </cfRule>
  </conditionalFormatting>
  <conditionalFormatting sqref="H31">
    <cfRule type="expression" dxfId="989" priority="3">
      <formula>OR($J$8="Ja",)</formula>
    </cfRule>
  </conditionalFormatting>
  <dataValidations count="4">
    <dataValidation type="list" allowBlank="1" showInputMessage="1" showErrorMessage="1" sqref="E14:H14 E12:H12" xr:uid="{59E668A3-32EF-B846-8F30-0A5B1C3FF7EE}">
      <formula1>$I$13:$I$14</formula1>
    </dataValidation>
    <dataValidation type="list" allowBlank="1" showInputMessage="1" showErrorMessage="1" sqref="B22:H22" xr:uid="{F392690C-B5FF-3544-B2A6-6282EAEF66E5}">
      <formula1>$I$17:$I$19</formula1>
    </dataValidation>
    <dataValidation type="list" allowBlank="1" showInputMessage="1" showErrorMessage="1" sqref="B26:H26" xr:uid="{220F7218-A30D-3747-81EB-817B46195164}">
      <formula1>$I$20:$I$26</formula1>
    </dataValidation>
    <dataValidation type="list" allowBlank="1" showInputMessage="1" showErrorMessage="1" sqref="H29" xr:uid="{9EBF49C3-9B2C-E947-9002-F99CACDC417C}">
      <formula1>$I$28:$I$29</formula1>
    </dataValidation>
  </dataValidations>
  <pageMargins left="0.7" right="0.7" top="0.75" bottom="0.75" header="0.3" footer="0.3"/>
  <pageSetup paperSize="9" scale="82" orientation="portrait" horizontalDpi="0" verticalDpi="0"/>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BD96"/>
  <sheetViews>
    <sheetView showZeros="0" zoomScaleNormal="100" workbookViewId="0">
      <selection activeCell="B29" sqref="B29"/>
    </sheetView>
  </sheetViews>
  <sheetFormatPr baseColWidth="10" defaultRowHeight="16"/>
  <cols>
    <col min="4" max="4" width="4.83203125" customWidth="1"/>
    <col min="5" max="5" width="14.83203125" customWidth="1"/>
    <col min="6" max="6" width="4.83203125" customWidth="1"/>
    <col min="7" max="7" width="14.83203125" customWidth="1"/>
    <col min="8" max="8" width="4.83203125" customWidth="1"/>
    <col min="9" max="9" width="14.83203125" customWidth="1"/>
    <col min="10" max="10" width="4.83203125" customWidth="1"/>
    <col min="11" max="11" width="14.83203125" customWidth="1"/>
    <col min="12" max="12" width="4.83203125" customWidth="1"/>
    <col min="13" max="13" width="14.83203125" customWidth="1"/>
    <col min="15" max="15" width="12.5" bestFit="1" customWidth="1"/>
    <col min="18" max="18" width="4.83203125" customWidth="1"/>
    <col min="19" max="19" width="14.83203125" customWidth="1"/>
    <col min="20" max="20" width="4.83203125" customWidth="1"/>
    <col min="21" max="21" width="14.83203125" customWidth="1"/>
    <col min="22" max="22" width="4.83203125" customWidth="1"/>
    <col min="23" max="23" width="14.83203125" customWidth="1"/>
    <col min="24" max="24" width="4.83203125" customWidth="1"/>
    <col min="25" max="25" width="14.83203125" customWidth="1"/>
    <col min="26" max="26" width="4.83203125" customWidth="1"/>
    <col min="27" max="27" width="14.83203125" customWidth="1"/>
    <col min="32" max="32" width="4.83203125" customWidth="1"/>
    <col min="33" max="33" width="14.83203125" customWidth="1"/>
    <col min="34" max="34" width="4.83203125" customWidth="1"/>
    <col min="35" max="35" width="14.83203125" customWidth="1"/>
    <col min="36" max="36" width="4.83203125" customWidth="1"/>
    <col min="37" max="37" width="14.83203125" customWidth="1"/>
    <col min="38" max="38" width="4.83203125" customWidth="1"/>
    <col min="39" max="39" width="14.83203125" customWidth="1"/>
    <col min="40" max="40" width="4.83203125" customWidth="1"/>
    <col min="41" max="41" width="14.83203125" customWidth="1"/>
    <col min="46" max="46" width="4.83203125" customWidth="1"/>
    <col min="47" max="47" width="14.83203125" customWidth="1"/>
    <col min="48" max="48" width="4.83203125" customWidth="1"/>
    <col min="49" max="49" width="14.83203125" customWidth="1"/>
    <col min="50" max="50" width="4.83203125" customWidth="1"/>
    <col min="51" max="51" width="14.83203125" customWidth="1"/>
    <col min="52" max="52" width="4.83203125" customWidth="1"/>
    <col min="53" max="53" width="14.83203125" customWidth="1"/>
    <col min="54" max="54" width="4.83203125" customWidth="1"/>
    <col min="55" max="55" width="14.83203125" customWidth="1"/>
  </cols>
  <sheetData>
    <row r="1" spans="1:55" ht="201" customHeight="1">
      <c r="C1" s="828" t="s">
        <v>639</v>
      </c>
      <c r="D1" s="828"/>
      <c r="E1" s="828"/>
      <c r="F1" s="828"/>
      <c r="G1" s="828"/>
      <c r="H1" s="828"/>
      <c r="I1" s="828"/>
      <c r="J1" s="828"/>
      <c r="K1" s="828"/>
      <c r="L1" s="828"/>
      <c r="M1" s="828"/>
      <c r="N1" s="828"/>
      <c r="O1" s="828"/>
      <c r="P1" s="828"/>
      <c r="Q1" s="828"/>
      <c r="R1" s="828"/>
      <c r="S1" s="828"/>
      <c r="AO1" s="40"/>
    </row>
    <row r="2" spans="1:55" ht="71" customHeight="1">
      <c r="A2" s="840" t="s">
        <v>473</v>
      </c>
      <c r="B2" s="840"/>
      <c r="C2" s="840" t="s">
        <v>641</v>
      </c>
      <c r="D2" s="840"/>
      <c r="E2" s="829" t="s">
        <v>642</v>
      </c>
      <c r="F2" s="829"/>
      <c r="G2" s="829"/>
      <c r="H2" s="829"/>
      <c r="I2" s="829"/>
      <c r="J2" s="829"/>
      <c r="K2" s="829"/>
      <c r="L2" s="829"/>
      <c r="M2" s="829"/>
      <c r="N2" s="829"/>
      <c r="O2" s="829"/>
      <c r="P2" s="829"/>
      <c r="Q2" s="829"/>
      <c r="R2" s="829"/>
      <c r="S2" s="829"/>
      <c r="AO2" s="40"/>
    </row>
    <row r="3" spans="1:55" ht="77" customHeight="1">
      <c r="A3" s="840" t="s">
        <v>473</v>
      </c>
      <c r="B3" s="840"/>
      <c r="C3" s="841" t="s">
        <v>640</v>
      </c>
      <c r="D3" s="841"/>
      <c r="E3" s="829" t="s">
        <v>643</v>
      </c>
      <c r="F3" s="829"/>
      <c r="G3" s="829"/>
      <c r="H3" s="829"/>
      <c r="I3" s="829"/>
      <c r="J3" s="829"/>
      <c r="K3" s="829"/>
      <c r="L3" s="829"/>
      <c r="M3" s="829"/>
      <c r="N3" s="829"/>
      <c r="O3" s="829"/>
      <c r="P3" s="829"/>
      <c r="Q3" s="829"/>
      <c r="R3" s="829"/>
      <c r="S3" s="829"/>
      <c r="AO3" s="40"/>
    </row>
    <row r="4" spans="1:55" ht="50" customHeight="1" thickBot="1">
      <c r="C4" s="828" t="s">
        <v>384</v>
      </c>
      <c r="D4" s="828"/>
      <c r="E4" s="828"/>
      <c r="F4" s="828"/>
      <c r="G4" s="828"/>
      <c r="H4" s="828"/>
      <c r="I4" s="828"/>
      <c r="J4" s="828"/>
      <c r="K4" s="828"/>
      <c r="L4" s="828"/>
      <c r="M4" s="828"/>
      <c r="N4" s="828"/>
      <c r="O4" s="828"/>
      <c r="P4" s="828"/>
      <c r="Q4" s="828"/>
      <c r="R4" s="828"/>
      <c r="S4" s="828"/>
      <c r="AO4" s="40"/>
    </row>
    <row r="5" spans="1:55" ht="30" customHeight="1">
      <c r="A5" s="855" t="str">
        <f>"Skema 1 vedr. "&amp;Stamoplysninger!$E$8&amp;""</f>
        <v xml:space="preserve">Skema 1 vedr. </v>
      </c>
      <c r="B5" s="856"/>
      <c r="C5" s="856"/>
      <c r="D5" s="856"/>
      <c r="E5" s="856"/>
      <c r="F5" s="856"/>
      <c r="G5" s="856"/>
      <c r="H5" s="856"/>
      <c r="I5" s="856"/>
      <c r="J5" s="856"/>
      <c r="K5" s="856"/>
      <c r="L5" s="856"/>
      <c r="M5" s="857"/>
      <c r="O5" s="855" t="str">
        <f>"Skema 2 vedr. "&amp;Stamoplysninger!$E$8&amp;""</f>
        <v xml:space="preserve">Skema 2 vedr. </v>
      </c>
      <c r="P5" s="856"/>
      <c r="Q5" s="856"/>
      <c r="R5" s="856"/>
      <c r="S5" s="856"/>
      <c r="T5" s="856"/>
      <c r="U5" s="856"/>
      <c r="V5" s="856"/>
      <c r="W5" s="856"/>
      <c r="X5" s="856"/>
      <c r="Y5" s="856"/>
      <c r="Z5" s="856"/>
      <c r="AA5" s="857"/>
      <c r="AC5" s="855" t="str">
        <f>"Skema 3 vedr. "&amp;Stamoplysninger!$E$8&amp;""</f>
        <v xml:space="preserve">Skema 3 vedr. </v>
      </c>
      <c r="AD5" s="856"/>
      <c r="AE5" s="856"/>
      <c r="AF5" s="856"/>
      <c r="AG5" s="856"/>
      <c r="AH5" s="856"/>
      <c r="AI5" s="856"/>
      <c r="AJ5" s="856"/>
      <c r="AK5" s="856"/>
      <c r="AL5" s="856"/>
      <c r="AM5" s="856"/>
      <c r="AN5" s="856"/>
      <c r="AO5" s="857"/>
      <c r="AQ5" s="855" t="str">
        <f>"Skema 4 vedr. "&amp;Stamoplysninger!$E$8&amp;""</f>
        <v xml:space="preserve">Skema 4 vedr. </v>
      </c>
      <c r="AR5" s="856"/>
      <c r="AS5" s="856"/>
      <c r="AT5" s="856"/>
      <c r="AU5" s="856"/>
      <c r="AV5" s="856"/>
      <c r="AW5" s="856"/>
      <c r="AX5" s="856"/>
      <c r="AY5" s="856"/>
      <c r="AZ5" s="856"/>
      <c r="BA5" s="856"/>
      <c r="BB5" s="856"/>
      <c r="BC5" s="857"/>
    </row>
    <row r="6" spans="1:55" ht="29" customHeight="1">
      <c r="A6" s="858" t="s">
        <v>219</v>
      </c>
      <c r="B6" s="859"/>
      <c r="C6" s="859"/>
      <c r="D6" s="859"/>
      <c r="E6" s="859"/>
      <c r="F6" s="862" t="s">
        <v>27</v>
      </c>
      <c r="G6" s="862"/>
      <c r="H6" s="862"/>
      <c r="I6" s="862"/>
      <c r="J6" s="862" t="s">
        <v>297</v>
      </c>
      <c r="K6" s="862"/>
      <c r="L6" s="862"/>
      <c r="M6" s="863"/>
      <c r="N6" s="40" t="s">
        <v>569</v>
      </c>
      <c r="O6" s="858" t="s">
        <v>219</v>
      </c>
      <c r="P6" s="859"/>
      <c r="Q6" s="859"/>
      <c r="R6" s="859"/>
      <c r="S6" s="859"/>
      <c r="T6" s="862" t="s">
        <v>27</v>
      </c>
      <c r="U6" s="862"/>
      <c r="V6" s="862"/>
      <c r="W6" s="862"/>
      <c r="X6" s="862" t="s">
        <v>297</v>
      </c>
      <c r="Y6" s="862"/>
      <c r="Z6" s="862"/>
      <c r="AA6" s="863"/>
      <c r="AC6" s="858" t="s">
        <v>219</v>
      </c>
      <c r="AD6" s="859"/>
      <c r="AE6" s="859"/>
      <c r="AF6" s="859"/>
      <c r="AG6" s="859"/>
      <c r="AH6" s="862" t="s">
        <v>27</v>
      </c>
      <c r="AI6" s="862"/>
      <c r="AJ6" s="862"/>
      <c r="AK6" s="862"/>
      <c r="AL6" s="862" t="s">
        <v>297</v>
      </c>
      <c r="AM6" s="862"/>
      <c r="AN6" s="862"/>
      <c r="AO6" s="863"/>
      <c r="AQ6" s="858" t="s">
        <v>219</v>
      </c>
      <c r="AR6" s="859"/>
      <c r="AS6" s="859"/>
      <c r="AT6" s="859"/>
      <c r="AU6" s="859"/>
      <c r="AV6" s="862" t="s">
        <v>27</v>
      </c>
      <c r="AW6" s="862"/>
      <c r="AX6" s="862"/>
      <c r="AY6" s="862"/>
      <c r="AZ6" s="862" t="s">
        <v>297</v>
      </c>
      <c r="BA6" s="862"/>
      <c r="BB6" s="862"/>
      <c r="BC6" s="863"/>
    </row>
    <row r="7" spans="1:55" ht="30" customHeight="1">
      <c r="A7" s="860"/>
      <c r="B7" s="861"/>
      <c r="C7" s="861"/>
      <c r="D7" s="861"/>
      <c r="E7" s="861"/>
      <c r="F7" s="864"/>
      <c r="G7" s="864"/>
      <c r="H7" s="864"/>
      <c r="I7" s="864"/>
      <c r="J7" s="865"/>
      <c r="K7" s="866"/>
      <c r="L7" s="866"/>
      <c r="M7" s="867"/>
      <c r="N7" s="40"/>
      <c r="O7" s="860"/>
      <c r="P7" s="861"/>
      <c r="Q7" s="861"/>
      <c r="R7" s="861"/>
      <c r="S7" s="861"/>
      <c r="T7" s="864"/>
      <c r="U7" s="864"/>
      <c r="V7" s="864"/>
      <c r="W7" s="864"/>
      <c r="X7" s="865"/>
      <c r="Y7" s="866"/>
      <c r="Z7" s="866"/>
      <c r="AA7" s="867"/>
      <c r="AC7" s="860"/>
      <c r="AD7" s="861"/>
      <c r="AE7" s="861"/>
      <c r="AF7" s="861"/>
      <c r="AG7" s="861"/>
      <c r="AH7" s="864"/>
      <c r="AI7" s="864"/>
      <c r="AJ7" s="864"/>
      <c r="AK7" s="864"/>
      <c r="AL7" s="865"/>
      <c r="AM7" s="866"/>
      <c r="AN7" s="866"/>
      <c r="AO7" s="867"/>
      <c r="AQ7" s="860"/>
      <c r="AR7" s="861"/>
      <c r="AS7" s="861"/>
      <c r="AT7" s="861"/>
      <c r="AU7" s="861"/>
      <c r="AV7" s="864"/>
      <c r="AW7" s="864"/>
      <c r="AX7" s="864"/>
      <c r="AY7" s="864"/>
      <c r="AZ7" s="865"/>
      <c r="BA7" s="866"/>
      <c r="BB7" s="866"/>
      <c r="BC7" s="867"/>
    </row>
    <row r="8" spans="1:55" ht="70" customHeight="1">
      <c r="A8" s="868" t="s">
        <v>644</v>
      </c>
      <c r="B8" s="869"/>
      <c r="C8" s="869"/>
      <c r="D8" s="869"/>
      <c r="E8" s="869"/>
      <c r="F8" s="869"/>
      <c r="G8" s="869"/>
      <c r="H8" s="869"/>
      <c r="I8" s="869"/>
      <c r="J8" s="869"/>
      <c r="K8" s="869"/>
      <c r="L8" s="869"/>
      <c r="M8" s="870"/>
      <c r="N8" s="685"/>
      <c r="O8" s="868" t="s">
        <v>645</v>
      </c>
      <c r="P8" s="869"/>
      <c r="Q8" s="869"/>
      <c r="R8" s="869"/>
      <c r="S8" s="869"/>
      <c r="T8" s="869"/>
      <c r="U8" s="869"/>
      <c r="V8" s="869"/>
      <c r="W8" s="869"/>
      <c r="X8" s="869"/>
      <c r="Y8" s="869"/>
      <c r="Z8" s="869"/>
      <c r="AA8" s="870"/>
      <c r="AC8" s="868" t="s">
        <v>646</v>
      </c>
      <c r="AD8" s="869"/>
      <c r="AE8" s="869"/>
      <c r="AF8" s="869"/>
      <c r="AG8" s="869"/>
      <c r="AH8" s="869"/>
      <c r="AI8" s="869"/>
      <c r="AJ8" s="869"/>
      <c r="AK8" s="869"/>
      <c r="AL8" s="869"/>
      <c r="AM8" s="869"/>
      <c r="AN8" s="869"/>
      <c r="AO8" s="870"/>
      <c r="AQ8" s="868" t="s">
        <v>647</v>
      </c>
      <c r="AR8" s="869"/>
      <c r="AS8" s="869"/>
      <c r="AT8" s="869"/>
      <c r="AU8" s="869"/>
      <c r="AV8" s="869"/>
      <c r="AW8" s="869"/>
      <c r="AX8" s="869"/>
      <c r="AY8" s="869"/>
      <c r="AZ8" s="869"/>
      <c r="BA8" s="869"/>
      <c r="BB8" s="869"/>
      <c r="BC8" s="870"/>
    </row>
    <row r="9" spans="1:55" ht="38" customHeight="1">
      <c r="A9" s="871" t="s">
        <v>67</v>
      </c>
      <c r="B9" s="783"/>
      <c r="C9" s="625"/>
      <c r="D9" s="872" t="s">
        <v>34</v>
      </c>
      <c r="E9" s="873"/>
      <c r="F9" s="872" t="s">
        <v>35</v>
      </c>
      <c r="G9" s="873"/>
      <c r="H9" s="872" t="s">
        <v>36</v>
      </c>
      <c r="I9" s="873"/>
      <c r="J9" s="872" t="s">
        <v>37</v>
      </c>
      <c r="K9" s="873"/>
      <c r="L9" s="872" t="s">
        <v>38</v>
      </c>
      <c r="M9" s="877"/>
      <c r="N9" s="686"/>
      <c r="O9" s="871" t="s">
        <v>67</v>
      </c>
      <c r="P9" s="783"/>
      <c r="Q9" s="39"/>
      <c r="R9" s="872" t="s">
        <v>34</v>
      </c>
      <c r="S9" s="873"/>
      <c r="T9" s="872" t="s">
        <v>35</v>
      </c>
      <c r="U9" s="873"/>
      <c r="V9" s="872" t="s">
        <v>36</v>
      </c>
      <c r="W9" s="873"/>
      <c r="X9" s="872" t="s">
        <v>37</v>
      </c>
      <c r="Y9" s="873"/>
      <c r="Z9" s="872" t="s">
        <v>38</v>
      </c>
      <c r="AA9" s="877"/>
      <c r="AC9" s="871" t="s">
        <v>67</v>
      </c>
      <c r="AD9" s="783"/>
      <c r="AE9" s="39"/>
      <c r="AF9" s="872" t="s">
        <v>34</v>
      </c>
      <c r="AG9" s="873"/>
      <c r="AH9" s="872" t="s">
        <v>35</v>
      </c>
      <c r="AI9" s="873"/>
      <c r="AJ9" s="872" t="s">
        <v>36</v>
      </c>
      <c r="AK9" s="873"/>
      <c r="AL9" s="872" t="s">
        <v>37</v>
      </c>
      <c r="AM9" s="873"/>
      <c r="AN9" s="872" t="s">
        <v>38</v>
      </c>
      <c r="AO9" s="877"/>
      <c r="AQ9" s="871" t="s">
        <v>67</v>
      </c>
      <c r="AR9" s="783"/>
      <c r="AS9" s="39"/>
      <c r="AT9" s="872" t="s">
        <v>34</v>
      </c>
      <c r="AU9" s="873"/>
      <c r="AV9" s="872" t="s">
        <v>35</v>
      </c>
      <c r="AW9" s="873"/>
      <c r="AX9" s="872" t="s">
        <v>36</v>
      </c>
      <c r="AY9" s="873"/>
      <c r="AZ9" s="872" t="s">
        <v>37</v>
      </c>
      <c r="BA9" s="873"/>
      <c r="BB9" s="872" t="s">
        <v>38</v>
      </c>
      <c r="BC9" s="877"/>
    </row>
    <row r="10" spans="1:55" ht="73" customHeight="1">
      <c r="A10" s="693" t="s">
        <v>648</v>
      </c>
      <c r="B10" s="692" t="s">
        <v>566</v>
      </c>
      <c r="C10" s="626" t="s">
        <v>567</v>
      </c>
      <c r="D10" s="874" t="s">
        <v>568</v>
      </c>
      <c r="E10" s="875"/>
      <c r="F10" s="874" t="s">
        <v>568</v>
      </c>
      <c r="G10" s="875"/>
      <c r="H10" s="874" t="s">
        <v>568</v>
      </c>
      <c r="I10" s="875"/>
      <c r="J10" s="874" t="s">
        <v>568</v>
      </c>
      <c r="K10" s="875"/>
      <c r="L10" s="874" t="s">
        <v>568</v>
      </c>
      <c r="M10" s="876"/>
      <c r="N10" s="687"/>
      <c r="O10" s="693" t="s">
        <v>648</v>
      </c>
      <c r="P10" s="692" t="s">
        <v>566</v>
      </c>
      <c r="Q10" s="626" t="s">
        <v>567</v>
      </c>
      <c r="R10" s="845" t="s">
        <v>568</v>
      </c>
      <c r="S10" s="878"/>
      <c r="T10" s="845" t="s">
        <v>568</v>
      </c>
      <c r="U10" s="878"/>
      <c r="V10" s="845" t="s">
        <v>568</v>
      </c>
      <c r="W10" s="878"/>
      <c r="X10" s="845" t="s">
        <v>568</v>
      </c>
      <c r="Y10" s="878"/>
      <c r="Z10" s="845" t="s">
        <v>568</v>
      </c>
      <c r="AA10" s="846"/>
      <c r="AC10" s="693" t="s">
        <v>648</v>
      </c>
      <c r="AD10" s="692" t="s">
        <v>566</v>
      </c>
      <c r="AE10" s="626" t="s">
        <v>567</v>
      </c>
      <c r="AF10" s="845" t="s">
        <v>568</v>
      </c>
      <c r="AG10" s="878"/>
      <c r="AH10" s="845" t="s">
        <v>568</v>
      </c>
      <c r="AI10" s="878"/>
      <c r="AJ10" s="845" t="s">
        <v>568</v>
      </c>
      <c r="AK10" s="878"/>
      <c r="AL10" s="845" t="s">
        <v>568</v>
      </c>
      <c r="AM10" s="878"/>
      <c r="AN10" s="845" t="s">
        <v>568</v>
      </c>
      <c r="AO10" s="846"/>
      <c r="AQ10" s="693" t="s">
        <v>648</v>
      </c>
      <c r="AR10" s="692" t="s">
        <v>566</v>
      </c>
      <c r="AS10" s="626" t="s">
        <v>567</v>
      </c>
      <c r="AT10" s="845" t="s">
        <v>568</v>
      </c>
      <c r="AU10" s="878"/>
      <c r="AV10" s="845" t="s">
        <v>568</v>
      </c>
      <c r="AW10" s="878"/>
      <c r="AX10" s="845" t="s">
        <v>568</v>
      </c>
      <c r="AY10" s="878"/>
      <c r="AZ10" s="845" t="s">
        <v>568</v>
      </c>
      <c r="BA10" s="878"/>
      <c r="BB10" s="845" t="s">
        <v>568</v>
      </c>
      <c r="BC10" s="846"/>
    </row>
    <row r="11" spans="1:55" ht="33" customHeight="1">
      <c r="A11" s="616"/>
      <c r="B11" s="690" t="str">
        <f>IF(A11&gt;0,C9,"")</f>
        <v/>
      </c>
      <c r="C11" s="690" t="str">
        <f>IF(A11&gt;0,B11+A11,"")</f>
        <v/>
      </c>
      <c r="D11" s="688"/>
      <c r="E11" s="621"/>
      <c r="F11" s="688"/>
      <c r="G11" s="621"/>
      <c r="H11" s="688"/>
      <c r="I11" s="621"/>
      <c r="J11" s="688"/>
      <c r="K11" s="621"/>
      <c r="L11" s="688"/>
      <c r="M11" s="627"/>
      <c r="N11" s="40" t="s">
        <v>564</v>
      </c>
      <c r="O11" s="616"/>
      <c r="P11" s="690" t="str">
        <f>IF(O11&gt;0,Q9,"")</f>
        <v/>
      </c>
      <c r="Q11" s="690" t="str">
        <f>IF(O11&gt;0,P11+O11,"")</f>
        <v/>
      </c>
      <c r="R11" s="688"/>
      <c r="S11" s="621"/>
      <c r="T11" s="688"/>
      <c r="U11" s="621"/>
      <c r="V11" s="688"/>
      <c r="W11" s="621"/>
      <c r="X11" s="688"/>
      <c r="Y11" s="621"/>
      <c r="Z11" s="688"/>
      <c r="AA11" s="627"/>
      <c r="AC11" s="616"/>
      <c r="AD11" s="690" t="str">
        <f>IF(AC11&gt;0,AE9,"")</f>
        <v/>
      </c>
      <c r="AE11" s="690" t="str">
        <f>IF(AC11&gt;0,AD11+AC11,"")</f>
        <v/>
      </c>
      <c r="AF11" s="688"/>
      <c r="AG11" s="621"/>
      <c r="AH11" s="688"/>
      <c r="AI11" s="621"/>
      <c r="AJ11" s="688"/>
      <c r="AK11" s="621"/>
      <c r="AL11" s="688"/>
      <c r="AM11" s="621"/>
      <c r="AN11" s="688"/>
      <c r="AO11" s="627"/>
      <c r="AQ11" s="616"/>
      <c r="AR11" s="690" t="str">
        <f>IF(AQ11&gt;0,AS9,"")</f>
        <v/>
      </c>
      <c r="AS11" s="690" t="str">
        <f>IF(AQ11&gt;0,AR11+AQ11,"")</f>
        <v/>
      </c>
      <c r="AT11" s="688"/>
      <c r="AU11" s="621"/>
      <c r="AV11" s="688"/>
      <c r="AW11" s="621"/>
      <c r="AX11" s="688"/>
      <c r="AY11" s="621"/>
      <c r="AZ11" s="688"/>
      <c r="BA11" s="621"/>
      <c r="BB11" s="688"/>
      <c r="BC11" s="627"/>
    </row>
    <row r="12" spans="1:55" ht="33" customHeight="1">
      <c r="A12" s="616"/>
      <c r="B12" s="37" t="str">
        <f>IF(A12&gt;0,C11,"")</f>
        <v/>
      </c>
      <c r="C12" s="37" t="str">
        <f t="shared" ref="C12:C29" si="0">IF(A12&gt;0,B12+A12,"")</f>
        <v/>
      </c>
      <c r="D12" s="688"/>
      <c r="E12" s="701"/>
      <c r="F12" s="688"/>
      <c r="G12" s="702"/>
      <c r="H12" s="700"/>
      <c r="I12" s="702"/>
      <c r="J12" s="700"/>
      <c r="K12" s="702"/>
      <c r="L12" s="700"/>
      <c r="M12" s="703"/>
      <c r="N12" s="40" t="s">
        <v>565</v>
      </c>
      <c r="O12" s="616"/>
      <c r="P12" s="37" t="str">
        <f>IF(O12&gt;0,Q11,"")</f>
        <v/>
      </c>
      <c r="Q12" s="37" t="str">
        <f t="shared" ref="Q12:Q29" si="1">IF(O12&gt;0,P12+O12,"")</f>
        <v/>
      </c>
      <c r="R12" s="700"/>
      <c r="S12" s="701"/>
      <c r="T12" s="700"/>
      <c r="U12" s="702"/>
      <c r="V12" s="700"/>
      <c r="W12" s="702"/>
      <c r="X12" s="700"/>
      <c r="Y12" s="702"/>
      <c r="Z12" s="700"/>
      <c r="AA12" s="703"/>
      <c r="AC12" s="616"/>
      <c r="AD12" s="37" t="str">
        <f>IF(AC12&gt;0,AE11,"")</f>
        <v/>
      </c>
      <c r="AE12" s="37" t="str">
        <f t="shared" ref="AE12:AE29" si="2">IF(AC12&gt;0,AD12+AC12,"")</f>
        <v/>
      </c>
      <c r="AF12" s="700"/>
      <c r="AG12" s="701"/>
      <c r="AH12" s="700"/>
      <c r="AI12" s="702"/>
      <c r="AJ12" s="700"/>
      <c r="AK12" s="702"/>
      <c r="AL12" s="700"/>
      <c r="AM12" s="702"/>
      <c r="AN12" s="700"/>
      <c r="AO12" s="703"/>
      <c r="AQ12" s="616"/>
      <c r="AR12" s="37" t="str">
        <f>IF(AQ12&gt;0,AS11,"")</f>
        <v/>
      </c>
      <c r="AS12" s="37" t="str">
        <f t="shared" ref="AS12:AS29" si="3">IF(AQ12&gt;0,AR12+AQ12,"")</f>
        <v/>
      </c>
      <c r="AT12" s="700"/>
      <c r="AU12" s="701"/>
      <c r="AV12" s="700"/>
      <c r="AW12" s="702"/>
      <c r="AX12" s="700"/>
      <c r="AY12" s="702"/>
      <c r="AZ12" s="700"/>
      <c r="BA12" s="702"/>
      <c r="BB12" s="700"/>
      <c r="BC12" s="703"/>
    </row>
    <row r="13" spans="1:55" ht="33" customHeight="1">
      <c r="A13" s="616"/>
      <c r="B13" s="690" t="str">
        <f t="shared" ref="B13:B29" si="4">IF(A13&gt;0,C12,"")</f>
        <v/>
      </c>
      <c r="C13" s="690" t="str">
        <f t="shared" si="0"/>
        <v/>
      </c>
      <c r="D13" s="688"/>
      <c r="E13" s="621"/>
      <c r="F13" s="688"/>
      <c r="G13" s="604"/>
      <c r="H13" s="688"/>
      <c r="I13" s="604"/>
      <c r="J13" s="688"/>
      <c r="K13" s="604"/>
      <c r="L13" s="688"/>
      <c r="M13" s="622"/>
      <c r="N13" s="40"/>
      <c r="O13" s="616"/>
      <c r="P13" s="690" t="str">
        <f t="shared" ref="P13:P29" si="5">IF(O13&gt;0,Q12,"")</f>
        <v/>
      </c>
      <c r="Q13" s="690" t="str">
        <f t="shared" si="1"/>
        <v/>
      </c>
      <c r="R13" s="688"/>
      <c r="S13" s="621"/>
      <c r="T13" s="688"/>
      <c r="U13" s="604"/>
      <c r="V13" s="688"/>
      <c r="W13" s="604"/>
      <c r="X13" s="688"/>
      <c r="Y13" s="604"/>
      <c r="Z13" s="688"/>
      <c r="AA13" s="622"/>
      <c r="AC13" s="616"/>
      <c r="AD13" s="690" t="str">
        <f t="shared" ref="AD13:AD29" si="6">IF(AC13&gt;0,AE12,"")</f>
        <v/>
      </c>
      <c r="AE13" s="690" t="str">
        <f t="shared" si="2"/>
        <v/>
      </c>
      <c r="AF13" s="688"/>
      <c r="AG13" s="621"/>
      <c r="AH13" s="688"/>
      <c r="AI13" s="604"/>
      <c r="AJ13" s="688"/>
      <c r="AK13" s="604"/>
      <c r="AL13" s="688"/>
      <c r="AM13" s="604"/>
      <c r="AN13" s="688"/>
      <c r="AO13" s="622"/>
      <c r="AQ13" s="616"/>
      <c r="AR13" s="690" t="str">
        <f t="shared" ref="AR13:AR29" si="7">IF(AQ13&gt;0,AS12,"")</f>
        <v/>
      </c>
      <c r="AS13" s="690" t="str">
        <f t="shared" si="3"/>
        <v/>
      </c>
      <c r="AT13" s="688"/>
      <c r="AU13" s="621"/>
      <c r="AV13" s="688"/>
      <c r="AW13" s="604"/>
      <c r="AX13" s="688"/>
      <c r="AY13" s="604"/>
      <c r="AZ13" s="688"/>
      <c r="BA13" s="604"/>
      <c r="BB13" s="688"/>
      <c r="BC13" s="622"/>
    </row>
    <row r="14" spans="1:55" ht="33" customHeight="1">
      <c r="A14" s="616"/>
      <c r="B14" s="37" t="str">
        <f t="shared" si="4"/>
        <v/>
      </c>
      <c r="C14" s="37" t="str">
        <f t="shared" si="0"/>
        <v/>
      </c>
      <c r="D14" s="688"/>
      <c r="E14" s="701"/>
      <c r="F14" s="688"/>
      <c r="G14" s="702"/>
      <c r="H14" s="700"/>
      <c r="I14" s="702"/>
      <c r="J14" s="700"/>
      <c r="K14" s="702"/>
      <c r="L14" s="700"/>
      <c r="M14" s="703"/>
      <c r="N14" s="40"/>
      <c r="O14" s="616"/>
      <c r="P14" s="37" t="str">
        <f t="shared" si="5"/>
        <v/>
      </c>
      <c r="Q14" s="37" t="str">
        <f t="shared" si="1"/>
        <v/>
      </c>
      <c r="R14" s="700"/>
      <c r="S14" s="701"/>
      <c r="T14" s="700"/>
      <c r="U14" s="702"/>
      <c r="V14" s="700"/>
      <c r="W14" s="702"/>
      <c r="X14" s="700"/>
      <c r="Y14" s="702"/>
      <c r="Z14" s="700"/>
      <c r="AA14" s="703"/>
      <c r="AC14" s="616"/>
      <c r="AD14" s="37" t="str">
        <f t="shared" si="6"/>
        <v/>
      </c>
      <c r="AE14" s="37" t="str">
        <f t="shared" si="2"/>
        <v/>
      </c>
      <c r="AF14" s="700"/>
      <c r="AG14" s="701"/>
      <c r="AH14" s="700"/>
      <c r="AI14" s="702"/>
      <c r="AJ14" s="700"/>
      <c r="AK14" s="702"/>
      <c r="AL14" s="700"/>
      <c r="AM14" s="702"/>
      <c r="AN14" s="700"/>
      <c r="AO14" s="703"/>
      <c r="AQ14" s="616"/>
      <c r="AR14" s="37" t="str">
        <f t="shared" si="7"/>
        <v/>
      </c>
      <c r="AS14" s="37" t="str">
        <f t="shared" si="3"/>
        <v/>
      </c>
      <c r="AT14" s="700"/>
      <c r="AU14" s="701"/>
      <c r="AV14" s="700"/>
      <c r="AW14" s="702"/>
      <c r="AX14" s="700"/>
      <c r="AY14" s="702"/>
      <c r="AZ14" s="700"/>
      <c r="BA14" s="702"/>
      <c r="BB14" s="700"/>
      <c r="BC14" s="703"/>
    </row>
    <row r="15" spans="1:55" ht="33" customHeight="1">
      <c r="A15" s="616"/>
      <c r="B15" s="690" t="str">
        <f t="shared" si="4"/>
        <v/>
      </c>
      <c r="C15" s="690" t="str">
        <f t="shared" si="0"/>
        <v/>
      </c>
      <c r="D15" s="688"/>
      <c r="E15" s="621"/>
      <c r="F15" s="688"/>
      <c r="G15" s="604"/>
      <c r="H15" s="688"/>
      <c r="I15" s="604"/>
      <c r="J15" s="688"/>
      <c r="K15" s="604"/>
      <c r="L15" s="688"/>
      <c r="M15" s="622"/>
      <c r="O15" s="616"/>
      <c r="P15" s="690" t="str">
        <f t="shared" si="5"/>
        <v/>
      </c>
      <c r="Q15" s="690" t="str">
        <f t="shared" si="1"/>
        <v/>
      </c>
      <c r="R15" s="688"/>
      <c r="S15" s="621"/>
      <c r="T15" s="688"/>
      <c r="U15" s="604"/>
      <c r="V15" s="688"/>
      <c r="W15" s="604"/>
      <c r="X15" s="688"/>
      <c r="Y15" s="604"/>
      <c r="Z15" s="688"/>
      <c r="AA15" s="622"/>
      <c r="AC15" s="616"/>
      <c r="AD15" s="690" t="str">
        <f t="shared" si="6"/>
        <v/>
      </c>
      <c r="AE15" s="690" t="str">
        <f t="shared" si="2"/>
        <v/>
      </c>
      <c r="AF15" s="688"/>
      <c r="AG15" s="621"/>
      <c r="AH15" s="688"/>
      <c r="AI15" s="604"/>
      <c r="AJ15" s="688"/>
      <c r="AK15" s="604"/>
      <c r="AL15" s="688"/>
      <c r="AM15" s="604"/>
      <c r="AN15" s="688"/>
      <c r="AO15" s="622"/>
      <c r="AQ15" s="616"/>
      <c r="AR15" s="690" t="str">
        <f t="shared" si="7"/>
        <v/>
      </c>
      <c r="AS15" s="690" t="str">
        <f t="shared" si="3"/>
        <v/>
      </c>
      <c r="AT15" s="688"/>
      <c r="AU15" s="621"/>
      <c r="AV15" s="688"/>
      <c r="AW15" s="604"/>
      <c r="AX15" s="688"/>
      <c r="AY15" s="604"/>
      <c r="AZ15" s="688"/>
      <c r="BA15" s="604"/>
      <c r="BB15" s="688"/>
      <c r="BC15" s="622"/>
    </row>
    <row r="16" spans="1:55" ht="33" customHeight="1">
      <c r="A16" s="616"/>
      <c r="B16" s="37" t="str">
        <f t="shared" si="4"/>
        <v/>
      </c>
      <c r="C16" s="37" t="str">
        <f t="shared" si="0"/>
        <v/>
      </c>
      <c r="D16" s="688"/>
      <c r="E16" s="701"/>
      <c r="F16" s="688"/>
      <c r="G16" s="702"/>
      <c r="H16" s="700"/>
      <c r="I16" s="702"/>
      <c r="J16" s="700"/>
      <c r="K16" s="702"/>
      <c r="L16" s="700"/>
      <c r="M16" s="703"/>
      <c r="O16" s="616"/>
      <c r="P16" s="37" t="str">
        <f t="shared" si="5"/>
        <v/>
      </c>
      <c r="Q16" s="37" t="str">
        <f t="shared" si="1"/>
        <v/>
      </c>
      <c r="R16" s="700"/>
      <c r="S16" s="701"/>
      <c r="T16" s="700"/>
      <c r="U16" s="702"/>
      <c r="V16" s="700"/>
      <c r="W16" s="702"/>
      <c r="X16" s="700"/>
      <c r="Y16" s="702"/>
      <c r="Z16" s="700"/>
      <c r="AA16" s="703"/>
      <c r="AC16" s="616"/>
      <c r="AD16" s="37" t="str">
        <f t="shared" si="6"/>
        <v/>
      </c>
      <c r="AE16" s="37" t="str">
        <f t="shared" si="2"/>
        <v/>
      </c>
      <c r="AF16" s="700"/>
      <c r="AG16" s="701"/>
      <c r="AH16" s="700"/>
      <c r="AI16" s="702"/>
      <c r="AJ16" s="700"/>
      <c r="AK16" s="702"/>
      <c r="AL16" s="700"/>
      <c r="AM16" s="702"/>
      <c r="AN16" s="700"/>
      <c r="AO16" s="703"/>
      <c r="AQ16" s="616"/>
      <c r="AR16" s="37" t="str">
        <f t="shared" si="7"/>
        <v/>
      </c>
      <c r="AS16" s="37" t="str">
        <f t="shared" si="3"/>
        <v/>
      </c>
      <c r="AT16" s="700"/>
      <c r="AU16" s="701"/>
      <c r="AV16" s="700"/>
      <c r="AW16" s="702"/>
      <c r="AX16" s="700"/>
      <c r="AY16" s="702"/>
      <c r="AZ16" s="700"/>
      <c r="BA16" s="702"/>
      <c r="BB16" s="700"/>
      <c r="BC16" s="703"/>
    </row>
    <row r="17" spans="1:56" ht="33" customHeight="1">
      <c r="A17" s="616"/>
      <c r="B17" s="690" t="str">
        <f t="shared" si="4"/>
        <v/>
      </c>
      <c r="C17" s="690" t="str">
        <f t="shared" si="0"/>
        <v/>
      </c>
      <c r="D17" s="688"/>
      <c r="E17" s="621"/>
      <c r="F17" s="688"/>
      <c r="G17" s="604"/>
      <c r="H17" s="688"/>
      <c r="I17" s="604"/>
      <c r="J17" s="688"/>
      <c r="K17" s="604"/>
      <c r="L17" s="688"/>
      <c r="M17" s="622"/>
      <c r="O17" s="616"/>
      <c r="P17" s="690" t="str">
        <f t="shared" si="5"/>
        <v/>
      </c>
      <c r="Q17" s="690" t="str">
        <f t="shared" si="1"/>
        <v/>
      </c>
      <c r="R17" s="688"/>
      <c r="S17" s="621"/>
      <c r="T17" s="688"/>
      <c r="U17" s="604"/>
      <c r="V17" s="688"/>
      <c r="W17" s="604"/>
      <c r="X17" s="688"/>
      <c r="Y17" s="604"/>
      <c r="Z17" s="688"/>
      <c r="AA17" s="622"/>
      <c r="AC17" s="616"/>
      <c r="AD17" s="690" t="str">
        <f t="shared" si="6"/>
        <v/>
      </c>
      <c r="AE17" s="690" t="str">
        <f t="shared" si="2"/>
        <v/>
      </c>
      <c r="AF17" s="688"/>
      <c r="AG17" s="621"/>
      <c r="AH17" s="688"/>
      <c r="AI17" s="604"/>
      <c r="AJ17" s="688"/>
      <c r="AK17" s="604"/>
      <c r="AL17" s="688"/>
      <c r="AM17" s="604"/>
      <c r="AN17" s="688"/>
      <c r="AO17" s="622"/>
      <c r="AQ17" s="616"/>
      <c r="AR17" s="690" t="str">
        <f t="shared" si="7"/>
        <v/>
      </c>
      <c r="AS17" s="690" t="str">
        <f t="shared" si="3"/>
        <v/>
      </c>
      <c r="AT17" s="688"/>
      <c r="AU17" s="621"/>
      <c r="AV17" s="688"/>
      <c r="AW17" s="604"/>
      <c r="AX17" s="688"/>
      <c r="AY17" s="604"/>
      <c r="AZ17" s="688"/>
      <c r="BA17" s="604"/>
      <c r="BB17" s="688"/>
      <c r="BC17" s="622"/>
    </row>
    <row r="18" spans="1:56" ht="33" customHeight="1">
      <c r="A18" s="616"/>
      <c r="B18" s="37" t="str">
        <f t="shared" si="4"/>
        <v/>
      </c>
      <c r="C18" s="37" t="str">
        <f t="shared" si="0"/>
        <v/>
      </c>
      <c r="D18" s="688"/>
      <c r="E18" s="701"/>
      <c r="F18" s="688"/>
      <c r="G18" s="702"/>
      <c r="H18" s="700"/>
      <c r="I18" s="702"/>
      <c r="J18" s="700"/>
      <c r="K18" s="702"/>
      <c r="L18" s="700"/>
      <c r="M18" s="703"/>
      <c r="O18" s="616"/>
      <c r="P18" s="37" t="str">
        <f t="shared" si="5"/>
        <v/>
      </c>
      <c r="Q18" s="37" t="str">
        <f t="shared" si="1"/>
        <v/>
      </c>
      <c r="R18" s="700"/>
      <c r="S18" s="701"/>
      <c r="T18" s="700"/>
      <c r="U18" s="702"/>
      <c r="V18" s="700"/>
      <c r="W18" s="702"/>
      <c r="X18" s="700"/>
      <c r="Y18" s="702"/>
      <c r="Z18" s="700"/>
      <c r="AA18" s="703"/>
      <c r="AC18" s="616"/>
      <c r="AD18" s="37" t="str">
        <f t="shared" si="6"/>
        <v/>
      </c>
      <c r="AE18" s="37" t="str">
        <f t="shared" si="2"/>
        <v/>
      </c>
      <c r="AF18" s="700"/>
      <c r="AG18" s="701"/>
      <c r="AH18" s="700"/>
      <c r="AI18" s="702"/>
      <c r="AJ18" s="700"/>
      <c r="AK18" s="702"/>
      <c r="AL18" s="700"/>
      <c r="AM18" s="702"/>
      <c r="AN18" s="700"/>
      <c r="AO18" s="703"/>
      <c r="AQ18" s="616"/>
      <c r="AR18" s="37" t="str">
        <f t="shared" si="7"/>
        <v/>
      </c>
      <c r="AS18" s="37" t="str">
        <f t="shared" si="3"/>
        <v/>
      </c>
      <c r="AT18" s="700"/>
      <c r="AU18" s="701"/>
      <c r="AV18" s="700"/>
      <c r="AW18" s="702"/>
      <c r="AX18" s="700"/>
      <c r="AY18" s="702"/>
      <c r="AZ18" s="700"/>
      <c r="BA18" s="702"/>
      <c r="BB18" s="700"/>
      <c r="BC18" s="703"/>
    </row>
    <row r="19" spans="1:56" ht="33" customHeight="1">
      <c r="A19" s="616"/>
      <c r="B19" s="690" t="str">
        <f t="shared" si="4"/>
        <v/>
      </c>
      <c r="C19" s="690" t="str">
        <f t="shared" si="0"/>
        <v/>
      </c>
      <c r="D19" s="688"/>
      <c r="E19" s="621"/>
      <c r="F19" s="688"/>
      <c r="G19" s="604"/>
      <c r="H19" s="688"/>
      <c r="I19" s="604"/>
      <c r="J19" s="688"/>
      <c r="K19" s="604"/>
      <c r="L19" s="688"/>
      <c r="M19" s="622"/>
      <c r="O19" s="616"/>
      <c r="P19" s="690" t="str">
        <f t="shared" si="5"/>
        <v/>
      </c>
      <c r="Q19" s="690" t="str">
        <f t="shared" si="1"/>
        <v/>
      </c>
      <c r="R19" s="688"/>
      <c r="S19" s="621"/>
      <c r="T19" s="688"/>
      <c r="U19" s="604"/>
      <c r="V19" s="688"/>
      <c r="W19" s="604"/>
      <c r="X19" s="688"/>
      <c r="Y19" s="604"/>
      <c r="Z19" s="688"/>
      <c r="AA19" s="622"/>
      <c r="AC19" s="616"/>
      <c r="AD19" s="690" t="str">
        <f t="shared" si="6"/>
        <v/>
      </c>
      <c r="AE19" s="690" t="str">
        <f t="shared" si="2"/>
        <v/>
      </c>
      <c r="AF19" s="688"/>
      <c r="AG19" s="621"/>
      <c r="AH19" s="688"/>
      <c r="AI19" s="604"/>
      <c r="AJ19" s="688"/>
      <c r="AK19" s="604"/>
      <c r="AL19" s="688"/>
      <c r="AM19" s="604"/>
      <c r="AN19" s="688"/>
      <c r="AO19" s="622"/>
      <c r="AQ19" s="616"/>
      <c r="AR19" s="690" t="str">
        <f t="shared" si="7"/>
        <v/>
      </c>
      <c r="AS19" s="690" t="str">
        <f t="shared" si="3"/>
        <v/>
      </c>
      <c r="AT19" s="688"/>
      <c r="AU19" s="621"/>
      <c r="AV19" s="688"/>
      <c r="AW19" s="604"/>
      <c r="AX19" s="688"/>
      <c r="AY19" s="604"/>
      <c r="AZ19" s="688"/>
      <c r="BA19" s="604"/>
      <c r="BB19" s="688"/>
      <c r="BC19" s="622"/>
    </row>
    <row r="20" spans="1:56" ht="33" customHeight="1">
      <c r="A20" s="616"/>
      <c r="B20" s="37" t="str">
        <f t="shared" si="4"/>
        <v/>
      </c>
      <c r="C20" s="37" t="str">
        <f t="shared" si="0"/>
        <v/>
      </c>
      <c r="D20" s="688"/>
      <c r="E20" s="701"/>
      <c r="F20" s="688"/>
      <c r="G20" s="702"/>
      <c r="H20" s="700"/>
      <c r="I20" s="702"/>
      <c r="J20" s="700"/>
      <c r="K20" s="702"/>
      <c r="L20" s="700"/>
      <c r="M20" s="703"/>
      <c r="O20" s="616"/>
      <c r="P20" s="37" t="str">
        <f t="shared" si="5"/>
        <v/>
      </c>
      <c r="Q20" s="37" t="str">
        <f t="shared" si="1"/>
        <v/>
      </c>
      <c r="R20" s="700"/>
      <c r="S20" s="701"/>
      <c r="T20" s="700"/>
      <c r="U20" s="702"/>
      <c r="V20" s="700"/>
      <c r="W20" s="702"/>
      <c r="X20" s="700"/>
      <c r="Y20" s="702"/>
      <c r="Z20" s="700"/>
      <c r="AA20" s="703"/>
      <c r="AC20" s="616"/>
      <c r="AD20" s="37" t="str">
        <f t="shared" si="6"/>
        <v/>
      </c>
      <c r="AE20" s="37" t="str">
        <f t="shared" si="2"/>
        <v/>
      </c>
      <c r="AF20" s="700"/>
      <c r="AG20" s="701"/>
      <c r="AH20" s="700"/>
      <c r="AI20" s="702"/>
      <c r="AJ20" s="700"/>
      <c r="AK20" s="702"/>
      <c r="AL20" s="700"/>
      <c r="AM20" s="702"/>
      <c r="AN20" s="700"/>
      <c r="AO20" s="703"/>
      <c r="AQ20" s="616"/>
      <c r="AR20" s="37" t="str">
        <f t="shared" si="7"/>
        <v/>
      </c>
      <c r="AS20" s="37" t="str">
        <f t="shared" si="3"/>
        <v/>
      </c>
      <c r="AT20" s="700"/>
      <c r="AU20" s="701"/>
      <c r="AV20" s="700"/>
      <c r="AW20" s="702"/>
      <c r="AX20" s="700"/>
      <c r="AY20" s="702"/>
      <c r="AZ20" s="700"/>
      <c r="BA20" s="702"/>
      <c r="BB20" s="700"/>
      <c r="BC20" s="703"/>
    </row>
    <row r="21" spans="1:56" ht="33" customHeight="1">
      <c r="A21" s="616"/>
      <c r="B21" s="690" t="str">
        <f t="shared" si="4"/>
        <v/>
      </c>
      <c r="C21" s="690" t="str">
        <f t="shared" si="0"/>
        <v/>
      </c>
      <c r="D21" s="688"/>
      <c r="E21" s="621"/>
      <c r="F21" s="688"/>
      <c r="G21" s="604"/>
      <c r="H21" s="688"/>
      <c r="I21" s="604"/>
      <c r="J21" s="688"/>
      <c r="K21" s="604"/>
      <c r="L21" s="688"/>
      <c r="M21" s="622"/>
      <c r="O21" s="616"/>
      <c r="P21" s="690" t="str">
        <f t="shared" si="5"/>
        <v/>
      </c>
      <c r="Q21" s="690" t="str">
        <f t="shared" si="1"/>
        <v/>
      </c>
      <c r="R21" s="688"/>
      <c r="S21" s="621"/>
      <c r="T21" s="688"/>
      <c r="U21" s="604"/>
      <c r="V21" s="688"/>
      <c r="W21" s="604"/>
      <c r="X21" s="688"/>
      <c r="Y21" s="604"/>
      <c r="Z21" s="688"/>
      <c r="AA21" s="622"/>
      <c r="AC21" s="616"/>
      <c r="AD21" s="690" t="str">
        <f t="shared" si="6"/>
        <v/>
      </c>
      <c r="AE21" s="690" t="str">
        <f t="shared" si="2"/>
        <v/>
      </c>
      <c r="AF21" s="688"/>
      <c r="AG21" s="621"/>
      <c r="AH21" s="688"/>
      <c r="AI21" s="604"/>
      <c r="AJ21" s="688"/>
      <c r="AK21" s="604"/>
      <c r="AL21" s="688"/>
      <c r="AM21" s="604"/>
      <c r="AN21" s="688"/>
      <c r="AO21" s="622"/>
      <c r="AQ21" s="616"/>
      <c r="AR21" s="690" t="str">
        <f t="shared" si="7"/>
        <v/>
      </c>
      <c r="AS21" s="690" t="str">
        <f t="shared" si="3"/>
        <v/>
      </c>
      <c r="AT21" s="688"/>
      <c r="AU21" s="621"/>
      <c r="AV21" s="688"/>
      <c r="AW21" s="604"/>
      <c r="AX21" s="688"/>
      <c r="AY21" s="604"/>
      <c r="AZ21" s="688"/>
      <c r="BA21" s="604"/>
      <c r="BB21" s="688"/>
      <c r="BC21" s="622"/>
    </row>
    <row r="22" spans="1:56" ht="33" customHeight="1">
      <c r="A22" s="616"/>
      <c r="B22" s="37" t="str">
        <f t="shared" si="4"/>
        <v/>
      </c>
      <c r="C22" s="37" t="str">
        <f t="shared" si="0"/>
        <v/>
      </c>
      <c r="D22" s="688"/>
      <c r="E22" s="701"/>
      <c r="F22" s="688"/>
      <c r="G22" s="702"/>
      <c r="H22" s="700"/>
      <c r="I22" s="702"/>
      <c r="J22" s="700"/>
      <c r="K22" s="702"/>
      <c r="L22" s="700"/>
      <c r="M22" s="703"/>
      <c r="O22" s="616"/>
      <c r="P22" s="37" t="str">
        <f t="shared" si="5"/>
        <v/>
      </c>
      <c r="Q22" s="37" t="str">
        <f t="shared" si="1"/>
        <v/>
      </c>
      <c r="R22" s="700"/>
      <c r="S22" s="701"/>
      <c r="T22" s="700"/>
      <c r="U22" s="702"/>
      <c r="V22" s="700"/>
      <c r="W22" s="702"/>
      <c r="X22" s="700"/>
      <c r="Y22" s="702"/>
      <c r="Z22" s="700"/>
      <c r="AA22" s="703"/>
      <c r="AC22" s="616"/>
      <c r="AD22" s="37" t="str">
        <f t="shared" si="6"/>
        <v/>
      </c>
      <c r="AE22" s="37" t="str">
        <f t="shared" si="2"/>
        <v/>
      </c>
      <c r="AF22" s="700"/>
      <c r="AG22" s="701"/>
      <c r="AH22" s="700"/>
      <c r="AI22" s="702"/>
      <c r="AJ22" s="700"/>
      <c r="AK22" s="702"/>
      <c r="AL22" s="700"/>
      <c r="AM22" s="702"/>
      <c r="AN22" s="700"/>
      <c r="AO22" s="703"/>
      <c r="AQ22" s="616"/>
      <c r="AR22" s="37" t="str">
        <f t="shared" si="7"/>
        <v/>
      </c>
      <c r="AS22" s="37" t="str">
        <f t="shared" si="3"/>
        <v/>
      </c>
      <c r="AT22" s="700"/>
      <c r="AU22" s="701"/>
      <c r="AV22" s="700"/>
      <c r="AW22" s="702"/>
      <c r="AX22" s="700"/>
      <c r="AY22" s="702"/>
      <c r="AZ22" s="700"/>
      <c r="BA22" s="702"/>
      <c r="BB22" s="700"/>
      <c r="BC22" s="703"/>
    </row>
    <row r="23" spans="1:56" ht="33" customHeight="1">
      <c r="A23" s="616"/>
      <c r="B23" s="690" t="str">
        <f t="shared" si="4"/>
        <v/>
      </c>
      <c r="C23" s="690" t="str">
        <f t="shared" si="0"/>
        <v/>
      </c>
      <c r="D23" s="688"/>
      <c r="E23" s="621"/>
      <c r="F23" s="688"/>
      <c r="G23" s="604"/>
      <c r="H23" s="688"/>
      <c r="I23" s="604"/>
      <c r="J23" s="688"/>
      <c r="K23" s="604"/>
      <c r="L23" s="688"/>
      <c r="M23" s="622"/>
      <c r="O23" s="616"/>
      <c r="P23" s="690" t="str">
        <f t="shared" si="5"/>
        <v/>
      </c>
      <c r="Q23" s="690" t="str">
        <f t="shared" si="1"/>
        <v/>
      </c>
      <c r="R23" s="688"/>
      <c r="S23" s="621"/>
      <c r="T23" s="688"/>
      <c r="U23" s="604"/>
      <c r="V23" s="688"/>
      <c r="W23" s="604"/>
      <c r="X23" s="688"/>
      <c r="Y23" s="604"/>
      <c r="Z23" s="688"/>
      <c r="AA23" s="622"/>
      <c r="AC23" s="616"/>
      <c r="AD23" s="690" t="str">
        <f t="shared" si="6"/>
        <v/>
      </c>
      <c r="AE23" s="690" t="str">
        <f t="shared" si="2"/>
        <v/>
      </c>
      <c r="AF23" s="688"/>
      <c r="AG23" s="621"/>
      <c r="AH23" s="688"/>
      <c r="AI23" s="604"/>
      <c r="AJ23" s="688"/>
      <c r="AK23" s="604"/>
      <c r="AL23" s="688"/>
      <c r="AM23" s="604"/>
      <c r="AN23" s="688"/>
      <c r="AO23" s="622"/>
      <c r="AQ23" s="616"/>
      <c r="AR23" s="690" t="str">
        <f t="shared" si="7"/>
        <v/>
      </c>
      <c r="AS23" s="690" t="str">
        <f t="shared" si="3"/>
        <v/>
      </c>
      <c r="AT23" s="688"/>
      <c r="AU23" s="621"/>
      <c r="AV23" s="688"/>
      <c r="AW23" s="604"/>
      <c r="AX23" s="688"/>
      <c r="AY23" s="604"/>
      <c r="AZ23" s="688"/>
      <c r="BA23" s="604"/>
      <c r="BB23" s="688"/>
      <c r="BC23" s="622"/>
    </row>
    <row r="24" spans="1:56" ht="33" customHeight="1">
      <c r="A24" s="616"/>
      <c r="B24" s="37" t="str">
        <f t="shared" si="4"/>
        <v/>
      </c>
      <c r="C24" s="37" t="str">
        <f t="shared" si="0"/>
        <v/>
      </c>
      <c r="D24" s="688"/>
      <c r="E24" s="701"/>
      <c r="F24" s="688"/>
      <c r="G24" s="702"/>
      <c r="H24" s="700"/>
      <c r="I24" s="702"/>
      <c r="J24" s="700"/>
      <c r="K24" s="702"/>
      <c r="L24" s="700"/>
      <c r="M24" s="703"/>
      <c r="O24" s="616"/>
      <c r="P24" s="37" t="str">
        <f t="shared" si="5"/>
        <v/>
      </c>
      <c r="Q24" s="37" t="str">
        <f t="shared" si="1"/>
        <v/>
      </c>
      <c r="R24" s="700"/>
      <c r="S24" s="701"/>
      <c r="T24" s="700"/>
      <c r="U24" s="702"/>
      <c r="V24" s="700"/>
      <c r="W24" s="702"/>
      <c r="X24" s="700"/>
      <c r="Y24" s="702"/>
      <c r="Z24" s="700"/>
      <c r="AA24" s="703"/>
      <c r="AC24" s="616"/>
      <c r="AD24" s="37" t="str">
        <f t="shared" si="6"/>
        <v/>
      </c>
      <c r="AE24" s="37" t="str">
        <f t="shared" si="2"/>
        <v/>
      </c>
      <c r="AF24" s="700"/>
      <c r="AG24" s="701"/>
      <c r="AH24" s="700"/>
      <c r="AI24" s="702"/>
      <c r="AJ24" s="700"/>
      <c r="AK24" s="702"/>
      <c r="AL24" s="700"/>
      <c r="AM24" s="702"/>
      <c r="AN24" s="700"/>
      <c r="AO24" s="703"/>
      <c r="AQ24" s="616"/>
      <c r="AR24" s="37" t="str">
        <f t="shared" si="7"/>
        <v/>
      </c>
      <c r="AS24" s="37" t="str">
        <f t="shared" si="3"/>
        <v/>
      </c>
      <c r="AT24" s="700"/>
      <c r="AU24" s="701"/>
      <c r="AV24" s="700"/>
      <c r="AW24" s="702"/>
      <c r="AX24" s="700"/>
      <c r="AY24" s="702"/>
      <c r="AZ24" s="700"/>
      <c r="BA24" s="702"/>
      <c r="BB24" s="700"/>
      <c r="BC24" s="703"/>
    </row>
    <row r="25" spans="1:56" ht="33" customHeight="1">
      <c r="A25" s="616"/>
      <c r="B25" s="690" t="str">
        <f t="shared" si="4"/>
        <v/>
      </c>
      <c r="C25" s="690" t="str">
        <f t="shared" si="0"/>
        <v/>
      </c>
      <c r="D25" s="688"/>
      <c r="E25" s="621"/>
      <c r="F25" s="688"/>
      <c r="G25" s="604"/>
      <c r="H25" s="688"/>
      <c r="I25" s="604"/>
      <c r="J25" s="688"/>
      <c r="K25" s="604"/>
      <c r="L25" s="688"/>
      <c r="M25" s="622"/>
      <c r="O25" s="616"/>
      <c r="P25" s="690" t="str">
        <f t="shared" si="5"/>
        <v/>
      </c>
      <c r="Q25" s="690" t="str">
        <f t="shared" si="1"/>
        <v/>
      </c>
      <c r="R25" s="688"/>
      <c r="S25" s="621"/>
      <c r="T25" s="688"/>
      <c r="U25" s="604"/>
      <c r="V25" s="688"/>
      <c r="W25" s="604"/>
      <c r="X25" s="688"/>
      <c r="Y25" s="604"/>
      <c r="Z25" s="688"/>
      <c r="AA25" s="622"/>
      <c r="AC25" s="616"/>
      <c r="AD25" s="690" t="str">
        <f t="shared" si="6"/>
        <v/>
      </c>
      <c r="AE25" s="690" t="str">
        <f t="shared" si="2"/>
        <v/>
      </c>
      <c r="AF25" s="688"/>
      <c r="AG25" s="621"/>
      <c r="AH25" s="688"/>
      <c r="AI25" s="604"/>
      <c r="AJ25" s="688"/>
      <c r="AK25" s="604"/>
      <c r="AL25" s="688"/>
      <c r="AM25" s="604"/>
      <c r="AN25" s="688"/>
      <c r="AO25" s="622"/>
      <c r="AQ25" s="616"/>
      <c r="AR25" s="690" t="str">
        <f t="shared" si="7"/>
        <v/>
      </c>
      <c r="AS25" s="690" t="str">
        <f t="shared" si="3"/>
        <v/>
      </c>
      <c r="AT25" s="688"/>
      <c r="AU25" s="621"/>
      <c r="AV25" s="688"/>
      <c r="AW25" s="604"/>
      <c r="AX25" s="688"/>
      <c r="AY25" s="604"/>
      <c r="AZ25" s="688"/>
      <c r="BA25" s="604"/>
      <c r="BB25" s="688"/>
      <c r="BC25" s="622"/>
    </row>
    <row r="26" spans="1:56" ht="33" customHeight="1">
      <c r="A26" s="616"/>
      <c r="B26" s="37" t="str">
        <f t="shared" si="4"/>
        <v/>
      </c>
      <c r="C26" s="37" t="str">
        <f t="shared" si="0"/>
        <v/>
      </c>
      <c r="D26" s="688"/>
      <c r="E26" s="701"/>
      <c r="F26" s="688"/>
      <c r="G26" s="702"/>
      <c r="H26" s="700"/>
      <c r="I26" s="702"/>
      <c r="J26" s="700"/>
      <c r="K26" s="702"/>
      <c r="L26" s="700"/>
      <c r="M26" s="703"/>
      <c r="O26" s="616"/>
      <c r="P26" s="37" t="str">
        <f t="shared" si="5"/>
        <v/>
      </c>
      <c r="Q26" s="37" t="str">
        <f t="shared" si="1"/>
        <v/>
      </c>
      <c r="R26" s="700"/>
      <c r="S26" s="701"/>
      <c r="T26" s="700"/>
      <c r="U26" s="702"/>
      <c r="V26" s="700"/>
      <c r="W26" s="702"/>
      <c r="X26" s="700"/>
      <c r="Y26" s="702"/>
      <c r="Z26" s="700"/>
      <c r="AA26" s="703"/>
      <c r="AC26" s="616"/>
      <c r="AD26" s="37" t="str">
        <f t="shared" si="6"/>
        <v/>
      </c>
      <c r="AE26" s="37" t="str">
        <f t="shared" si="2"/>
        <v/>
      </c>
      <c r="AF26" s="700"/>
      <c r="AG26" s="701"/>
      <c r="AH26" s="700"/>
      <c r="AI26" s="702"/>
      <c r="AJ26" s="700"/>
      <c r="AK26" s="702"/>
      <c r="AL26" s="700"/>
      <c r="AM26" s="702"/>
      <c r="AN26" s="700"/>
      <c r="AO26" s="703"/>
      <c r="AQ26" s="616"/>
      <c r="AR26" s="37" t="str">
        <f t="shared" si="7"/>
        <v/>
      </c>
      <c r="AS26" s="37" t="str">
        <f t="shared" si="3"/>
        <v/>
      </c>
      <c r="AT26" s="700"/>
      <c r="AU26" s="701"/>
      <c r="AV26" s="700"/>
      <c r="AW26" s="702"/>
      <c r="AX26" s="700"/>
      <c r="AY26" s="702"/>
      <c r="AZ26" s="700"/>
      <c r="BA26" s="702"/>
      <c r="BB26" s="700"/>
      <c r="BC26" s="703"/>
    </row>
    <row r="27" spans="1:56" ht="33" customHeight="1">
      <c r="A27" s="616"/>
      <c r="B27" s="690" t="str">
        <f t="shared" si="4"/>
        <v/>
      </c>
      <c r="C27" s="690" t="str">
        <f t="shared" si="0"/>
        <v/>
      </c>
      <c r="D27" s="688"/>
      <c r="E27" s="621"/>
      <c r="F27" s="688"/>
      <c r="G27" s="604"/>
      <c r="H27" s="688"/>
      <c r="I27" s="604"/>
      <c r="J27" s="688"/>
      <c r="K27" s="604"/>
      <c r="L27" s="688"/>
      <c r="M27" s="622"/>
      <c r="O27" s="616"/>
      <c r="P27" s="690" t="str">
        <f t="shared" si="5"/>
        <v/>
      </c>
      <c r="Q27" s="690" t="str">
        <f t="shared" si="1"/>
        <v/>
      </c>
      <c r="R27" s="688"/>
      <c r="S27" s="621"/>
      <c r="T27" s="688"/>
      <c r="U27" s="604"/>
      <c r="V27" s="688"/>
      <c r="W27" s="604"/>
      <c r="X27" s="688"/>
      <c r="Y27" s="604"/>
      <c r="Z27" s="688"/>
      <c r="AA27" s="622"/>
      <c r="AC27" s="616"/>
      <c r="AD27" s="690" t="str">
        <f t="shared" si="6"/>
        <v/>
      </c>
      <c r="AE27" s="690" t="str">
        <f t="shared" si="2"/>
        <v/>
      </c>
      <c r="AF27" s="688"/>
      <c r="AG27" s="621"/>
      <c r="AH27" s="688"/>
      <c r="AI27" s="604"/>
      <c r="AJ27" s="688"/>
      <c r="AK27" s="604"/>
      <c r="AL27" s="688"/>
      <c r="AM27" s="604"/>
      <c r="AN27" s="688"/>
      <c r="AO27" s="622"/>
      <c r="AQ27" s="616"/>
      <c r="AR27" s="690" t="str">
        <f t="shared" si="7"/>
        <v/>
      </c>
      <c r="AS27" s="690" t="str">
        <f t="shared" si="3"/>
        <v/>
      </c>
      <c r="AT27" s="688"/>
      <c r="AU27" s="621"/>
      <c r="AV27" s="688"/>
      <c r="AW27" s="604"/>
      <c r="AX27" s="688"/>
      <c r="AY27" s="604"/>
      <c r="AZ27" s="688"/>
      <c r="BA27" s="604"/>
      <c r="BB27" s="688"/>
      <c r="BC27" s="622"/>
    </row>
    <row r="28" spans="1:56" ht="33" customHeight="1">
      <c r="A28" s="616"/>
      <c r="B28" s="37" t="str">
        <f t="shared" si="4"/>
        <v/>
      </c>
      <c r="C28" s="37" t="str">
        <f t="shared" si="0"/>
        <v/>
      </c>
      <c r="D28" s="688"/>
      <c r="E28" s="701"/>
      <c r="F28" s="688"/>
      <c r="G28" s="702"/>
      <c r="H28" s="700"/>
      <c r="I28" s="702"/>
      <c r="J28" s="700"/>
      <c r="K28" s="702"/>
      <c r="L28" s="700"/>
      <c r="M28" s="703"/>
      <c r="O28" s="616"/>
      <c r="P28" s="37" t="str">
        <f t="shared" si="5"/>
        <v/>
      </c>
      <c r="Q28" s="37" t="str">
        <f t="shared" si="1"/>
        <v/>
      </c>
      <c r="R28" s="700"/>
      <c r="S28" s="701"/>
      <c r="T28" s="700"/>
      <c r="U28" s="702"/>
      <c r="V28" s="700"/>
      <c r="W28" s="702"/>
      <c r="X28" s="700"/>
      <c r="Y28" s="702"/>
      <c r="Z28" s="700"/>
      <c r="AA28" s="703"/>
      <c r="AC28" s="616"/>
      <c r="AD28" s="37" t="str">
        <f t="shared" si="6"/>
        <v/>
      </c>
      <c r="AE28" s="37" t="str">
        <f t="shared" si="2"/>
        <v/>
      </c>
      <c r="AF28" s="700"/>
      <c r="AG28" s="701"/>
      <c r="AH28" s="700"/>
      <c r="AI28" s="702"/>
      <c r="AJ28" s="700"/>
      <c r="AK28" s="702"/>
      <c r="AL28" s="700"/>
      <c r="AM28" s="702"/>
      <c r="AN28" s="700"/>
      <c r="AO28" s="703"/>
      <c r="AQ28" s="616"/>
      <c r="AR28" s="37" t="str">
        <f t="shared" si="7"/>
        <v/>
      </c>
      <c r="AS28" s="37" t="str">
        <f t="shared" si="3"/>
        <v/>
      </c>
      <c r="AT28" s="700"/>
      <c r="AU28" s="701"/>
      <c r="AV28" s="700"/>
      <c r="AW28" s="702"/>
      <c r="AX28" s="700"/>
      <c r="AY28" s="702"/>
      <c r="AZ28" s="700"/>
      <c r="BA28" s="702"/>
      <c r="BB28" s="700"/>
      <c r="BC28" s="703"/>
    </row>
    <row r="29" spans="1:56" ht="33" customHeight="1" thickBot="1">
      <c r="A29" s="617"/>
      <c r="B29" s="691" t="str">
        <f t="shared" si="4"/>
        <v/>
      </c>
      <c r="C29" s="691" t="str">
        <f t="shared" si="0"/>
        <v/>
      </c>
      <c r="D29" s="689"/>
      <c r="E29" s="628"/>
      <c r="F29" s="689"/>
      <c r="G29" s="623"/>
      <c r="H29" s="689"/>
      <c r="I29" s="623"/>
      <c r="J29" s="689"/>
      <c r="K29" s="623"/>
      <c r="L29" s="689"/>
      <c r="M29" s="624"/>
      <c r="O29" s="617"/>
      <c r="P29" s="691" t="str">
        <f t="shared" si="5"/>
        <v/>
      </c>
      <c r="Q29" s="691" t="str">
        <f t="shared" si="1"/>
        <v/>
      </c>
      <c r="R29" s="689"/>
      <c r="S29" s="628"/>
      <c r="T29" s="689"/>
      <c r="U29" s="623"/>
      <c r="V29" s="689"/>
      <c r="W29" s="623"/>
      <c r="X29" s="689"/>
      <c r="Y29" s="623"/>
      <c r="Z29" s="689"/>
      <c r="AA29" s="624"/>
      <c r="AC29" s="617"/>
      <c r="AD29" s="691" t="str">
        <f t="shared" si="6"/>
        <v/>
      </c>
      <c r="AE29" s="691" t="str">
        <f t="shared" si="2"/>
        <v/>
      </c>
      <c r="AF29" s="689"/>
      <c r="AG29" s="628"/>
      <c r="AH29" s="689"/>
      <c r="AI29" s="623"/>
      <c r="AJ29" s="689"/>
      <c r="AK29" s="623"/>
      <c r="AL29" s="689"/>
      <c r="AM29" s="623"/>
      <c r="AN29" s="689"/>
      <c r="AO29" s="624"/>
      <c r="AQ29" s="617"/>
      <c r="AR29" s="691" t="str">
        <f t="shared" si="7"/>
        <v/>
      </c>
      <c r="AS29" s="691" t="str">
        <f t="shared" si="3"/>
        <v/>
      </c>
      <c r="AT29" s="689"/>
      <c r="AU29" s="628"/>
      <c r="AV29" s="689"/>
      <c r="AW29" s="623"/>
      <c r="AX29" s="689"/>
      <c r="AY29" s="623"/>
      <c r="AZ29" s="689"/>
      <c r="BA29" s="623"/>
      <c r="BB29" s="689"/>
      <c r="BC29" s="624"/>
    </row>
    <row r="30" spans="1:56" ht="33" hidden="1" customHeight="1">
      <c r="A30" s="836" t="s">
        <v>220</v>
      </c>
      <c r="B30" s="837"/>
      <c r="C30" s="837"/>
      <c r="D30" s="837"/>
      <c r="E30" s="266">
        <f>IF(AND(D11="L",E11&gt;0),A11,0)+IF(AND(D12="L",E12&gt;0),A12,0)+IF(AND(D13="L",E13&gt;0),A13,0)+IF(AND(D14="L",E14&gt;0),A14,0)+IF(AND(D15="L",E15&gt;0),A15,0)+IF(AND(D16="L",E16&gt;0),A16,0)+IF(AND(D17="L",E17&gt;0),A17,0)+IF(AND(D18="L",E18&gt;0),A18,0)+IF(AND(D19="L",E19&gt;0),A19,0)+IF(AND(D20="L",E20&gt;0),A20,0)+IF(AND(D21="L",E21&gt;0),A21,0)+IF(AND(D22="L",E22&gt;0),A22,0)+IF(AND(D23="L",E23&gt;0),A23,0)+IF(AND(D24="L",E24&gt;0),A24,0)+IF(AND(D25="L",E25&gt;0),A25,0)+IF(AND(D26="L",E26&gt;0),A26,0)+IF(AND(D27="L",E27&gt;0),A27,0)+IF(AND(D28="L",E28&gt;0),A28,0)+IF(AND(D29="L",E29&gt;0),A29,0)</f>
        <v>0</v>
      </c>
      <c r="F30" s="266"/>
      <c r="G30" s="266">
        <f>IF(AND(F11="L",G11&gt;0),$A$11,0)+IF(AND(F12="L",G12&gt;0),$A$12,0)+IF(AND(F13="L",G13&gt;0),$A$13,0)+IF(AND(F14="L",G14&gt;0),$A$14,0)+IF(AND(F15="L",G15&gt;0),$A$15,0)+IF(AND(F16="L",G16&gt;0),$A$16,0)+IF(AND(F17="L",G17&gt;0),$A$17,0)+IF(AND(F18="L",G18&gt;0),$A$18,0)+IF(AND(F19="L",G19&gt;0),$A$19,0)+IF(AND(F20="L",G20&gt;0),$A$20,0)+IF(AND(F21="L",G21&gt;0),$A$21,0)+IF(AND(F22="L",G22&gt;0),$A$22,0)+IF(AND(F23="L",G23&gt;0),$A$23,0)+IF(AND(F24="L",G24&gt;0),$A$24,0)+IF(AND(F25="L",G25&gt;0),$A$25,0)+IF(AND(F26="L",G26&gt;0),$A$26,0)+IF(AND(F27="L",G27&gt;0),$A$27,0)+IF(AND(F28="L",G28&gt;0),$A$28,0)+IF(AND(F29="L",G29&gt;0),$A$29,0)</f>
        <v>0</v>
      </c>
      <c r="H30" s="266"/>
      <c r="I30" s="266">
        <f>IF(AND(H11="L",I11&gt;0),$A$11,0)+IF(AND(H12="L",I12&gt;0),$A$12,0)+IF(AND(H13="L",I13&gt;0),$A$13,0)+IF(AND(H14="L",I14&gt;0),$A$14,0)+IF(AND(H15="L",I15&gt;0),$A$15,0)+IF(AND(H16="L",I16&gt;0),$A$16,0)+IF(AND(H17="L",I17&gt;0),$A$17,0)+IF(AND(H18="L",I18&gt;0),$A$18,0)+IF(AND(H19="L",I19&gt;0),$A$19,0)+IF(AND(H20="L",I20&gt;0),$A$20,0)+IF(AND(H21="L",I21&gt;0),$A$21,0)+IF(AND(H22="L",I22&gt;0),$A$22,0)+IF(AND(H23="L",I23&gt;0),$A$23,0)+IF(AND(H24="L",I24&gt;0),$A$24,0)+IF(AND(H25="L",I25&gt;0),$A$25,0)+IF(AND(H26="L",I26&gt;0),$A$26,0)+IF(AND(H27="L",I27&gt;0),$A$27,0)+IF(AND(H28="L",I28&gt;0),$A$28,0)+IF(AND(H29="L",I29&gt;0),$A$29,0)</f>
        <v>0</v>
      </c>
      <c r="J30" s="483"/>
      <c r="K30" s="629">
        <f>IF(AND(J11="L",K11&gt;0),$A$11,0)+IF(AND(J12="L",K12&gt;0),$A$12,0)+IF(AND(J13="L",K13&gt;0),$A$13,0)+IF(AND(J14="L",K14&gt;0),$A$14,0)+IF(AND(J15="L",K15&gt;0),$A$15,0)+IF(AND(J16="L",K16&gt;0),$A$16,0)+IF(AND(J17="L",K17&gt;0),$A$17,0)+IF(AND(J18="L",K18&gt;0),$A$18,0)+IF(AND(J19="L",K19&gt;0),$A$19,0)+IF(AND(J20="L",K20&gt;0),$A$20,0)+IF(AND(J21="L",K21&gt;0),$A$21,0)+IF(AND(J22="L",K22&gt;0),$A$22,0)+IF(AND(J23="L",K23&gt;0),$A$23,0)+IF(AND(J24="L",K24&gt;0),$A$24,0)+IF(AND(J25="L",K25&gt;0),$A$25,0)+IF(AND(J26="L",K26&gt;0),$A$26,0)+IF(AND(J27="L",K27&gt;0),$A$27,0)+IF(AND(J28="L",K28&gt;0),$A$28,0)+IF(AND(J29="L",K29&gt;0),$A$29,0)</f>
        <v>0</v>
      </c>
      <c r="L30" s="618"/>
      <c r="M30" s="629">
        <f>IF(AND(L11="L",M11&gt;0),$A$11,0)+IF(AND(L12="L",M12&gt;0),$A$12,0)+IF(AND(L13="L",M13&gt;0),$A$13,0)+IF(AND(L14="L",M14&gt;0),$A$14,0)+IF(AND(L15="L",M15&gt;0),$A$15,0)+IF(AND(L16="L",M16&gt;0),$A$16,0)+IF(AND(L17="L",M17&gt;0),$A$17,0)+IF(AND(L18="L",M18&gt;0),$A$18,0)+IF(AND(L19="L",M19&gt;0),$A$19,0)+IF(AND(L20="L",M20&gt;0),$A$20,0)+IF(AND(L21="L",M21&gt;0),$A$21,0)+IF(AND(L22="L",M22&gt;0),$A$22,0)+IF(AND(L23="L",M23&gt;0),$A$23,0)+IF(AND(L24="L",M24&gt;0),$A$24,0)+IF(AND(L25="L",M25&gt;0),$A$25,0)+IF(AND(L26="L",M26&gt;0),$A$26,0)+IF(AND(L27="L",M27&gt;0),$A$27,0)+IF(AND(L28="L",M28&gt;0),$A$28,0)+IF(AND(L29="L",M29&gt;0),$A$29,0)</f>
        <v>0</v>
      </c>
      <c r="N30" s="618"/>
      <c r="O30" s="266"/>
      <c r="P30" s="266"/>
      <c r="Q30" s="266"/>
      <c r="R30" s="266"/>
      <c r="S30" s="266">
        <f>IF(AND(R11="L",S11&gt;0),$O$11,0)+IF(AND(R12="L",S12&gt;0),$O$12,0)+IF(AND(R13="L",S13&gt;0),$O$13,0)+IF(AND(R14="L",S14&gt;0),$O$14,0)+IF(AND(R15="L",S15&gt;0),$O$15,0)+IF(AND(R16="L",S16&gt;0),$O$16,0)+IF(AND(R17="L",S17&gt;0),$O$17,0)+IF(AND(R18="L",S18&gt;0),$O$18,0)+IF(AND(R19="L",S19&gt;0),$O$19,0)+IF(AND(R20="L",S20&gt;0),$O$20,0)+IF(AND(R21="L",S21&gt;0),$O$21,0)+IF(AND(R22="L",S22&gt;0),$O$22,0)+IF(AND(R23="L",S23&gt;0),$O$23,0)+IF(AND(R24="L",S24&gt;0),$O$24,0)+IF(AND(R25="L",S25&gt;0),$O$25,0)+IF(AND(R26="L",S26&gt;0),$O$26,0)+IF(AND(R27="L",S27&gt;0),$O$27,0)+IF(AND(R28="L",S28&gt;0),$O$28,0)+IF(AND(R29="L",S29&gt;0),$O$29,0)</f>
        <v>0</v>
      </c>
      <c r="T30" s="266"/>
      <c r="U30" s="266">
        <f>IF(AND(T11="L",U11&gt;0),$O$11,0)+IF(AND(T12="L",U12&gt;0),$O$12,0)+IF(AND(T13="L",U13&gt;0),$O$13,0)+IF(AND(T14="L",U14&gt;0),$O$14,0)+IF(AND(T15="L",U15&gt;0),$O$15,0)+IF(AND(T16="L",U16&gt;0),$O$16,0)+IF(AND(T17="L",U17&gt;0),$O$17,0)+IF(AND(T18="L",U18&gt;0),$O$18,0)+IF(AND(T19="L",U19&gt;0),$O$19,0)+IF(AND(T20="L",U20&gt;0),$O$20,0)+IF(AND(T21="L",U21&gt;0),$O$21,0)+IF(AND(T22="L",U22&gt;0),$O$22,0)+IF(AND(T23="L",U23&gt;0),$O$23,0)+IF(AND(T24="L",U24&gt;0),$O$24,0)+IF(AND(T25="L",U25&gt;0),$O$25,0)+IF(AND(T26="L",U26&gt;0),$O$26,0)+IF(AND(T27="L",U27&gt;0),$O$27,0)+IF(AND(T28="L",U28&gt;0),$O$28,0)+IF(AND(T29="L",U29&gt;0),$O$29,0)</f>
        <v>0</v>
      </c>
      <c r="V30" s="266"/>
      <c r="W30" s="266">
        <f>IF(AND(V11="L",W11&gt;0),$O$11,0)+IF(AND(V12="L",W12&gt;0),$O$12,0)+IF(AND(V13="L",W13&gt;0),$O$13,0)+IF(AND(V14="L",W14&gt;0),$O$14,0)+IF(AND(V15="L",W15&gt;0),$O$15,0)+IF(AND(V16="L",W16&gt;0),$O$16,0)+IF(AND(V17="L",W17&gt;0),$O$17,0)+IF(AND(V18="L",W18&gt;0),$O$18,0)+IF(AND(V19="L",W19&gt;0),$O$19,0)+IF(AND(V20="L",W20&gt;0),$O$20,0)+IF(AND(V21="L",W21&gt;0),$O$21,0)+IF(AND(V22="L",W22&gt;0),$O$22,0)+IF(AND(V23="L",W23&gt;0),$O$23,0)+IF(AND(V24="L",W24&gt;0),$O$24,0)+IF(AND(V25="L",W25&gt;0),$O$25,0)+IF(AND(V26="L",W26&gt;0),$O$26,0)+IF(AND(V27="L",W27&gt;0),$O$27,0)+IF(AND(V28="L",W28&gt;0),$O$28,0)+IF(AND(V29="L",W29&gt;0),$O$29,0)</f>
        <v>0</v>
      </c>
      <c r="X30" s="483"/>
      <c r="Y30" s="266">
        <f>IF(AND(X11="L",Y11&gt;0),$O$11,0)+IF(AND(X12="L",Y12&gt;0),$O$12,0)+IF(AND(X13="L",Y13&gt;0),$O$13,0)+IF(AND(X14="L",Y14&gt;0),$O$14,0)+IF(AND(X15="L",Y15&gt;0),$O$15,0)+IF(AND(X16="L",Y16&gt;0),$O$16,0)+IF(AND(X17="L",Y17&gt;0),$O$17,0)+IF(AND(X18="L",Y18&gt;0),$O$18,0)+IF(AND(X19="L",Y19&gt;0),$O$19,0)+IF(AND(X20="L",Y20&gt;0),$O$20,0)+IF(AND(X21="L",Y21&gt;0),$O$21,0)+IF(AND(X22="L",Y22&gt;0),$O$22,0)+IF(AND(X23="L",Y23&gt;0),$O$23,0)+IF(AND(X24="L",Y24&gt;0),$O$24,0)+IF(AND(X25="L",Y25&gt;0),$O$25,0)+IF(AND(X26="L",Y26&gt;0),$O$26,0)+IF(AND(X27="L",Y27&gt;0),$O$27,0)+IF(AND(X28="L",Y28&gt;0),$O$28,0)+IF(AND(X29="L",Y29&gt;0),$O$29,0)</f>
        <v>0</v>
      </c>
      <c r="Z30" s="618"/>
      <c r="AA30" s="266">
        <f>IF(AND(Z11="L",AA11&gt;0),$O$11,0)+IF(AND(Z12="L",AA12&gt;0),$O$12,0)+IF(AND(Z13="L",AA13&gt;0),$O$13,0)+IF(AND(Z14="L",AA14&gt;0),$O$14,0)+IF(AND(Z15="L",AA15&gt;0),$O$15,0)+IF(AND(Z16="L",AA16&gt;0),$O$16,0)+IF(AND(Z17="L",AA17&gt;0),$O$17,0)+IF(AND(Z18="L",AA18&gt;0),$O$18,0)+IF(AND(Z19="L",AA19&gt;0),$O$19,0)+IF(AND(Z20="L",AA20&gt;0),$O$20,0)+IF(AND(Z21="L",AA21&gt;0),$O$21,0)+IF(AND(Z22="L",AA22&gt;0),$O$22,0)+IF(AND(Z23="L",AA23&gt;0),$O$23,0)+IF(AND(Z24="L",AA24&gt;0),$O$24,0)+IF(AND(Z25="L",AA25&gt;0),$O$25,0)+IF(AND(Z26="L",AA26&gt;0),$O$26,0)+IF(AND(Z27="L",AA27&gt;0),$O$27,0)+IF(AND(Z28="L",AA28&gt;0),$O$28,0)+IF(AND(Z29="L",AA29&gt;0),$O$29,0)</f>
        <v>0</v>
      </c>
      <c r="AB30" s="266"/>
      <c r="AC30" s="266"/>
      <c r="AD30" s="483"/>
      <c r="AE30" s="618"/>
      <c r="AF30" s="618"/>
      <c r="AG30" s="266">
        <f>IF(AND(AF11="L",AG11&gt;0),$AC$11,0)+IF(AND(AF12="L",AG12&gt;0),$AC$12,0)+IF(AND(AF13="L",AG13&gt;0),$AC$13,0)+IF(AND(AF14="L",AG14&gt;0),$AC$14,0)+IF(AND(AF15="L",AG15&gt;0),$AC$15,0)+IF(AND(AF16="L",AG16&gt;0),$AC$16,0)+IF(AND(AF17="L",AG17&gt;0),$AC$17,0)+IF(AND(AF18="L",AG18&gt;0),$AC$18,0)+IF(AND(AF19="L",AG19&gt;0),$AC$19,0)+IF(AND(AF20="L",AG20&gt;0),$AC$20,0)+IF(AND(AF21="L",AG21&gt;0),$AC$21,0)+IF(AND(AF22="L",AG22&gt;0),$AC$22,0)+IF(AND(AF23="L",AG23&gt;0),$AC$23,0)+IF(AND(AF24="L",AG24&gt;0),$AC$24,0)+IF(AND(AF25="L",AG25&gt;0),$AC$25,0)+IF(AND(AF26="L",AG26&gt;0),$AC$26,0)+IF(AND(AF27="L",AG27&gt;0),$AC$27,0)+IF(AND(AF28="L",AG28&gt;0),$AC$28,0)+IF(AND(AF29="L",AG29&gt;0),$AC$29,0)</f>
        <v>0</v>
      </c>
      <c r="AH30" s="618"/>
      <c r="AI30" s="266">
        <f>IF(AND(AH11="L",AI11&gt;0),$AC$11,0)+IF(AND(AH12="L",AI12&gt;0),$AC$12,0)+IF(AND(AH13="L",AI13&gt;0),$AC$13,0)+IF(AND(AH14="L",AI14&gt;0),$AC$14,0)+IF(AND(AH15="L",AI15&gt;0),$AC$15,0)+IF(AND(AH16="L",AI16&gt;0),$AC$16,0)+IF(AND(AH17="L",AI17&gt;0),$AC$17,0)+IF(AND(AH18="L",AI18&gt;0),$AC$18,0)+IF(AND(AH19="L",AI19&gt;0),$AC$19,0)+IF(AND(AH20="L",AI20&gt;0),$AC$20,0)+IF(AND(AH21="L",AI21&gt;0),$AC$21,0)+IF(AND(AH22="L",AI22&gt;0),$AC$22,0)+IF(AND(AH23="L",AI23&gt;0),$AC$23,0)+IF(AND(AH24="L",AI24&gt;0),$AC$24,0)+IF(AND(AH25="L",AI25&gt;0),$AC$25,0)+IF(AND(AH26="L",AI26&gt;0),$AC$26,0)+IF(AND(AH27="L",AI27&gt;0),$AC$27,0)+IF(AND(AH28="L",AI28&gt;0),$AC$28,0)+IF(AND(AH29="L",AI29&gt;0),$AC$29,0)</f>
        <v>0</v>
      </c>
      <c r="AJ30" s="266"/>
      <c r="AK30" s="266">
        <f>IF(AND(AJ11="L",AK11&gt;0),$AC$11,0)+IF(AND(AJ12="L",AK12&gt;0),$AC$12,0)+IF(AND(AJ13="L",AK13&gt;0),$AC$13,0)+IF(AND(AJ14="L",AK14&gt;0),$AC$14,0)+IF(AND(AJ15="L",AK15&gt;0),$AC$15,0)+IF(AND(AJ16="L",AK16&gt;0),$AC$16,0)+IF(AND(AJ17="L",AK17&gt;0),$AC$17,0)+IF(AND(AJ18="L",AK18&gt;0),$AC$18,0)+IF(AND(AJ19="L",AK19&gt;0),$AC$19,0)+IF(AND(AJ20="L",AK20&gt;0),$AC$20,0)+IF(AND(AJ21="L",AK21&gt;0),$AC$21,0)+IF(AND(AJ22="L",AK22&gt;0),$AC$22,0)+IF(AND(AJ23="L",AK23&gt;0),$AC$23,0)+IF(AND(AJ24="L",AK24&gt;0),$AC$24,0)+IF(AND(AJ25="L",AK25&gt;0),$AC$25,0)+IF(AND(AJ26="L",AK26&gt;0),$AC$26,0)+IF(AND(AJ27="L",AK27&gt;0),$AC$27,0)+IF(AND(AJ28="L",AK28&gt;0),$AC$28,0)+IF(AND(AJ29="L",AK29&gt;0),$AC$29,0)</f>
        <v>0</v>
      </c>
      <c r="AL30" s="266"/>
      <c r="AM30" s="266">
        <f>IF(AND(AL11="L",AM11&gt;0),$AC$11,0)+IF(AND(AL12="L",AM12&gt;0),$AC$12,0)+IF(AND(AL13="L",AM13&gt;0),$AC$13,0)+IF(AND(AL14="L",AM14&gt;0),$AC$14,0)+IF(AND(AL15="L",AM15&gt;0),$AC$15,0)+IF(AND(AL16="L",AM16&gt;0),$AC$16,0)+IF(AND(AL17="L",AM17&gt;0),$AC$17,0)+IF(AND(AL18="L",AM18&gt;0),$AC$18,0)+IF(AND(AL19="L",AM19&gt;0),$AC$19,0)+IF(AND(AL20="L",AM20&gt;0),$AC$20,0)+IF(AND(AL21="L",AM21&gt;0),$AC$21,0)+IF(AND(AL22="L",AM22&gt;0),$AC$22,0)+IF(AND(AL23="L",AM23&gt;0),$AC$23,0)+IF(AND(AL24="L",AM24&gt;0),$AC$24,0)+IF(AND(AL25="L",AM25&gt;0),$AC$25,0)+IF(AND(AL26="L",AM26&gt;0),$AC$26,0)+IF(AND(AL27="L",AM27&gt;0),$AC$27,0)+IF(AND(AL28="L",AM28&gt;0),$AC$28,0)+IF(AND(AL29="L",AM29&gt;0),$AC$29,0)</f>
        <v>0</v>
      </c>
      <c r="AN30" s="483"/>
      <c r="AO30" s="266">
        <f>IF(AND(AN11="L",AO11&gt;0),$AC$11,0)+IF(AND(AN12="L",AO12&gt;0),$AC$12,0)+IF(AND(AN13="L",AO13&gt;0),$AC$13,0)+IF(AND(AN14="L",AO14&gt;0),$AC$14,0)+IF(AND(AN15="L",AO15&gt;0),$AC$15,0)+IF(AND(AN16="L",AO16&gt;0),$AC$16,0)+IF(AND(AN17="L",AO17&gt;0),$AC$17,0)+IF(AND(AN18="L",AO18&gt;0),$AC$18,0)+IF(AND(AN19="L",AO19&gt;0),$AC$19,0)+IF(AND(AN20="L",AO20&gt;0),$AC$20,0)+IF(AND(AN21="L",AO21&gt;0),$AC$21,0)+IF(AND(AN22="L",AO22&gt;0),$AC$22,0)+IF(AND(AN23="L",AO23&gt;0),$AC$23,0)+IF(AND(AN24="L",AO24&gt;0),$AC$24,0)+IF(AND(AN25="L",AO25&gt;0),$AC$25,0)+IF(AND(AN26="L",AO26&gt;0),$AC$26,0)+IF(AND(AN27="L",AO27&gt;0),$AC$27,0)+IF(AND(AN28="L",AO28&gt;0),$AC$28,0)+IF(AND(AN29="L",AO29&gt;0),$AC$29,0)</f>
        <v>0</v>
      </c>
      <c r="AU30" s="266">
        <f>IF(AND(AT11="L",AU11&gt;0),$AQ$11,0)+IF(AND(AT12="L",AU12&gt;0),$AQ$12,0)+IF(AND(AT13="L",AU13&gt;0),$AQ$13,0)+IF(AND(AT14="L",AU14&gt;0),$AQ$14,0)+IF(AND(AT15="L",AU15&gt;0),$AQ$15,0)+IF(AND(AT16="L",AU16&gt;0),$AQ$16,0)+IF(AND(AT17="L",AU17&gt;0),$AQ$17,0)+IF(AND(AT18="L",AU18&gt;0),$AQ$18,0)+IF(AND(AT19="L",AU19&gt;0),$AQ$19,0)+IF(AND(AT20="L",AU20&gt;0),$AQ$20,0)+IF(AND(AT21="L",AU21&gt;0),$AQ$21,0)+IF(AND(AT22="L",AU22&gt;0),$AQ$22,0)+IF(AND(AT23="L",AU23&gt;0),$AQ$23,0)+IF(AND(AT24="L",AU24&gt;0),$AQ$24,0)+IF(AND(AT25="L",AU25&gt;0),$AQ$25,0)+IF(AND(AT26="L",AU26&gt;0),$AQ$26,0)+IF(AND(AT27="L",AU27&gt;0),$AQ$27,0)+IF(AND(AT28="L",AU28&gt;0),$AQ$28,0)+IF(AND(AT29="L",AU29&gt;0),$AQ$29,0)</f>
        <v>0</v>
      </c>
      <c r="AW30" s="266">
        <f>IF(AND(AV11="L",AW11&gt;0),$AQ$11,0)+IF(AND(AV12="L",AW12&gt;0),$AQ$12,0)+IF(AND(AV13="L",AW13&gt;0),$AQ$13,0)+IF(AND(AV14="L",AW14&gt;0),$AQ$14,0)+IF(AND(AV15="L",AW15&gt;0),$AQ$15,0)+IF(AND(AV16="L",AW16&gt;0),$AQ$16,0)+IF(AND(AV17="L",AW17&gt;0),$AQ$17,0)+IF(AND(AV18="L",AW18&gt;0),$AQ$18,0)+IF(AND(AV19="L",AW19&gt;0),$AQ$19,0)+IF(AND(AV20="L",AW20&gt;0),$AQ$20,0)+IF(AND(AV21="L",AW21&gt;0),$AQ$21,0)+IF(AND(AV22="L",AW22&gt;0),$AQ$22,0)+IF(AND(AV23="L",AW23&gt;0),$AQ$23,0)+IF(AND(AV24="L",AW24&gt;0),$AQ$24,0)+IF(AND(AV25="L",AW25&gt;0),$AQ$25,0)+IF(AND(AV26="L",AW26&gt;0),$AQ$26,0)+IF(AND(AV27="L",AW27&gt;0),$AQ$27,0)+IF(AND(AV28="L",AW28&gt;0),$AQ$28,0)+IF(AND(AV29="L",AW29&gt;0),$AQ$29,0)</f>
        <v>0</v>
      </c>
      <c r="AY30" s="266">
        <f>IF(AND(AX11="L",AY11&gt;0),$AQ$11,0)+IF(AND(AX12="L",AY12&gt;0),$AQ$12,0)+IF(AND(AX13="L",AY13&gt;0),$AQ$13,0)+IF(AND(AX14="L",AY14&gt;0),$AQ$14,0)+IF(AND(AX15="L",AY15&gt;0),$AQ$15,0)+IF(AND(AX16="L",AY16&gt;0),$AQ$16,0)+IF(AND(AX17="L",AY17&gt;0),$AQ$17,0)+IF(AND(AX18="L",AY18&gt;0),$AQ$18,0)+IF(AND(AX19="L",AY19&gt;0),$AQ$19,0)+IF(AND(AX20="L",AY20&gt;0),$AQ$20,0)+IF(AND(AX21="L",AY21&gt;0),$AQ$21,0)+IF(AND(AX22="L",AY22&gt;0),$AQ$22,0)+IF(AND(AX23="L",AY23&gt;0),$AQ$23,0)+IF(AND(AX24="L",AY24&gt;0),$AQ$24,0)+IF(AND(AX25="L",AY25&gt;0),$AQ$25,0)+IF(AND(AX26="L",AY26&gt;0),$AQ$26,0)+IF(AND(AX27="L",AY27&gt;0),$AQ$27,0)+IF(AND(AX28="L",AY28&gt;0),$AQ$28,0)+IF(AND(AX29="L",AY29&gt;0),$AQ$29,0)</f>
        <v>0</v>
      </c>
      <c r="BA30" s="266">
        <f>IF(AND(AZ11="L",BA11&gt;0),$AQ$11,0)+IF(AND(AZ12="L",BA12&gt;0),$AQ$12,0)+IF(AND(AZ13="L",BA13&gt;0),$AQ$13,0)+IF(AND(AZ14="L",BA14&gt;0),$AQ$14,0)+IF(AND(AZ15="L",BA15&gt;0),$AQ$15,0)+IF(AND(AZ16="L",BA16&gt;0),$AQ$16,0)+IF(AND(AZ17="L",BA17&gt;0),$AQ$17,0)+IF(AND(AZ18="L",BA18&gt;0),$AQ$18,0)+IF(AND(AZ19="L",BA19&gt;0),$AQ$19,0)+IF(AND(AZ20="L",BA20&gt;0),$AQ$20,0)+IF(AND(AZ21="L",BA21&gt;0),$AQ$21,0)+IF(AND(AZ22="L",BA22&gt;0),$AQ$22,0)+IF(AND(AZ23="L",BA23&gt;0),$AQ$23,0)+IF(AND(AZ24="L",BA24&gt;0),$AQ$24,0)+IF(AND(AZ25="L",BA25&gt;0),$AQ$25,0)+IF(AND(AZ26="L",BA26&gt;0),$AQ$26,0)+IF(AND(AZ27="L",BA27&gt;0),$AQ$27,0)+IF(AND(AZ28="L",BA28&gt;0),$AQ$28,0)+IF(AND(AZ29="L",BA29&gt;0),$AQ$29,0)</f>
        <v>0</v>
      </c>
      <c r="BC30" s="266">
        <f>IF(AND(BB11="L",BC11&gt;0),$AQ$11,0)+IF(AND(BB12="L",BC12&gt;0),$AQ$12,0)+IF(AND(BB13="L",BC13&gt;0),$AQ$13,0)+IF(AND(BB14="L",BC14&gt;0),$AQ$14,0)+IF(AND(BB15="L",BC15&gt;0),$AQ$15,0)+IF(AND(BB16="L",BC16&gt;0),$AQ$16,0)+IF(AND(BB17="L",BC17&gt;0),$AQ$17,0)+IF(AND(BB18="L",BC18&gt;0),$AQ$18,0)+IF(AND(BB19="L",BC19&gt;0),$AQ$19,0)+IF(AND(BB20="L",BC20&gt;0),$AQ$20,0)+IF(AND(BB21="L",BC21&gt;0),$AQ$21,0)+IF(AND(BB22="L",BC22&gt;0),$AQ$22,0)+IF(AND(BB23="L",BC23&gt;0),$AQ$23,0)+IF(AND(BB24="L",BC24&gt;0),$AQ$24,0)+IF(AND(BB25="L",BC25&gt;0),$AQ$25,0)+IF(AND(BB26="L",BC26&gt;0),$AQ$26,0)+IF(AND(BB27="L",BC27&gt;0),$AQ$27,0)+IF(AND(BB28="L",BC28&gt;0),$AQ$28,0)+IF(AND(BB29="L",BC29&gt;0),$AQ$29,0)</f>
        <v>0</v>
      </c>
      <c r="BD30" s="483">
        <f>SUM(E30:BC30)</f>
        <v>0</v>
      </c>
    </row>
    <row r="31" spans="1:56" ht="33" hidden="1" customHeight="1">
      <c r="A31" s="832" t="s">
        <v>472</v>
      </c>
      <c r="B31" s="833"/>
      <c r="C31" s="833"/>
      <c r="D31" s="833"/>
      <c r="E31" s="266">
        <f>IF(AND(D11="E",E11&gt;0),$A$11,0)+IF(AND(D12="E",E12&gt;0),$A$12,0)+IF(AND(D13="E",E13&gt;0),$A$13,0)+IF(AND(D14="E",E14&gt;0),$A$14,0)+IF(AND(D15="E",E15&gt;0),$A$15,0)+IF(AND(D16="E",E16&gt;0),$A$16,0)+IF(AND(D17="E",E17&gt;0),$A$17,0)+IF(AND(D18="E",E18&gt;0),$A$18,0)+IF(AND(D19="E",E19&gt;0),$A$19,0)+IF(AND(D20="E",E20&gt;0),$A$20,0)+IF(AND(D21="E",E21&gt;0),$A$21,0)+IF(AND(D22="E",E22&gt;0),$A$22,0)+IF(AND(D23="E",E23&gt;0),$A$23,0)+IF(AND(D24="E",E24&gt;0),$A$24,0)+IF(AND(D25="E",E25&gt;0),$A$25,0)+IF(AND(D26="E",E26&gt;0),$A$26,0)+IF(AND(D27="E",E27&gt;0),$A$27,0)+IF(AND(D28="E",E28&gt;0),$A$28,0)+IF(AND(D29="E",E29&gt;0),$A$29,0)</f>
        <v>0</v>
      </c>
      <c r="F31" s="266"/>
      <c r="G31" s="266">
        <f>IF(AND(F11="E",G11&gt;0),$A$11,0)+IF(AND(F12="E",G12&gt;0),$A$12,0)+IF(AND(F13="E",G13&gt;0),$A$13,0)+IF(AND(F14="E",G14&gt;0),$A$14,0)+IF(AND(F15="E",G15&gt;0),$A$15,0)+IF(AND(F16="E",G16&gt;0),$A$16,0)+IF(AND(F17="E",G17&gt;0),$A$17,0)+IF(AND(F18="E",G18&gt;0),$A$18,0)+IF(AND(F19="E",G19&gt;0),$A$19,0)+IF(AND(F20="E",G20&gt;0),$A$20,0)+IF(AND(F21="E",G21&gt;0),$A$21,0)+IF(AND(F22="E",G22&gt;0),$A$22,0)+IF(AND(F23="E",G23&gt;0),$A$23,0)+IF(AND(F24="E",G24&gt;0),$A$24,0)+IF(AND(F25="E",G25&gt;0),$A$25,0)+IF(AND(F26="E",G26&gt;0),$A$26,0)+IF(AND(F27="E",G27&gt;0),$A$27,0)+IF(AND(F28="E",G28&gt;0),$A$28,0)+IF(AND(F29="E",G29&gt;0),$A$29,0)</f>
        <v>0</v>
      </c>
      <c r="H31" s="266"/>
      <c r="I31" s="266">
        <f>IF(AND(H11="E",I11&gt;0),$A$11,0)+IF(AND(H12="E",I12&gt;0),$A$12,0)+IF(AND(H13="E",I13&gt;0),$A$13,0)+IF(AND(H14="E",I14&gt;0),$A$14,0)+IF(AND(H15="E",I15&gt;0),$A$15,0)+IF(AND(H16="E",I16&gt;0),$A$16,0)+IF(AND(H17="E",I17&gt;0),$A$17,0)+IF(AND(H18="E",I18&gt;0),$A$18,0)+IF(AND(H19="E",I19&gt;0),$A$19,0)+IF(AND(H20="E",I20&gt;0),$A$20,0)+IF(AND(H21="E",I21&gt;0),$A$21,0)+IF(AND(H22="E",I22&gt;0),$A$22,0)+IF(AND(H23="E",I23&gt;0),$A$23,0)+IF(AND(H24="E",I24&gt;0),$A$24,0)+IF(AND(H25="E",I25&gt;0),$A$25,0)+IF(AND(H26="E",I26&gt;0),$A$26,0)+IF(AND(H27="E",I27&gt;0),$A$27,0)+IF(AND(H28="E",I28&gt;0),$A$28,0)+IF(AND(H29="E",I29&gt;0),$A$29,0)</f>
        <v>0</v>
      </c>
      <c r="K31" s="266">
        <f>IF(AND(J11="E",K11&gt;0),$A$11,0)+IF(AND(J12="E",K12&gt;0),$A$12,0)+IF(AND(J13="E",K13&gt;0),$A$13,0)+IF(AND(J14="E",K14&gt;0),$A$14,0)+IF(AND(J15="E",K15&gt;0),$A$15,0)+IF(AND(J16="E",K16&gt;0),$A$16,0)+IF(AND(J17="E",K17&gt;0),$A$17,0)+IF(AND(J18="E",K18&gt;0),$A$18,0)+IF(AND(J19="E",K19&gt;0),$A$19,0)+IF(AND(J20="E",K20&gt;0),$A$20,0)+IF(AND(J21="E",K21&gt;0),$A$21,0)+IF(AND(J22="E",K22&gt;0),$A$22,0)+IF(AND(J23="E",K23&gt;0),$A$23,0)+IF(AND(J24="E",K24&gt;0),$A$24,0)+IF(AND(J25="E",K25&gt;0),$A$25,0)+IF(AND(J26="E",K26&gt;0),$A$26,0)+IF(AND(J27="E",K27&gt;0),$A$27,0)+IF(AND(J28="E",K28&gt;0),$A$28,0)+IF(AND(J29="E",K29&gt;0),$A$29,0)</f>
        <v>0</v>
      </c>
      <c r="L31" s="619"/>
      <c r="M31" s="266">
        <f>IF(AND(L11="E",M11&gt;0),$A$11,0)+IF(AND(L12="E",M12&gt;0),$A$12,0)+IF(AND(L13="E",M13&gt;0),$A$13,0)+IF(AND(L14="E",M14&gt;0),$A$14,0)+IF(AND(L15="E",M15&gt;0),$A$15,0)+IF(AND(L16="E",M16&gt;0),$A$16,0)+IF(AND(L17="E",M17&gt;0),$A$17,0)+IF(AND(L18="E",M18&gt;0),$A$18,0)+IF(AND(L19="E",M19&gt;0),$A$19,0)+IF(AND(L20="E",M20&gt;0),$A$20,0)+IF(AND(L21="E",M21&gt;0),$A$21,0)+IF(AND(L22="E",M22&gt;0),$A$22,0)+IF(AND(L23="E",M23&gt;0),$A$23,0)+IF(AND(L24="E",M24&gt;0),$A$24,0)+IF(AND(L25="E",M25&gt;0),$A$25,0)+IF(AND(L26="E",M26&gt;0),$A$26,0)+IF(AND(L27="E",M27&gt;0),$A$27,0)+IF(AND(L28="E",M28&gt;0),$A$28,0)+IF(AND(L29="E",M29&gt;0),$A$29,0)</f>
        <v>0</v>
      </c>
      <c r="N31" s="619"/>
      <c r="O31" s="266"/>
      <c r="P31" s="266"/>
      <c r="Q31" s="266"/>
      <c r="R31" s="266"/>
      <c r="S31" s="266">
        <f>IF(AND(R11="E",S11&gt;0),$O$11,0)+IF(AND(R12="E",S12&gt;0),$O$12,0)+IF(AND(R13="E",S13&gt;0),$O$13,0)+IF(AND(R14="E",S14&gt;0),$O$14,0)+IF(AND(R15="E",S15&gt;0),$O$15,0)+IF(AND(R16="E",S16&gt;0),$O$16,0)+IF(AND(R17="E",S17&gt;0),$O$17,0)+IF(AND(R18="E",S18&gt;0),$O$18,0)+IF(AND(R19="E",S19&gt;0),$O$19,0)+IF(AND(R20="E",S20&gt;0),$O$20,0)+IF(AND(R21="E",S21&gt;0),$O$21,0)+IF(AND(R22="E",S22&gt;0),$O$22,0)+IF(AND(R23="E",S23&gt;0),$O$23,0)+IF(AND(R24="E",S24&gt;0),$O$24,0)+IF(AND(R25="E",S25&gt;0),$O$25,0)+IF(AND(R26="E",S26&gt;0),$O$26,0)+IF(AND(R27="E",S27&gt;0),$O$27,0)+IF(AND(R28="E",S28&gt;0),$O$28,0)+IF(AND(R29="E",S29&gt;0),$O$29,0)</f>
        <v>0</v>
      </c>
      <c r="T31" s="266"/>
      <c r="U31" s="266">
        <f>IF(AND(T11="E",U11&gt;0),$O$11,0)+IF(AND(T12="E",U12&gt;0),$O$12,0)+IF(AND(T13="E",U13&gt;0),$O$13,0)+IF(AND(T14="E",U14&gt;0),$O$14,0)+IF(AND(T15="E",U15&gt;0),$O$15,0)+IF(AND(T16="E",U16&gt;0),$O$16,0)+IF(AND(T17="E",U17&gt;0),$O$17,0)+IF(AND(T18="E",U18&gt;0),$O$18,0)+IF(AND(T19="E",U19&gt;0),$O$19,0)+IF(AND(T20="E",U20&gt;0),$O$20,0)+IF(AND(T21="E",U21&gt;0),$O$21,0)+IF(AND(T22="E",U22&gt;0),$O$22,0)+IF(AND(T23="E",U23&gt;0),$O$23,0)+IF(AND(T24="E",U24&gt;0),$O$24,0)+IF(AND(T25="E",U25&gt;0),$O$25,0)+IF(AND(T26="E",U26&gt;0),$O$26,0)+IF(AND(T27="E",U27&gt;0),$O$27,0)+IF(AND(T28="E",U28&gt;0),$O$28,0)+IF(AND(T29="E",U29&gt;0),$O$29,0)</f>
        <v>0</v>
      </c>
      <c r="V31" s="266"/>
      <c r="W31" s="266">
        <f>IF(AND(V11="E",W11&gt;0),$O$11,0)+IF(AND(V12="E",W12&gt;0),$O$12,0)+IF(AND(V13="E",W13&gt;0),$O$13,0)+IF(AND(V14="E",W14&gt;0),$O$14,0)+IF(AND(V15="E",W15&gt;0),$O$15,0)+IF(AND(V16="E",W16&gt;0),$O$16,0)+IF(AND(V17="E",W17&gt;0),$O$17,0)+IF(AND(V18="E",W18&gt;0),$O$18,0)+IF(AND(V19="E",W19&gt;0),$O$19,0)+IF(AND(V20="E",W20&gt;0),$O$20,0)+IF(AND(V21="E",W21&gt;0),$O$21,0)+IF(AND(V22="E",W22&gt;0),$O$22,0)+IF(AND(V23="E",W23&gt;0),$O$23,0)+IF(AND(V24="E",W24&gt;0),$O$24,0)+IF(AND(V25="E",W25&gt;0),$O$25,0)+IF(AND(V26="E",W26&gt;0),$O$26,0)+IF(AND(V27="E",W27&gt;0),$O$27,0)+IF(AND(V28="E",W28&gt;0),$O$28,0)+IF(AND(V29="E",W29&gt;0),$O$29,0)</f>
        <v>0</v>
      </c>
      <c r="Y31" s="266">
        <f>IF(AND(X11="E",Y11&gt;0),$O$11,0)+IF(AND(X12="E",Y12&gt;0),$O$12,0)+IF(AND(X13="E",Y13&gt;0),$O$13,0)+IF(AND(X14="E",Y14&gt;0),$O$14,0)+IF(AND(X15="E",Y15&gt;0),$O$15,0)+IF(AND(X16="E",Y16&gt;0),$O$16,0)+IF(AND(X17="E",Y17&gt;0),$O$17,0)+IF(AND(X18="E",Y18&gt;0),$O$18,0)+IF(AND(X19="E",Y19&gt;0),$O$19,0)+IF(AND(X20="E",Y20&gt;0),$O$20,0)+IF(AND(X21="E",Y21&gt;0),$O$21,0)+IF(AND(X22="E",Y22&gt;0),$O$22,0)+IF(AND(X23="E",Y23&gt;0),$O$23,0)+IF(AND(X24="E",Y24&gt;0),$O$24,0)+IF(AND(X25="E",Y25&gt;0),$O$25,0)+IF(AND(X26="E",Y26&gt;0),$O$26,0)+IF(AND(X27="E",Y27&gt;0),$O$27,0)+IF(AND(X28="E",Y28&gt;0),$O$28,0)+IF(AND(X29="E",Y29&gt;0),$O$29,0)</f>
        <v>0</v>
      </c>
      <c r="Z31" s="619"/>
      <c r="AA31" s="266">
        <f>IF(AND(Z11="E",AA11&gt;0),$O$11,0)+IF(AND(Z12="E",AA12&gt;0),$O$12,0)+IF(AND(Z13="E",AA13&gt;0),$O$13,0)+IF(AND(Z14="E",AA14&gt;0),$O$14,0)+IF(AND(Z15="E",AA15&gt;0),$O$15,0)+IF(AND(Z16="E",AA16&gt;0),$O$16,0)+IF(AND(Z17="E",AA17&gt;0),$O$17,0)+IF(AND(Z18="E",AA18&gt;0),$O$18,0)+IF(AND(Z19="E",AA19&gt;0),$O$19,0)+IF(AND(Z20="E",AA20&gt;0),$O$20,0)+IF(AND(Z21="E",AA21&gt;0),$O$21,0)+IF(AND(Z22="E",AA22&gt;0),$O$22,0)+IF(AND(Z23="E",AA23&gt;0),$O$23,0)+IF(AND(Z24="E",AA24&gt;0),$O$24,0)+IF(AND(Z25="E",AA25&gt;0),$O$25,0)+IF(AND(Z26="E",AA26&gt;0),$O$26,0)+IF(AND(Z27="E",AA27&gt;0),$O$27,0)+IF(AND(Z28="E",AA28&gt;0),$O$28,0)+IF(AND(Z29="E",AA29&gt;0),$O$29,0)</f>
        <v>0</v>
      </c>
      <c r="AB31" s="266"/>
      <c r="AC31" s="266"/>
      <c r="AE31" s="619"/>
      <c r="AF31" s="619"/>
      <c r="AG31" s="266">
        <f>IF(AND(AF11="E",AG11&gt;0),$AC$11,0)+IF(AND(AF12="E",AG12&gt;0),$AC$12,0)+IF(AND(AF13="E",AG13&gt;0),$AC$13,0)+IF(AND(AF14="E",AG14&gt;0),$AC$14,0)+IF(AND(AF15="E",AG15&gt;0),$AC$15,0)+IF(AND(AF16="E",AG16&gt;0),$AC$16,0)+IF(AND(AF17="E",AG17&gt;0),$AC$17,0)+IF(AND(AF18="E",AG18&gt;0),$AC$18,0)+IF(AND(AF19="E",AG19&gt;0),$AC$19,0)+IF(AND(AF20="E",AG20&gt;0),$AC$20,0)+IF(AND(AF21="E",AG21&gt;0),$AC$21,0)+IF(AND(AF22="E",AG22&gt;0),$AC$22,0)+IF(AND(AF23="E",AG23&gt;0),$AC$23,0)+IF(AND(AF24="E",AG24&gt;0),$AC$24,0)+IF(AND(AF25="E",AG25&gt;0),$AC$25,0)+IF(AND(AF26="E",AG26&gt;0),$AC$26,0)+IF(AND(AF27="E",AG27&gt;0),$AC$27,0)+IF(AND(AF28="E",AG28&gt;0),$AC$28,0)+IF(AND(AF29="E",AG29&gt;0),$AC$29,0)</f>
        <v>0</v>
      </c>
      <c r="AH31" s="619"/>
      <c r="AI31" s="266">
        <f>IF(AND(AH11="E",AI11&gt;0),$AC$11,0)+IF(AND(AH12="E",AI12&gt;0),$AC$12,0)+IF(AND(AH13="E",AI13&gt;0),$AC$13,0)+IF(AND(AH14="E",AI14&gt;0),$AC$14,0)+IF(AND(AH15="E",AI15&gt;0),$AC$15,0)+IF(AND(AH16="E",AI16&gt;0),$AC$16,0)+IF(AND(AH17="E",AI17&gt;0),$AC$17,0)+IF(AND(AH18="E",AI18&gt;0),$AC$18,0)+IF(AND(AH19="E",AI19&gt;0),$AC$19,0)+IF(AND(AH20="E",AI20&gt;0),$AC$20,0)+IF(AND(AH21="E",AI21&gt;0),$AC$21,0)+IF(AND(AH22="E",AI22&gt;0),$AC$22,0)+IF(AND(AH23="E",AI23&gt;0),$AC$23,0)+IF(AND(AH24="E",AI24&gt;0),$AC$24,0)+IF(AND(AH25="E",AI25&gt;0),$AC$25,0)+IF(AND(AH26="E",AI26&gt;0),$AC$26,0)+IF(AND(AH27="E",AI27&gt;0),$AC$27,0)+IF(AND(AH28="E",AI28&gt;0),$AC$28,0)+IF(AND(AH29="E",AI29&gt;0),$AC$29,0)</f>
        <v>0</v>
      </c>
      <c r="AJ31" s="266"/>
      <c r="AK31" s="266">
        <f>IF(AND(AJ11="E",AK11&gt;0),$AC$11,0)+IF(AND(AJ12="E",AK12&gt;0),$AC$12,0)+IF(AND(AJ13="E",AK13&gt;0),$AC$13,0)+IF(AND(AJ14="E",AK14&gt;0),$AC$14,0)+IF(AND(AJ15="E",AK15&gt;0),$AC$15,0)+IF(AND(AJ16="E",AK16&gt;0),$AC$16,0)+IF(AND(AJ17="E",AK17&gt;0),$AC$17,0)+IF(AND(AJ18="E",AK18&gt;0),$AC$18,0)+IF(AND(AJ19="E",AK19&gt;0),$AC$19,0)+IF(AND(AJ20="E",AK20&gt;0),$AC$20,0)+IF(AND(AJ21="E",AK21&gt;0),$AC$21,0)+IF(AND(AJ22="E",AK22&gt;0),$AC$22,0)+IF(AND(AJ23="E",AK23&gt;0),$AC$23,0)+IF(AND(AJ24="E",AK24&gt;0),$AC$24,0)+IF(AND(AJ25="E",AK25&gt;0),$AC$25,0)+IF(AND(AJ26="E",AK26&gt;0),$AC$26,0)+IF(AND(AJ27="E",AK27&gt;0),$AC$27,0)+IF(AND(AJ28="E",AK28&gt;0),$AC$28,0)+IF(AND(AJ29="E",AK29&gt;0),$AC$29,0)</f>
        <v>0</v>
      </c>
      <c r="AL31" s="266"/>
      <c r="AM31" s="266">
        <f>IF(AND(AL11="E",AM11&gt;0),$AC$11,0)+IF(AND(AL12="E",AM12&gt;0),$AC$12,0)+IF(AND(AL13="E",AM13&gt;0),$AC$13,0)+IF(AND(AL14="E",AM14&gt;0),$AC$14,0)+IF(AND(AL15="E",AM15&gt;0),$AC$15,0)+IF(AND(AL16="E",AM16&gt;0),$AC$16,0)+IF(AND(AL17="E",AM17&gt;0),$AC$17,0)+IF(AND(AL18="E",AM18&gt;0),$AC$18,0)+IF(AND(AL19="E",AM19&gt;0),$AC$19,0)+IF(AND(AL20="E",AM20&gt;0),$AC$20,0)+IF(AND(AL21="E",AM21&gt;0),$AC$21,0)+IF(AND(AL22="E",AM22&gt;0),$AC$22,0)+IF(AND(AL23="E",AM23&gt;0),$AC$23,0)+IF(AND(AL24="E",AM24&gt;0),$AC$24,0)+IF(AND(AL25="E",AM25&gt;0),$AC$25,0)+IF(AND(AL26="E",AM26&gt;0),$AC$26,0)+IF(AND(AL27="E",AM27&gt;0),$AC$27,0)+IF(AND(AL28="E",AM28&gt;0),$AC$28,0)+IF(AND(AL29="E",AM29&gt;0),$AC$29,0)</f>
        <v>0</v>
      </c>
      <c r="AO31" s="266">
        <f>IF(AND(AN11="E",AO11&gt;0),$AC$11,0)+IF(AND(AN12="E",AO12&gt;0),$AC$12,0)+IF(AND(AN13="E",AO13&gt;0),$AC$13,0)+IF(AND(AN14="E",AO14&gt;0),$AC$14,0)+IF(AND(AN15="E",AO15&gt;0),$AC$15,0)+IF(AND(AN16="E",AO16&gt;0),$AC$16,0)+IF(AND(AN17="E",AO17&gt;0),$AC$17,0)+IF(AND(AN18="E",AO18&gt;0),$AC$18,0)+IF(AND(AN19="E",AO19&gt;0),$AC$19,0)+IF(AND(AN20="E",AO20&gt;0),$AC$20,0)+IF(AND(AN21="E",AO21&gt;0),$AC$21,0)+IF(AND(AN22="E",AO22&gt;0),$AC$22,0)+IF(AND(AN23="E",AO23&gt;0),$AC$23,0)+IF(AND(AN24="E",AO24&gt;0),$AC$24,0)+IF(AND(AN25="E",AO25&gt;0),$AC$25,0)+IF(AND(AN26="E",AO26&gt;0),$AC$26,0)+IF(AND(AN27="E",AO27&gt;0),$AC$27,0)+IF(AND(AN28="E",AO28&gt;0),$AC$28,0)+IF(AND(AN29="E",AO29&gt;0),$AC$29,0)</f>
        <v>0</v>
      </c>
      <c r="AU31" s="266">
        <f>IF(AND(AT11="E",AU11&gt;0),$AQ$11,0)+IF(AND(AT12="E",AU12&gt;0),$AQ$12,0)+IF(AND(AT13="E",AU13&gt;0),$AQ$13,0)+IF(AND(AT14="E",AU14&gt;0),$AQ$14,0)+IF(AND(AT15="E",AU15&gt;0),$AQ$15,0)+IF(AND(AT16="E",AU16&gt;0),$AQ$16,0)+IF(AND(AT17="E",AU17&gt;0),$AQ$17,0)+IF(AND(AT18="E",AU18&gt;0),$AQ$18,0)+IF(AND(AT19="E",AU19&gt;0),$AQ$19,0)+IF(AND(AT20="E",AU20&gt;0),$AQ$20,0)+IF(AND(AT21="E",AU21&gt;0),$AQ$21,0)+IF(AND(AT22="E",AU22&gt;0),$AQ$22,0)+IF(AND(AT23="E",AU23&gt;0),$AQ$23,0)+IF(AND(AT24="E",AU24&gt;0),$AQ$24,0)+IF(AND(AT25="E",AU25&gt;0),$AQ$25,0)+IF(AND(AT26="E",AU26&gt;0),$AQ$26,0)+IF(AND(AT27="E",AU27&gt;0),$AQ$27,0)+IF(AND(AT28="E",AU28&gt;0),$AQ$28,0)+IF(AND(AT29="E",AU29&gt;0),$AQ$29,0)</f>
        <v>0</v>
      </c>
      <c r="AW31" s="266">
        <f>IF(AND(AV11="E",AW11&gt;0),$AQ$11,0)+IF(AND(AV12="E",AW12&gt;0),$AQ$12,0)+IF(AND(AV13="E",AW13&gt;0),$AQ$13,0)+IF(AND(AV14="E",AW14&gt;0),$AQ$14,0)+IF(AND(AV15="E",AW15&gt;0),$AQ$15,0)+IF(AND(AV16="E",AW16&gt;0),$AQ$16,0)+IF(AND(AV17="E",AW17&gt;0),$AQ$17,0)+IF(AND(AV18="E",AW18&gt;0),$AQ$18,0)+IF(AND(AV19="E",AW19&gt;0),$AQ$19,0)+IF(AND(AV20="E",AW20&gt;0),$AQ$20,0)+IF(AND(AV21="E",AW21&gt;0),$AQ$21,0)+IF(AND(AV22="E",AW22&gt;0),$AQ$22,0)+IF(AND(AV23="E",AW23&gt;0),$AQ$23,0)+IF(AND(AV24="E",AW24&gt;0),$AQ$24,0)+IF(AND(AV25="E",AW25&gt;0),$AQ$25,0)+IF(AND(AV26="E",AW26&gt;0),$AQ$26,0)+IF(AND(AV27="E",AW27&gt;0),$AQ$27,0)+IF(AND(AV28="E",AW28&gt;0),$AQ$28,0)+IF(AND(AV29="E",AW29&gt;0),$AQ$29,0)</f>
        <v>0</v>
      </c>
      <c r="AY31" s="266">
        <f>IF(AND(AX11="E",AY11&gt;0),$AQ$11,0)+IF(AND(AX12="E",AY12&gt;0),$AQ$12,0)+IF(AND(AX13="E",AY13&gt;0),$AQ$13,0)+IF(AND(AX14="E",AY14&gt;0),$AQ$14,0)+IF(AND(AX15="E",AY15&gt;0),$AQ$15,0)+IF(AND(AX16="E",AY16&gt;0),$AQ$16,0)+IF(AND(AX17="E",AY17&gt;0),$AQ$17,0)+IF(AND(AX18="E",AY18&gt;0),$AQ$18,0)+IF(AND(AX19="E",AY19&gt;0),$AQ$19,0)+IF(AND(AX20="E",AY20&gt;0),$AQ$20,0)+IF(AND(AX21="E",AY21&gt;0),$AQ$21,0)+IF(AND(AX22="E",AY22&gt;0),$AQ$22,0)+IF(AND(AX23="E",AY23&gt;0),$AQ$23,0)+IF(AND(AX24="E",AY24&gt;0),$AQ$24,0)+IF(AND(AX25="E",AY25&gt;0),$AQ$25,0)+IF(AND(AX26="E",AY26&gt;0),$AQ$26,0)+IF(AND(AX27="E",AY27&gt;0),$AQ$27,0)+IF(AND(AX28="E",AY28&gt;0),$AQ$28,0)+IF(AND(AX29="E",AY29&gt;0),$AQ$29,0)</f>
        <v>0</v>
      </c>
      <c r="BA31" s="266">
        <f>IF(AND(AZ11="E",BA11&gt;0),$AQ$11,0)+IF(AND(AZ12="E",BA12&gt;0),$AQ$12,0)+IF(AND(AZ13="E",BA13&gt;0),$AQ$13,0)+IF(AND(AZ14="E",BA14&gt;0),$AQ$14,0)+IF(AND(AZ15="E",BA15&gt;0),$AQ$15,0)+IF(AND(AZ16="E",BA16&gt;0),$AQ$16,0)+IF(AND(AZ17="E",BA17&gt;0),$AQ$17,0)+IF(AND(AZ18="E",BA18&gt;0),$AQ$18,0)+IF(AND(AZ19="E",BA19&gt;0),$AQ$19,0)+IF(AND(AZ20="E",BA20&gt;0),$AQ$20,0)+IF(AND(AZ21="E",BA21&gt;0),$AQ$21,0)+IF(AND(AZ22="E",BA22&gt;0),$AQ$22,0)+IF(AND(AZ23="E",BA23&gt;0),$AQ$23,0)+IF(AND(AZ24="E",BA24&gt;0),$AQ$24,0)+IF(AND(AZ25="E",BA25&gt;0),$AQ$25,0)+IF(AND(AZ26="E",BA26&gt;0),$AQ$26,0)+IF(AND(AZ27="E",BA27&gt;0),$AQ$27,0)+IF(AND(AZ28="E",BA28&gt;0),$AQ$28,0)+IF(AND(AZ29="E",BA29&gt;0),$AQ$29,0)</f>
        <v>0</v>
      </c>
      <c r="BC31" s="266">
        <f>IF(AND(BB11="E",BC11&gt;0),$AQ$11,0)+IF(AND(BB12="E",BC12&gt;0),$AQ$12,0)+IF(AND(BB13="E",BC13&gt;0),$AQ$13,0)+IF(AND(BB14="E",BC14&gt;0),$AQ$14,0)+IF(AND(BB15="E",BC15&gt;0),$AQ$15,0)+IF(AND(BB16="E",BC16&gt;0),$AQ$16,0)+IF(AND(BB17="E",BC17&gt;0),$AQ$17,0)+IF(AND(BB18="E",BC18&gt;0),$AQ$18,0)+IF(AND(BB19="E",BC19&gt;0),$AQ$19,0)+IF(AND(BB20="E",BC20&gt;0),$AQ$20,0)+IF(AND(BB21="E",BC21&gt;0),$AQ$21,0)+IF(AND(BB22="E",BC22&gt;0),$AQ$22,0)+IF(AND(BB23="E",BC23&gt;0),$AQ$23,0)+IF(AND(BB24="E",BC24&gt;0),$AQ$24,0)+IF(AND(BB25="E",BC25&gt;0),$AQ$25,0)+IF(AND(BB26="E",BC26&gt;0),$AQ$26,0)+IF(AND(BB27="E",BC27&gt;0),$AQ$27,0)+IF(AND(BB28="E",BC28&gt;0),$AQ$28,0)+IF(AND(BB29="E",BC29&gt;0),$AQ$29,0)</f>
        <v>0</v>
      </c>
    </row>
    <row r="32" spans="1:56" ht="33" hidden="1" customHeight="1">
      <c r="A32" s="830" t="str">
        <f>"Antal ugedage der læses "&amp;A5&amp;":"</f>
        <v>Antal ugedage der læses Skema 1 vedr. :</v>
      </c>
      <c r="B32" s="831"/>
      <c r="C32" s="831"/>
      <c r="D32" s="831"/>
      <c r="E32" s="218">
        <f>August!$G$64+September!$G$63+Oktober!$G$64+November!$G$63+December!$G$64+Januar!$G$64+Februar!$G$62+Marts!$G$64+April!$G$63+Maj!$G$64+Juni!$G$63+Juli!$G$64</f>
        <v>39</v>
      </c>
      <c r="F32" s="218"/>
      <c r="G32" s="218">
        <f>August!$G$65+September!$G$64+Oktober!$G$65+November!$G$64+December!$G$65+Januar!$G$65+Februar!$G$63+Marts!$G$65+April!$G$64+Maj!$G$65+Juni!$G$64+Juli!$G$65</f>
        <v>41</v>
      </c>
      <c r="H32" s="218"/>
      <c r="I32" s="218">
        <f>August!$G$66+September!$G$65+Oktober!$G$66+November!$G$65+December!$G$66+Januar!$G$66+Februar!$G$64+Marts!$G$66+April!$G$65+Maj!$G$66+Juni!$G$65+Juli!$G$66</f>
        <v>41</v>
      </c>
      <c r="K32" s="219">
        <f>August!$G$67+September!$G$66+Oktober!$G$67+November!$G$66+December!$G$67+Januar!$G$67+Februar!$G$65+Marts!$G$67+April!$G$66+Maj!$G$67+Juni!$G$66+Juli!$G$67</f>
        <v>39</v>
      </c>
      <c r="L32" s="220"/>
      <c r="M32" s="630">
        <f>August!$G$68+September!$G$67+Oktober!$G$68+November!$G$67+December!$G$68+Januar!$G$68+Februar!$G$66+Marts!$G$68+April!$G$67+Maj!$G$68+Juni!$G$67+Juli!$G$68</f>
        <v>40</v>
      </c>
      <c r="N32" s="221"/>
      <c r="O32" s="218"/>
      <c r="P32" s="218"/>
      <c r="Q32" s="218"/>
      <c r="R32" s="218"/>
      <c r="S32" s="218">
        <f>August!$G$70+September!$G$69+Oktober!$G$70+November!$G$69+December!$G$70+Januar!$G$70+Februar!$G$68+Marts!$G$70+April!$G$69+Maj!$G$70+Juni!$G$69+Juli!$G$70</f>
        <v>0</v>
      </c>
      <c r="U32" s="219">
        <f>August!$G$71+September!$G$70+Oktober!$G$71+November!$G$70+December!$G$71+Januar!$G$71+Februar!$G$69+Marts!$G$71+April!$G$70+Maj!$G$71+Juni!$G$70+Juli!$G$71</f>
        <v>0</v>
      </c>
      <c r="V32" s="220"/>
      <c r="W32" s="221">
        <f>August!$G$72+September!$G$71+Oktober!$G$72+November!$G$71+December!$G$72+Januar!$G$72+Februar!$G$70+Marts!$G$72+April!$G$71+Maj!$G$72+Juni!$G$71+Juli!$G$72</f>
        <v>0</v>
      </c>
      <c r="X32" s="221"/>
      <c r="Y32" s="218">
        <f>August!$G$73+September!$G$72+Oktober!$G$73+November!$G$72+December!$G$73+Januar!$G$73+Februar!$G$71+Marts!$G$73+April!$G$72+Maj!$G$73+Juni!$G$72+Juli!$G$73</f>
        <v>0</v>
      </c>
      <c r="Z32" s="218"/>
      <c r="AA32" s="218">
        <f>August!$G$74+September!$G$73+Oktober!$G$74+November!$G$73+December!$G$74+Januar!$G$74+Februar!$G$72+Marts!$G$74+April!$G$73+Maj!$G$74+Juni!$G$73+Juli!$G$74</f>
        <v>0</v>
      </c>
      <c r="AB32" s="218"/>
      <c r="AC32" s="218"/>
      <c r="AE32" s="219"/>
      <c r="AF32" s="220"/>
      <c r="AG32" s="221">
        <f>August!$G$76+September!$G$75+Oktober!$G$76+November!$G$75+December!$G$76+Januar!$G$76+Februar!$G$74+Marts!$G$76+April!$G$75+Maj!$G$76+Juni!$G$75+Juli!$G$76</f>
        <v>0</v>
      </c>
      <c r="AH32" s="221"/>
      <c r="AI32" s="218">
        <f>August!$G$77+September!$G$76+Oktober!$G$77+November!$G$76+December!$G$77+Januar!$G$77+Februar!$G$75+Marts!$G$77+April!$G$76+Maj!$G$77+Juni!$G$76+Juli!$G$77</f>
        <v>0</v>
      </c>
      <c r="AJ32" s="218"/>
      <c r="AK32" s="218">
        <f>August!$G$78+September!$G$77+Oktober!$G$78+November!$G$77+December!$G$78+Januar!$G$78+Februar!$G$76+Marts!$G$78+April!$G$77+Maj!$G$78+Juni!$G$77+Juli!$G$78</f>
        <v>0</v>
      </c>
      <c r="AL32" s="218"/>
      <c r="AM32" s="218">
        <f>August!$G$79+September!$G$78+Oktober!$G$79+November!$G$78+December!$G$79+Januar!$G$79+Februar!$G$77+Marts!$G$79+April!$G$78+Maj!$G$79+Juni!$G$78+Juli!$G$79</f>
        <v>0</v>
      </c>
      <c r="AO32">
        <f>August!$G$80+September!$G$79+Oktober!$G$80+November!$G$79+December!$G$80+Januar!$G$80+Februar!$G$78+Marts!$G$80+April!$G$79+Maj!$G$80+Juni!$G$79+Juli!$G$80</f>
        <v>0</v>
      </c>
      <c r="AU32">
        <f>August!$G$82+September!$G$81+Oktober!$G$82+November!$G$81+December!$G$82+Januar!$G$82+Februar!$G$80+Marts!$G$82+April!$G$81+Maj!$G$82+Juni!$G$81+Juli!$G$82</f>
        <v>0</v>
      </c>
      <c r="AW32">
        <f>August!$G$83+September!$G$82+Oktober!$G$83+November!$G$82+December!$G$83+Januar!$G$83+Februar!$G$81+Marts!$G$83+April!$G$82+Maj!$G$83+Juni!$G$82+Juli!$G$83</f>
        <v>0</v>
      </c>
      <c r="AY32">
        <f>August!$G$84+September!$G$83+Oktober!$G$84+November!$G$83+December!$G$84+Januar!$G$84+Februar!$G$82+Marts!$G$84+April!$G$83+Maj!$G$84+Juni!$G$83+Juli!$G$84</f>
        <v>0</v>
      </c>
      <c r="BA32">
        <f>August!$G$85+September!$G$84+Oktober!$G$85+November!$G$84+December!$G$85+Januar!$G$85+Februar!$G$83+Marts!$G$85+April!$G$84+Maj!$G$85+Juni!$G$84+Juli!$G$85</f>
        <v>0</v>
      </c>
      <c r="BC32">
        <f>August!$G$86+September!$G$85+Oktober!$G$86+November!$G$85+December!$G$86+Januar!$G$86+Februar!$G$84+Marts!$G$86+April!$G$85+Maj!$G$86+Juni!$G$85+Juli!$G$86</f>
        <v>0</v>
      </c>
      <c r="BD32">
        <f>SUM(E32:BC32)</f>
        <v>200</v>
      </c>
    </row>
    <row r="33" spans="1:56" hidden="1">
      <c r="E33" t="s">
        <v>243</v>
      </c>
    </row>
    <row r="34" spans="1:56" hidden="1">
      <c r="A34" t="s">
        <v>242</v>
      </c>
      <c r="I34" t="s">
        <v>298</v>
      </c>
    </row>
    <row r="35" spans="1:56" hidden="1">
      <c r="E35" t="s">
        <v>34</v>
      </c>
    </row>
    <row r="36" spans="1:56" hidden="1">
      <c r="E36" s="1">
        <f>E30*24</f>
        <v>0</v>
      </c>
      <c r="F36" s="1"/>
      <c r="G36" s="1">
        <f>G30*24</f>
        <v>0</v>
      </c>
      <c r="H36" s="1"/>
      <c r="I36" s="1">
        <f>I30*24</f>
        <v>0</v>
      </c>
      <c r="J36" s="1"/>
      <c r="K36" s="1">
        <f>K30*24</f>
        <v>0</v>
      </c>
      <c r="L36" s="1"/>
      <c r="M36" s="1">
        <f>M30*24</f>
        <v>0</v>
      </c>
      <c r="N36" s="1"/>
      <c r="O36" s="1"/>
      <c r="P36" s="1"/>
      <c r="Q36" s="1"/>
      <c r="R36" s="1"/>
      <c r="S36" s="1">
        <f>S30*24</f>
        <v>0</v>
      </c>
      <c r="T36" s="1"/>
      <c r="U36" s="1">
        <f>U30*24</f>
        <v>0</v>
      </c>
      <c r="V36" s="1"/>
      <c r="W36" s="1">
        <f>W30*24</f>
        <v>0</v>
      </c>
      <c r="X36" s="1"/>
      <c r="Y36" s="1">
        <f>Y30*24</f>
        <v>0</v>
      </c>
      <c r="Z36" s="1"/>
      <c r="AA36" s="1">
        <f>AA30*24</f>
        <v>0</v>
      </c>
      <c r="AB36" s="1"/>
      <c r="AC36" s="1"/>
      <c r="AD36" s="1"/>
      <c r="AE36" s="1"/>
      <c r="AF36" s="1"/>
      <c r="AG36" s="1">
        <f>AG30*24</f>
        <v>0</v>
      </c>
      <c r="AH36" s="1"/>
      <c r="AI36" s="1">
        <f>AI30*24</f>
        <v>0</v>
      </c>
      <c r="AJ36" s="1"/>
      <c r="AK36" s="1">
        <f>AK30*24</f>
        <v>0</v>
      </c>
      <c r="AL36" s="1"/>
      <c r="AM36" s="1">
        <f>AM30*24</f>
        <v>0</v>
      </c>
      <c r="AN36" s="1"/>
      <c r="AO36" s="1">
        <f>AO30*24</f>
        <v>0</v>
      </c>
      <c r="AP36" s="1"/>
      <c r="AQ36" s="1"/>
      <c r="AR36" s="1"/>
      <c r="AS36" s="1"/>
      <c r="AT36" s="1"/>
      <c r="AU36" s="1">
        <f t="shared" ref="AU36:BA36" si="8">AU30*24</f>
        <v>0</v>
      </c>
      <c r="AV36" s="1"/>
      <c r="AW36" s="1">
        <f t="shared" si="8"/>
        <v>0</v>
      </c>
      <c r="AX36" s="1"/>
      <c r="AY36" s="1">
        <f t="shared" si="8"/>
        <v>0</v>
      </c>
      <c r="AZ36" s="1"/>
      <c r="BA36" s="1">
        <f t="shared" si="8"/>
        <v>0</v>
      </c>
      <c r="BB36" s="1"/>
      <c r="BC36" s="1">
        <f>BC30*24</f>
        <v>0</v>
      </c>
    </row>
    <row r="37" spans="1:56" hidden="1">
      <c r="A37" t="s">
        <v>247</v>
      </c>
      <c r="E37" s="1">
        <f>E36*E32</f>
        <v>0</v>
      </c>
      <c r="F37" s="1"/>
      <c r="G37" s="1">
        <f>G36*G32</f>
        <v>0</v>
      </c>
      <c r="H37" s="1"/>
      <c r="I37" s="1">
        <f>I36*I32</f>
        <v>0</v>
      </c>
      <c r="J37" s="1"/>
      <c r="K37" s="1">
        <f>K36*K32</f>
        <v>0</v>
      </c>
      <c r="L37" s="1"/>
      <c r="M37" s="1">
        <f>M36*M32</f>
        <v>0</v>
      </c>
      <c r="N37" s="1"/>
      <c r="O37" s="1"/>
      <c r="P37" s="1"/>
      <c r="Q37" s="1"/>
      <c r="R37" s="1"/>
      <c r="S37" s="1">
        <f>S36*S32</f>
        <v>0</v>
      </c>
      <c r="T37" s="1"/>
      <c r="U37" s="1">
        <f>U36*U32</f>
        <v>0</v>
      </c>
      <c r="V37" s="1"/>
      <c r="W37" s="1">
        <f>W36*W32</f>
        <v>0</v>
      </c>
      <c r="X37" s="1"/>
      <c r="Y37" s="1">
        <f>Y36*Y32</f>
        <v>0</v>
      </c>
      <c r="Z37" s="1"/>
      <c r="AA37" s="1">
        <f>AA36*AA32</f>
        <v>0</v>
      </c>
      <c r="AB37" s="1"/>
      <c r="AC37" s="1"/>
      <c r="AD37" s="1"/>
      <c r="AE37" s="1"/>
      <c r="AF37" s="1"/>
      <c r="AG37" s="1">
        <f>AG36*AG32</f>
        <v>0</v>
      </c>
      <c r="AH37" s="1"/>
      <c r="AI37" s="1">
        <f>AI36*AI32</f>
        <v>0</v>
      </c>
      <c r="AJ37" s="1"/>
      <c r="AK37" s="1">
        <f>AK36*AK32</f>
        <v>0</v>
      </c>
      <c r="AL37" s="1"/>
      <c r="AM37" s="1">
        <f>AM36*AM32</f>
        <v>0</v>
      </c>
      <c r="AN37" s="1"/>
      <c r="AO37" s="1">
        <f>AO36*AO32</f>
        <v>0</v>
      </c>
      <c r="AP37" s="1"/>
      <c r="AQ37" s="1"/>
      <c r="AR37" s="1"/>
      <c r="AS37" s="1"/>
      <c r="AT37" s="1"/>
      <c r="AU37" s="1">
        <f>AU36*AU32</f>
        <v>0</v>
      </c>
      <c r="AV37" s="1"/>
      <c r="AW37" s="1">
        <f>AW36*AW32</f>
        <v>0</v>
      </c>
      <c r="AX37" s="1"/>
      <c r="AY37" s="1">
        <f>AY36*AY32</f>
        <v>0</v>
      </c>
      <c r="AZ37" s="1"/>
      <c r="BA37" s="1">
        <f>BA36*BA32</f>
        <v>0</v>
      </c>
      <c r="BB37" s="1"/>
      <c r="BC37" s="1">
        <f>BC36*BC32</f>
        <v>0</v>
      </c>
      <c r="BD37" s="1">
        <f>SUM(E37:BC37)</f>
        <v>0</v>
      </c>
    </row>
    <row r="38" spans="1:56" hidden="1">
      <c r="AN38" s="1"/>
    </row>
    <row r="39" spans="1:56" hidden="1">
      <c r="A39" t="s">
        <v>250</v>
      </c>
      <c r="E39" s="1">
        <f>E31*24</f>
        <v>0</v>
      </c>
      <c r="F39" s="1"/>
      <c r="G39" s="1">
        <f>G31*24</f>
        <v>0</v>
      </c>
      <c r="H39" s="1"/>
      <c r="I39" s="1">
        <f>I31*24</f>
        <v>0</v>
      </c>
      <c r="J39" s="1"/>
      <c r="K39" s="1">
        <f>K31*24</f>
        <v>0</v>
      </c>
      <c r="L39" s="1"/>
      <c r="M39" s="1">
        <f>M31*24</f>
        <v>0</v>
      </c>
      <c r="N39" s="1"/>
      <c r="O39" s="1"/>
      <c r="P39" s="1"/>
      <c r="Q39" s="1"/>
      <c r="R39" s="1"/>
      <c r="S39" s="1">
        <f>S31*24</f>
        <v>0</v>
      </c>
      <c r="T39" s="1"/>
      <c r="U39" s="1">
        <f t="shared" ref="U39:AA39" si="9">U31*24</f>
        <v>0</v>
      </c>
      <c r="V39" s="1"/>
      <c r="W39" s="1">
        <f t="shared" si="9"/>
        <v>0</v>
      </c>
      <c r="X39" s="1"/>
      <c r="Y39" s="1">
        <f t="shared" si="9"/>
        <v>0</v>
      </c>
      <c r="Z39" s="1"/>
      <c r="AA39" s="1">
        <f t="shared" si="9"/>
        <v>0</v>
      </c>
      <c r="AB39" s="1"/>
      <c r="AC39" s="1"/>
      <c r="AD39" s="1"/>
      <c r="AE39" s="1"/>
      <c r="AF39" s="1"/>
      <c r="AG39" s="1">
        <f>AG31*24</f>
        <v>0</v>
      </c>
      <c r="AH39" s="1"/>
      <c r="AI39" s="1">
        <f>AI31*24</f>
        <v>0</v>
      </c>
      <c r="AJ39" s="1"/>
      <c r="AK39" s="1">
        <f>AK31*24</f>
        <v>0</v>
      </c>
      <c r="AL39" s="1"/>
      <c r="AM39" s="1">
        <f>AM31*24</f>
        <v>0</v>
      </c>
      <c r="AN39" s="1"/>
      <c r="AO39" s="1">
        <f>AO31*24</f>
        <v>0</v>
      </c>
      <c r="AP39" s="1"/>
      <c r="AQ39" s="1"/>
      <c r="AR39" s="1"/>
      <c r="AS39" s="1"/>
      <c r="AT39" s="1"/>
      <c r="AU39" s="1">
        <f t="shared" ref="AU39:BC39" si="10">AU31*24</f>
        <v>0</v>
      </c>
      <c r="AV39" s="1"/>
      <c r="AW39" s="1">
        <f t="shared" si="10"/>
        <v>0</v>
      </c>
      <c r="AX39" s="1"/>
      <c r="AY39" s="1">
        <f t="shared" si="10"/>
        <v>0</v>
      </c>
      <c r="AZ39" s="1"/>
      <c r="BA39" s="1">
        <f t="shared" si="10"/>
        <v>0</v>
      </c>
      <c r="BB39" s="1"/>
      <c r="BC39" s="1">
        <f t="shared" si="10"/>
        <v>0</v>
      </c>
    </row>
    <row r="40" spans="1:56" hidden="1">
      <c r="E40" s="1">
        <f>E39*E32</f>
        <v>0</v>
      </c>
      <c r="F40" s="1"/>
      <c r="G40" s="1">
        <f>G39*G32</f>
        <v>0</v>
      </c>
      <c r="H40" s="1"/>
      <c r="I40" s="1">
        <f>I39*I32</f>
        <v>0</v>
      </c>
      <c r="J40" s="1"/>
      <c r="K40" s="1">
        <f>K39*K32</f>
        <v>0</v>
      </c>
      <c r="L40" s="1"/>
      <c r="M40" s="1">
        <f>M39*M32</f>
        <v>0</v>
      </c>
      <c r="N40" s="1"/>
      <c r="O40" s="1"/>
      <c r="P40" s="1"/>
      <c r="Q40" s="1"/>
      <c r="R40" s="1"/>
      <c r="S40" s="1">
        <f>S39*S32</f>
        <v>0</v>
      </c>
      <c r="T40" s="1"/>
      <c r="U40" s="1">
        <f>U39*U32</f>
        <v>0</v>
      </c>
      <c r="V40" s="1"/>
      <c r="W40" s="1">
        <f>W39*W32</f>
        <v>0</v>
      </c>
      <c r="X40" s="1"/>
      <c r="Y40" s="1">
        <f>Y39*Y32</f>
        <v>0</v>
      </c>
      <c r="Z40" s="1"/>
      <c r="AA40" s="1">
        <f>AA39*AA32</f>
        <v>0</v>
      </c>
      <c r="AB40" s="1"/>
      <c r="AC40" s="1"/>
      <c r="AD40" s="1"/>
      <c r="AE40" s="1"/>
      <c r="AF40" s="1"/>
      <c r="AG40" s="1">
        <f>AG39*AG32</f>
        <v>0</v>
      </c>
      <c r="AH40" s="1"/>
      <c r="AI40" s="1">
        <f>AI39*AI32</f>
        <v>0</v>
      </c>
      <c r="AJ40" s="1"/>
      <c r="AK40" s="1">
        <f>AK39*AK32</f>
        <v>0</v>
      </c>
      <c r="AL40" s="1"/>
      <c r="AM40" s="1">
        <f>AM39*AM32</f>
        <v>0</v>
      </c>
      <c r="AN40" s="1"/>
      <c r="AO40" s="1">
        <f>AO39*AO32</f>
        <v>0</v>
      </c>
      <c r="AP40" s="1"/>
      <c r="AQ40" s="1"/>
      <c r="AR40" s="1"/>
      <c r="AS40" s="1"/>
      <c r="AT40" s="1"/>
      <c r="AU40" s="1">
        <f>AU39*AU32</f>
        <v>0</v>
      </c>
      <c r="AV40" s="1"/>
      <c r="AW40" s="1">
        <f>AW39*AW32</f>
        <v>0</v>
      </c>
      <c r="AX40" s="1"/>
      <c r="AY40" s="1">
        <f>AY39*AY32</f>
        <v>0</v>
      </c>
      <c r="AZ40" s="1"/>
      <c r="BA40" s="1">
        <f>BA39*BA32</f>
        <v>0</v>
      </c>
      <c r="BB40" s="1"/>
      <c r="BC40" s="1">
        <f>BC39*BC32</f>
        <v>0</v>
      </c>
      <c r="BD40" s="1">
        <f>SUM(E40:BC40)</f>
        <v>0</v>
      </c>
    </row>
    <row r="41" spans="1:56" hidden="1">
      <c r="A41" t="s">
        <v>254</v>
      </c>
      <c r="AN41" s="1">
        <f>August!CB41+August!CC41+September!CB39+September!CC39+Oktober!CB40+Oktober!CC40+November!CB39+November!CC39+December!CB40+December!CC40+Januar!CB40+Januar!CC40+Februar!CB38+Februar!CC38+Marts!CB40+Marts!CC40+April!CB39+April!CC39+Maj!CB40+Maj!CC40+Juni!CB39+Juni!CC39+Juli!CB40+Juli!CC40</f>
        <v>0</v>
      </c>
      <c r="AO41" t="s">
        <v>313</v>
      </c>
      <c r="BD41" s="1">
        <f>August!CB41+September!CB39+Oktober!CB40+November!CB39+December!CB40+Januar!CB40+Februar!CB38+Marts!CB40+April!CB39+Maj!CB40+Juni!CB39+Juli!CB40</f>
        <v>0</v>
      </c>
    </row>
    <row r="42" spans="1:56" ht="17" thickBot="1">
      <c r="AN42" s="1"/>
    </row>
    <row r="43" spans="1:56" ht="45" customHeight="1">
      <c r="A43" s="849" t="s">
        <v>530</v>
      </c>
      <c r="B43" s="850"/>
      <c r="C43" s="850"/>
      <c r="D43" s="850"/>
      <c r="E43" s="850"/>
      <c r="F43" s="850"/>
      <c r="G43" s="850"/>
      <c r="H43" s="850"/>
      <c r="I43" s="851"/>
      <c r="J43" s="391"/>
      <c r="K43" s="370" t="s">
        <v>234</v>
      </c>
      <c r="L43" s="371" t="s">
        <v>236</v>
      </c>
      <c r="M43" s="370" t="s">
        <v>237</v>
      </c>
      <c r="N43" s="371" t="s">
        <v>238</v>
      </c>
      <c r="O43" s="370" t="s">
        <v>282</v>
      </c>
      <c r="P43" s="371" t="s">
        <v>283</v>
      </c>
      <c r="Q43" s="370" t="s">
        <v>284</v>
      </c>
      <c r="R43" s="371" t="s">
        <v>285</v>
      </c>
      <c r="S43" s="370" t="s">
        <v>286</v>
      </c>
      <c r="T43" s="371" t="s">
        <v>287</v>
      </c>
      <c r="U43" s="370" t="s">
        <v>288</v>
      </c>
      <c r="V43" s="371" t="s">
        <v>289</v>
      </c>
    </row>
    <row r="44" spans="1:56" ht="42" customHeight="1" thickBot="1">
      <c r="A44" s="842" t="s">
        <v>529</v>
      </c>
      <c r="B44" s="843"/>
      <c r="C44" s="843"/>
      <c r="D44" s="843"/>
      <c r="E44" s="843"/>
      <c r="F44" s="843"/>
      <c r="G44" s="843"/>
      <c r="H44" s="843"/>
      <c r="I44" s="844"/>
      <c r="J44" s="391"/>
      <c r="K44" s="370"/>
      <c r="L44" s="371"/>
      <c r="M44" s="370"/>
      <c r="N44" s="371"/>
      <c r="O44" s="370"/>
      <c r="P44" s="371"/>
      <c r="Q44" s="370"/>
      <c r="R44" s="371"/>
      <c r="S44" s="370"/>
      <c r="T44" s="371"/>
      <c r="U44" s="370"/>
      <c r="V44" s="371"/>
    </row>
    <row r="45" spans="1:56" ht="44" customHeight="1">
      <c r="A45" s="852" t="s">
        <v>531</v>
      </c>
      <c r="B45" s="853"/>
      <c r="C45" s="853"/>
      <c r="D45" s="853"/>
      <c r="E45" s="853"/>
      <c r="F45" s="854"/>
      <c r="G45" s="848" t="s">
        <v>233</v>
      </c>
      <c r="H45" s="848"/>
      <c r="I45" s="599" t="s">
        <v>235</v>
      </c>
      <c r="J45" s="391"/>
      <c r="K45" s="370"/>
      <c r="L45" s="371"/>
      <c r="M45" s="370"/>
      <c r="N45" s="371"/>
      <c r="O45" s="370"/>
      <c r="P45" s="371"/>
      <c r="Q45" s="370"/>
      <c r="R45" s="371"/>
      <c r="S45" s="370"/>
      <c r="T45" s="371"/>
      <c r="U45" s="370"/>
      <c r="V45" s="371"/>
    </row>
    <row r="46" spans="1:56" ht="16" customHeight="1">
      <c r="A46" s="838"/>
      <c r="B46" s="839"/>
      <c r="C46" s="839"/>
      <c r="D46" s="839"/>
      <c r="E46" s="839"/>
      <c r="F46" s="835"/>
      <c r="G46" s="834"/>
      <c r="H46" s="835"/>
      <c r="I46" s="368"/>
      <c r="J46" s="391"/>
      <c r="K46" s="370">
        <f>IF(G46="August",I46,0)</f>
        <v>0</v>
      </c>
      <c r="L46" s="370">
        <f>IF(G46="September",I46,0)</f>
        <v>0</v>
      </c>
      <c r="M46" s="370">
        <f>IF(G46="Oktober",I46,0)</f>
        <v>0</v>
      </c>
      <c r="N46" s="370">
        <f>IF(G46="November",I46,0)</f>
        <v>0</v>
      </c>
      <c r="O46" s="370">
        <f>IF(G46="December",I46,0)</f>
        <v>0</v>
      </c>
      <c r="P46" s="370">
        <f>IF(G46="Januar",I46,0)</f>
        <v>0</v>
      </c>
      <c r="Q46" s="370">
        <f>IF(G46="Februar",I46,0)</f>
        <v>0</v>
      </c>
      <c r="R46" s="370">
        <f>IF(G46="Marts",I46,0)</f>
        <v>0</v>
      </c>
      <c r="S46" s="370">
        <f>IF(G46="April",I46,0)</f>
        <v>0</v>
      </c>
      <c r="T46" s="370">
        <f>IF(G46="Maj",I46,0)</f>
        <v>0</v>
      </c>
      <c r="U46" s="370">
        <f>IF(G46="Juni",I46,0)</f>
        <v>0</v>
      </c>
      <c r="V46" s="370">
        <f>IF(G46="Juli",I46,0)</f>
        <v>0</v>
      </c>
    </row>
    <row r="47" spans="1:56">
      <c r="A47" s="838"/>
      <c r="B47" s="839"/>
      <c r="C47" s="839"/>
      <c r="D47" s="839"/>
      <c r="E47" s="839"/>
      <c r="F47" s="835"/>
      <c r="G47" s="834"/>
      <c r="H47" s="835"/>
      <c r="I47" s="368"/>
      <c r="J47" s="391"/>
      <c r="K47" s="370">
        <f t="shared" ref="K47:K90" si="11">IF(G47="August",I47,0)</f>
        <v>0</v>
      </c>
      <c r="L47" s="370">
        <f t="shared" ref="L47:L90" si="12">IF(G47="September",I47,0)</f>
        <v>0</v>
      </c>
      <c r="M47" s="370">
        <f t="shared" ref="M47:M90" si="13">IF(G47="Oktober",I47,0)</f>
        <v>0</v>
      </c>
      <c r="N47" s="370">
        <f t="shared" ref="N47:N90" si="14">IF(G47="November",I47,0)</f>
        <v>0</v>
      </c>
      <c r="O47" s="370">
        <f t="shared" ref="O47:O90" si="15">IF(G47="December",I47,0)</f>
        <v>0</v>
      </c>
      <c r="P47" s="370">
        <f t="shared" ref="P47:P90" si="16">IF(G47="Januar",I47,0)</f>
        <v>0</v>
      </c>
      <c r="Q47" s="370">
        <f t="shared" ref="Q47:Q90" si="17">IF(G47="Februar",I47,0)</f>
        <v>0</v>
      </c>
      <c r="R47" s="370">
        <f t="shared" ref="R47:R90" si="18">IF(G47="Marts",I47,0)</f>
        <v>0</v>
      </c>
      <c r="S47" s="370">
        <f t="shared" ref="S47:S90" si="19">IF(G47="April",I47,0)</f>
        <v>0</v>
      </c>
      <c r="T47" s="370">
        <f t="shared" ref="T47:T90" si="20">IF(G47="Maj",I47,0)</f>
        <v>0</v>
      </c>
      <c r="U47" s="370">
        <f t="shared" ref="U47:U90" si="21">IF(G47="Juni",I47,0)</f>
        <v>0</v>
      </c>
      <c r="V47" s="370">
        <f t="shared" ref="V47:V90" si="22">IF(G47="Juli",I47,0)</f>
        <v>0</v>
      </c>
    </row>
    <row r="48" spans="1:56">
      <c r="A48" s="838"/>
      <c r="B48" s="839"/>
      <c r="C48" s="839"/>
      <c r="D48" s="839"/>
      <c r="E48" s="839"/>
      <c r="F48" s="835"/>
      <c r="G48" s="834"/>
      <c r="H48" s="835"/>
      <c r="I48" s="368"/>
      <c r="J48" s="391"/>
      <c r="K48" s="370">
        <f t="shared" si="11"/>
        <v>0</v>
      </c>
      <c r="L48" s="370">
        <f t="shared" si="12"/>
        <v>0</v>
      </c>
      <c r="M48" s="370">
        <f t="shared" si="13"/>
        <v>0</v>
      </c>
      <c r="N48" s="370">
        <f t="shared" si="14"/>
        <v>0</v>
      </c>
      <c r="O48" s="370">
        <f t="shared" si="15"/>
        <v>0</v>
      </c>
      <c r="P48" s="370">
        <f t="shared" si="16"/>
        <v>0</v>
      </c>
      <c r="Q48" s="370">
        <f t="shared" si="17"/>
        <v>0</v>
      </c>
      <c r="R48" s="370">
        <f t="shared" si="18"/>
        <v>0</v>
      </c>
      <c r="S48" s="370">
        <f t="shared" si="19"/>
        <v>0</v>
      </c>
      <c r="T48" s="370">
        <f t="shared" si="20"/>
        <v>0</v>
      </c>
      <c r="U48" s="370">
        <f t="shared" si="21"/>
        <v>0</v>
      </c>
      <c r="V48" s="370">
        <f t="shared" si="22"/>
        <v>0</v>
      </c>
    </row>
    <row r="49" spans="1:22">
      <c r="A49" s="838"/>
      <c r="B49" s="839"/>
      <c r="C49" s="839"/>
      <c r="D49" s="839"/>
      <c r="E49" s="839"/>
      <c r="F49" s="835"/>
      <c r="G49" s="834"/>
      <c r="H49" s="835"/>
      <c r="I49" s="368"/>
      <c r="J49" s="391"/>
      <c r="K49" s="370">
        <f>IF(G49="August",I49,0)</f>
        <v>0</v>
      </c>
      <c r="L49" s="370">
        <f>IF(G49="September",I49,0)</f>
        <v>0</v>
      </c>
      <c r="M49" s="370">
        <f>IF(G49="Oktober",I49,0)</f>
        <v>0</v>
      </c>
      <c r="N49" s="370">
        <f>IF(G49="November",I49,0)</f>
        <v>0</v>
      </c>
      <c r="O49" s="370">
        <f>IF(G49="December",I49,0)</f>
        <v>0</v>
      </c>
      <c r="P49" s="370">
        <f>IF(G49="Januar",I49,0)</f>
        <v>0</v>
      </c>
      <c r="Q49" s="370">
        <f>IF(G49="Februar",I49,0)</f>
        <v>0</v>
      </c>
      <c r="R49" s="370">
        <f>IF(G49="Marts",I49,0)</f>
        <v>0</v>
      </c>
      <c r="S49" s="370">
        <f>IF(G49="April",I49,0)</f>
        <v>0</v>
      </c>
      <c r="T49" s="370">
        <f>IF(G49="Maj",I49,0)</f>
        <v>0</v>
      </c>
      <c r="U49" s="370">
        <f>IF(G49="Juni",I49,0)</f>
        <v>0</v>
      </c>
      <c r="V49" s="370">
        <f>IF(G49="Juli",I49,0)</f>
        <v>0</v>
      </c>
    </row>
    <row r="50" spans="1:22">
      <c r="A50" s="838"/>
      <c r="B50" s="839"/>
      <c r="C50" s="839"/>
      <c r="D50" s="839"/>
      <c r="E50" s="839"/>
      <c r="F50" s="835"/>
      <c r="G50" s="834"/>
      <c r="H50" s="835"/>
      <c r="I50" s="368"/>
      <c r="J50" s="391"/>
      <c r="K50" s="370">
        <f>IF(G50="August",I50,0)</f>
        <v>0</v>
      </c>
      <c r="L50" s="370">
        <f>IF(G50="September",I50,0)</f>
        <v>0</v>
      </c>
      <c r="M50" s="370">
        <f>IF(G50="Oktober",I50,0)</f>
        <v>0</v>
      </c>
      <c r="N50" s="370">
        <f>IF(G50="November",I50,0)</f>
        <v>0</v>
      </c>
      <c r="O50" s="370">
        <f>IF(G50="December",I50,0)</f>
        <v>0</v>
      </c>
      <c r="P50" s="370">
        <f>IF(G50="Januar",I50,0)</f>
        <v>0</v>
      </c>
      <c r="Q50" s="370">
        <f>IF(G50="Februar",I50,0)</f>
        <v>0</v>
      </c>
      <c r="R50" s="370">
        <f>IF(G50="Marts",I50,0)</f>
        <v>0</v>
      </c>
      <c r="S50" s="370">
        <f>IF(G50="April",I50,0)</f>
        <v>0</v>
      </c>
      <c r="T50" s="370">
        <f>IF(G50="Maj",I50,0)</f>
        <v>0</v>
      </c>
      <c r="U50" s="370">
        <f>IF(G50="Juni",I50,0)</f>
        <v>0</v>
      </c>
      <c r="V50" s="370">
        <f>IF(G50="Juli",I50,0)</f>
        <v>0</v>
      </c>
    </row>
    <row r="51" spans="1:22">
      <c r="A51" s="838"/>
      <c r="B51" s="839"/>
      <c r="C51" s="839"/>
      <c r="D51" s="839"/>
      <c r="E51" s="839"/>
      <c r="F51" s="835"/>
      <c r="G51" s="834"/>
      <c r="H51" s="835"/>
      <c r="I51" s="368"/>
      <c r="J51" s="391"/>
      <c r="K51" s="370">
        <f t="shared" si="11"/>
        <v>0</v>
      </c>
      <c r="L51" s="370">
        <f t="shared" si="12"/>
        <v>0</v>
      </c>
      <c r="M51" s="370">
        <f t="shared" si="13"/>
        <v>0</v>
      </c>
      <c r="N51" s="370">
        <f t="shared" si="14"/>
        <v>0</v>
      </c>
      <c r="O51" s="370">
        <f t="shared" si="15"/>
        <v>0</v>
      </c>
      <c r="P51" s="370">
        <f t="shared" si="16"/>
        <v>0</v>
      </c>
      <c r="Q51" s="370">
        <f t="shared" si="17"/>
        <v>0</v>
      </c>
      <c r="R51" s="370">
        <f t="shared" si="18"/>
        <v>0</v>
      </c>
      <c r="S51" s="370">
        <f t="shared" si="19"/>
        <v>0</v>
      </c>
      <c r="T51" s="370">
        <f t="shared" si="20"/>
        <v>0</v>
      </c>
      <c r="U51" s="370">
        <f t="shared" si="21"/>
        <v>0</v>
      </c>
      <c r="V51" s="370">
        <f t="shared" si="22"/>
        <v>0</v>
      </c>
    </row>
    <row r="52" spans="1:22">
      <c r="A52" s="838"/>
      <c r="B52" s="839"/>
      <c r="C52" s="839"/>
      <c r="D52" s="839"/>
      <c r="E52" s="839"/>
      <c r="F52" s="835"/>
      <c r="G52" s="834"/>
      <c r="H52" s="835"/>
      <c r="I52" s="368"/>
      <c r="J52" s="391"/>
      <c r="K52" s="370">
        <f t="shared" si="11"/>
        <v>0</v>
      </c>
      <c r="L52" s="370">
        <f t="shared" si="12"/>
        <v>0</v>
      </c>
      <c r="M52" s="370">
        <f t="shared" si="13"/>
        <v>0</v>
      </c>
      <c r="N52" s="370">
        <f t="shared" si="14"/>
        <v>0</v>
      </c>
      <c r="O52" s="370">
        <f t="shared" si="15"/>
        <v>0</v>
      </c>
      <c r="P52" s="370">
        <f t="shared" si="16"/>
        <v>0</v>
      </c>
      <c r="Q52" s="370">
        <f t="shared" si="17"/>
        <v>0</v>
      </c>
      <c r="R52" s="370">
        <f t="shared" si="18"/>
        <v>0</v>
      </c>
      <c r="S52" s="370">
        <f t="shared" si="19"/>
        <v>0</v>
      </c>
      <c r="T52" s="370">
        <f t="shared" si="20"/>
        <v>0</v>
      </c>
      <c r="U52" s="370">
        <f t="shared" si="21"/>
        <v>0</v>
      </c>
      <c r="V52" s="370">
        <f t="shared" si="22"/>
        <v>0</v>
      </c>
    </row>
    <row r="53" spans="1:22">
      <c r="A53" s="838"/>
      <c r="B53" s="839"/>
      <c r="C53" s="839"/>
      <c r="D53" s="839"/>
      <c r="E53" s="839"/>
      <c r="F53" s="835"/>
      <c r="G53" s="834"/>
      <c r="H53" s="835"/>
      <c r="I53" s="368"/>
      <c r="J53" s="391"/>
      <c r="K53" s="370">
        <f t="shared" si="11"/>
        <v>0</v>
      </c>
      <c r="L53" s="370">
        <f t="shared" si="12"/>
        <v>0</v>
      </c>
      <c r="M53" s="370">
        <f t="shared" si="13"/>
        <v>0</v>
      </c>
      <c r="N53" s="370">
        <f t="shared" si="14"/>
        <v>0</v>
      </c>
      <c r="O53" s="370">
        <f t="shared" si="15"/>
        <v>0</v>
      </c>
      <c r="P53" s="370">
        <f t="shared" si="16"/>
        <v>0</v>
      </c>
      <c r="Q53" s="370">
        <f t="shared" si="17"/>
        <v>0</v>
      </c>
      <c r="R53" s="370">
        <f t="shared" si="18"/>
        <v>0</v>
      </c>
      <c r="S53" s="370">
        <f t="shared" si="19"/>
        <v>0</v>
      </c>
      <c r="T53" s="370">
        <f t="shared" si="20"/>
        <v>0</v>
      </c>
      <c r="U53" s="370">
        <f t="shared" si="21"/>
        <v>0</v>
      </c>
      <c r="V53" s="370">
        <f t="shared" si="22"/>
        <v>0</v>
      </c>
    </row>
    <row r="54" spans="1:22">
      <c r="A54" s="838"/>
      <c r="B54" s="839"/>
      <c r="C54" s="839"/>
      <c r="D54" s="839"/>
      <c r="E54" s="839"/>
      <c r="F54" s="835"/>
      <c r="G54" s="834"/>
      <c r="H54" s="835"/>
      <c r="I54" s="368"/>
      <c r="J54" s="391"/>
      <c r="K54" s="370">
        <f t="shared" si="11"/>
        <v>0</v>
      </c>
      <c r="L54" s="370">
        <f t="shared" si="12"/>
        <v>0</v>
      </c>
      <c r="M54" s="370">
        <f t="shared" si="13"/>
        <v>0</v>
      </c>
      <c r="N54" s="370">
        <f t="shared" si="14"/>
        <v>0</v>
      </c>
      <c r="O54" s="370">
        <f t="shared" si="15"/>
        <v>0</v>
      </c>
      <c r="P54" s="370">
        <f t="shared" si="16"/>
        <v>0</v>
      </c>
      <c r="Q54" s="370">
        <f t="shared" si="17"/>
        <v>0</v>
      </c>
      <c r="R54" s="370">
        <f t="shared" si="18"/>
        <v>0</v>
      </c>
      <c r="S54" s="370">
        <f t="shared" si="19"/>
        <v>0</v>
      </c>
      <c r="T54" s="370">
        <f t="shared" si="20"/>
        <v>0</v>
      </c>
      <c r="U54" s="370">
        <f t="shared" si="21"/>
        <v>0</v>
      </c>
      <c r="V54" s="370">
        <f t="shared" si="22"/>
        <v>0</v>
      </c>
    </row>
    <row r="55" spans="1:22">
      <c r="A55" s="838"/>
      <c r="B55" s="839"/>
      <c r="C55" s="839"/>
      <c r="D55" s="839"/>
      <c r="E55" s="839"/>
      <c r="F55" s="835"/>
      <c r="G55" s="834"/>
      <c r="H55" s="835"/>
      <c r="I55" s="368"/>
      <c r="J55" s="391"/>
      <c r="K55" s="370">
        <f t="shared" si="11"/>
        <v>0</v>
      </c>
      <c r="L55" s="370">
        <f t="shared" si="12"/>
        <v>0</v>
      </c>
      <c r="M55" s="370">
        <f t="shared" si="13"/>
        <v>0</v>
      </c>
      <c r="N55" s="370">
        <f t="shared" si="14"/>
        <v>0</v>
      </c>
      <c r="O55" s="370">
        <f t="shared" si="15"/>
        <v>0</v>
      </c>
      <c r="P55" s="370">
        <f t="shared" si="16"/>
        <v>0</v>
      </c>
      <c r="Q55" s="370">
        <f t="shared" si="17"/>
        <v>0</v>
      </c>
      <c r="R55" s="370">
        <f t="shared" si="18"/>
        <v>0</v>
      </c>
      <c r="S55" s="370">
        <f t="shared" si="19"/>
        <v>0</v>
      </c>
      <c r="T55" s="370">
        <f t="shared" si="20"/>
        <v>0</v>
      </c>
      <c r="U55" s="370">
        <f t="shared" si="21"/>
        <v>0</v>
      </c>
      <c r="V55" s="370">
        <f t="shared" si="22"/>
        <v>0</v>
      </c>
    </row>
    <row r="56" spans="1:22">
      <c r="A56" s="838"/>
      <c r="B56" s="839"/>
      <c r="C56" s="839"/>
      <c r="D56" s="839"/>
      <c r="E56" s="839"/>
      <c r="F56" s="835"/>
      <c r="G56" s="834"/>
      <c r="H56" s="835"/>
      <c r="I56" s="368"/>
      <c r="J56" s="391"/>
      <c r="K56" s="370">
        <f t="shared" si="11"/>
        <v>0</v>
      </c>
      <c r="L56" s="370">
        <f t="shared" si="12"/>
        <v>0</v>
      </c>
      <c r="M56" s="370">
        <f t="shared" si="13"/>
        <v>0</v>
      </c>
      <c r="N56" s="370">
        <f t="shared" si="14"/>
        <v>0</v>
      </c>
      <c r="O56" s="370">
        <f t="shared" si="15"/>
        <v>0</v>
      </c>
      <c r="P56" s="370">
        <f t="shared" si="16"/>
        <v>0</v>
      </c>
      <c r="Q56" s="370">
        <f t="shared" si="17"/>
        <v>0</v>
      </c>
      <c r="R56" s="370">
        <f t="shared" si="18"/>
        <v>0</v>
      </c>
      <c r="S56" s="370">
        <f t="shared" si="19"/>
        <v>0</v>
      </c>
      <c r="T56" s="370">
        <f t="shared" si="20"/>
        <v>0</v>
      </c>
      <c r="U56" s="370">
        <f t="shared" si="21"/>
        <v>0</v>
      </c>
      <c r="V56" s="370">
        <f t="shared" si="22"/>
        <v>0</v>
      </c>
    </row>
    <row r="57" spans="1:22">
      <c r="A57" s="838"/>
      <c r="B57" s="839"/>
      <c r="C57" s="839"/>
      <c r="D57" s="839"/>
      <c r="E57" s="839"/>
      <c r="F57" s="835"/>
      <c r="G57" s="834"/>
      <c r="H57" s="835"/>
      <c r="I57" s="368"/>
      <c r="J57" s="391"/>
      <c r="K57" s="370">
        <f t="shared" si="11"/>
        <v>0</v>
      </c>
      <c r="L57" s="370">
        <f t="shared" si="12"/>
        <v>0</v>
      </c>
      <c r="M57" s="370">
        <f t="shared" si="13"/>
        <v>0</v>
      </c>
      <c r="N57" s="370">
        <f t="shared" si="14"/>
        <v>0</v>
      </c>
      <c r="O57" s="370">
        <f t="shared" si="15"/>
        <v>0</v>
      </c>
      <c r="P57" s="370">
        <f t="shared" si="16"/>
        <v>0</v>
      </c>
      <c r="Q57" s="370">
        <f t="shared" si="17"/>
        <v>0</v>
      </c>
      <c r="R57" s="370">
        <f t="shared" si="18"/>
        <v>0</v>
      </c>
      <c r="S57" s="370">
        <f t="shared" si="19"/>
        <v>0</v>
      </c>
      <c r="T57" s="370">
        <f t="shared" si="20"/>
        <v>0</v>
      </c>
      <c r="U57" s="370">
        <f t="shared" si="21"/>
        <v>0</v>
      </c>
      <c r="V57" s="370">
        <f t="shared" si="22"/>
        <v>0</v>
      </c>
    </row>
    <row r="58" spans="1:22" ht="16" customHeight="1">
      <c r="A58" s="838"/>
      <c r="B58" s="839"/>
      <c r="C58" s="839"/>
      <c r="D58" s="839"/>
      <c r="E58" s="839"/>
      <c r="F58" s="835"/>
      <c r="G58" s="834"/>
      <c r="H58" s="835"/>
      <c r="I58" s="368"/>
      <c r="J58" s="391"/>
      <c r="K58" s="370">
        <f t="shared" si="11"/>
        <v>0</v>
      </c>
      <c r="L58" s="370">
        <f t="shared" si="12"/>
        <v>0</v>
      </c>
      <c r="M58" s="370">
        <f t="shared" si="13"/>
        <v>0</v>
      </c>
      <c r="N58" s="370">
        <f t="shared" si="14"/>
        <v>0</v>
      </c>
      <c r="O58" s="370">
        <f t="shared" si="15"/>
        <v>0</v>
      </c>
      <c r="P58" s="370">
        <f t="shared" si="16"/>
        <v>0</v>
      </c>
      <c r="Q58" s="370">
        <f t="shared" si="17"/>
        <v>0</v>
      </c>
      <c r="R58" s="370">
        <f t="shared" si="18"/>
        <v>0</v>
      </c>
      <c r="S58" s="370">
        <f t="shared" si="19"/>
        <v>0</v>
      </c>
      <c r="T58" s="370">
        <f t="shared" si="20"/>
        <v>0</v>
      </c>
      <c r="U58" s="370">
        <f t="shared" si="21"/>
        <v>0</v>
      </c>
      <c r="V58" s="370">
        <f t="shared" si="22"/>
        <v>0</v>
      </c>
    </row>
    <row r="59" spans="1:22">
      <c r="A59" s="838"/>
      <c r="B59" s="839"/>
      <c r="C59" s="839"/>
      <c r="D59" s="839"/>
      <c r="E59" s="839"/>
      <c r="F59" s="835"/>
      <c r="G59" s="834"/>
      <c r="H59" s="835"/>
      <c r="I59" s="368"/>
      <c r="J59" s="391"/>
      <c r="K59" s="370">
        <f t="shared" si="11"/>
        <v>0</v>
      </c>
      <c r="L59" s="370">
        <f t="shared" si="12"/>
        <v>0</v>
      </c>
      <c r="M59" s="370">
        <f t="shared" si="13"/>
        <v>0</v>
      </c>
      <c r="N59" s="370">
        <f t="shared" si="14"/>
        <v>0</v>
      </c>
      <c r="O59" s="370">
        <f t="shared" si="15"/>
        <v>0</v>
      </c>
      <c r="P59" s="370">
        <f t="shared" si="16"/>
        <v>0</v>
      </c>
      <c r="Q59" s="370">
        <f t="shared" si="17"/>
        <v>0</v>
      </c>
      <c r="R59" s="370">
        <f t="shared" si="18"/>
        <v>0</v>
      </c>
      <c r="S59" s="370">
        <f t="shared" si="19"/>
        <v>0</v>
      </c>
      <c r="T59" s="370">
        <f t="shared" si="20"/>
        <v>0</v>
      </c>
      <c r="U59" s="370">
        <f t="shared" si="21"/>
        <v>0</v>
      </c>
      <c r="V59" s="370">
        <f t="shared" si="22"/>
        <v>0</v>
      </c>
    </row>
    <row r="60" spans="1:22">
      <c r="A60" s="838"/>
      <c r="B60" s="839"/>
      <c r="C60" s="839"/>
      <c r="D60" s="839"/>
      <c r="E60" s="839"/>
      <c r="F60" s="835"/>
      <c r="G60" s="834"/>
      <c r="H60" s="835"/>
      <c r="I60" s="368"/>
      <c r="J60" s="391"/>
      <c r="K60" s="370">
        <f t="shared" si="11"/>
        <v>0</v>
      </c>
      <c r="L60" s="370">
        <f t="shared" si="12"/>
        <v>0</v>
      </c>
      <c r="M60" s="370">
        <f t="shared" si="13"/>
        <v>0</v>
      </c>
      <c r="N60" s="370">
        <f t="shared" si="14"/>
        <v>0</v>
      </c>
      <c r="O60" s="370">
        <f t="shared" si="15"/>
        <v>0</v>
      </c>
      <c r="P60" s="370">
        <f t="shared" si="16"/>
        <v>0</v>
      </c>
      <c r="Q60" s="370">
        <f t="shared" si="17"/>
        <v>0</v>
      </c>
      <c r="R60" s="370">
        <f t="shared" si="18"/>
        <v>0</v>
      </c>
      <c r="S60" s="370">
        <f t="shared" si="19"/>
        <v>0</v>
      </c>
      <c r="T60" s="370">
        <f t="shared" si="20"/>
        <v>0</v>
      </c>
      <c r="U60" s="370">
        <f t="shared" si="21"/>
        <v>0</v>
      </c>
      <c r="V60" s="370">
        <f t="shared" si="22"/>
        <v>0</v>
      </c>
    </row>
    <row r="61" spans="1:22">
      <c r="A61" s="838"/>
      <c r="B61" s="839"/>
      <c r="C61" s="839"/>
      <c r="D61" s="839"/>
      <c r="E61" s="839"/>
      <c r="F61" s="835"/>
      <c r="G61" s="834"/>
      <c r="H61" s="835"/>
      <c r="I61" s="368"/>
      <c r="J61" s="391"/>
      <c r="K61" s="370">
        <f t="shared" si="11"/>
        <v>0</v>
      </c>
      <c r="L61" s="370">
        <f t="shared" si="12"/>
        <v>0</v>
      </c>
      <c r="M61" s="370">
        <f t="shared" si="13"/>
        <v>0</v>
      </c>
      <c r="N61" s="370">
        <f t="shared" si="14"/>
        <v>0</v>
      </c>
      <c r="O61" s="370">
        <f t="shared" si="15"/>
        <v>0</v>
      </c>
      <c r="P61" s="370">
        <f t="shared" si="16"/>
        <v>0</v>
      </c>
      <c r="Q61" s="370">
        <f t="shared" si="17"/>
        <v>0</v>
      </c>
      <c r="R61" s="370">
        <f t="shared" si="18"/>
        <v>0</v>
      </c>
      <c r="S61" s="370">
        <f t="shared" si="19"/>
        <v>0</v>
      </c>
      <c r="T61" s="370">
        <f t="shared" si="20"/>
        <v>0</v>
      </c>
      <c r="U61" s="370">
        <f t="shared" si="21"/>
        <v>0</v>
      </c>
      <c r="V61" s="370">
        <f t="shared" si="22"/>
        <v>0</v>
      </c>
    </row>
    <row r="62" spans="1:22">
      <c r="A62" s="838"/>
      <c r="B62" s="839"/>
      <c r="C62" s="839"/>
      <c r="D62" s="839"/>
      <c r="E62" s="839"/>
      <c r="F62" s="835"/>
      <c r="G62" s="834"/>
      <c r="H62" s="835"/>
      <c r="I62" s="368"/>
      <c r="J62" s="391"/>
      <c r="K62" s="370">
        <f t="shared" si="11"/>
        <v>0</v>
      </c>
      <c r="L62" s="370">
        <f t="shared" si="12"/>
        <v>0</v>
      </c>
      <c r="M62" s="370">
        <f t="shared" si="13"/>
        <v>0</v>
      </c>
      <c r="N62" s="370">
        <f t="shared" si="14"/>
        <v>0</v>
      </c>
      <c r="O62" s="370">
        <f t="shared" si="15"/>
        <v>0</v>
      </c>
      <c r="P62" s="370">
        <f t="shared" si="16"/>
        <v>0</v>
      </c>
      <c r="Q62" s="370">
        <f t="shared" si="17"/>
        <v>0</v>
      </c>
      <c r="R62" s="370">
        <f t="shared" si="18"/>
        <v>0</v>
      </c>
      <c r="S62" s="370">
        <f t="shared" si="19"/>
        <v>0</v>
      </c>
      <c r="T62" s="370">
        <f t="shared" si="20"/>
        <v>0</v>
      </c>
      <c r="U62" s="370">
        <f t="shared" si="21"/>
        <v>0</v>
      </c>
      <c r="V62" s="370">
        <f t="shared" si="22"/>
        <v>0</v>
      </c>
    </row>
    <row r="63" spans="1:22">
      <c r="A63" s="838"/>
      <c r="B63" s="839"/>
      <c r="C63" s="839"/>
      <c r="D63" s="839"/>
      <c r="E63" s="839"/>
      <c r="F63" s="835"/>
      <c r="G63" s="834"/>
      <c r="H63" s="835"/>
      <c r="I63" s="368"/>
      <c r="J63" s="391"/>
      <c r="K63" s="370">
        <f t="shared" si="11"/>
        <v>0</v>
      </c>
      <c r="L63" s="370">
        <f t="shared" si="12"/>
        <v>0</v>
      </c>
      <c r="M63" s="370">
        <f t="shared" si="13"/>
        <v>0</v>
      </c>
      <c r="N63" s="370">
        <f t="shared" si="14"/>
        <v>0</v>
      </c>
      <c r="O63" s="370">
        <f t="shared" si="15"/>
        <v>0</v>
      </c>
      <c r="P63" s="370">
        <f t="shared" si="16"/>
        <v>0</v>
      </c>
      <c r="Q63" s="370">
        <f t="shared" si="17"/>
        <v>0</v>
      </c>
      <c r="R63" s="370">
        <f t="shared" si="18"/>
        <v>0</v>
      </c>
      <c r="S63" s="370">
        <f t="shared" si="19"/>
        <v>0</v>
      </c>
      <c r="T63" s="370">
        <f t="shared" si="20"/>
        <v>0</v>
      </c>
      <c r="U63" s="370">
        <f t="shared" si="21"/>
        <v>0</v>
      </c>
      <c r="V63" s="370">
        <f t="shared" si="22"/>
        <v>0</v>
      </c>
    </row>
    <row r="64" spans="1:22">
      <c r="A64" s="838"/>
      <c r="B64" s="839"/>
      <c r="C64" s="839"/>
      <c r="D64" s="839"/>
      <c r="E64" s="839"/>
      <c r="F64" s="835"/>
      <c r="G64" s="834"/>
      <c r="H64" s="835"/>
      <c r="I64" s="368"/>
      <c r="J64" s="391"/>
      <c r="K64" s="370">
        <f t="shared" si="11"/>
        <v>0</v>
      </c>
      <c r="L64" s="370">
        <f t="shared" si="12"/>
        <v>0</v>
      </c>
      <c r="M64" s="370">
        <f t="shared" si="13"/>
        <v>0</v>
      </c>
      <c r="N64" s="370">
        <f t="shared" si="14"/>
        <v>0</v>
      </c>
      <c r="O64" s="370">
        <f t="shared" si="15"/>
        <v>0</v>
      </c>
      <c r="P64" s="370">
        <f t="shared" si="16"/>
        <v>0</v>
      </c>
      <c r="Q64" s="370">
        <f t="shared" si="17"/>
        <v>0</v>
      </c>
      <c r="R64" s="370">
        <f t="shared" si="18"/>
        <v>0</v>
      </c>
      <c r="S64" s="370">
        <f t="shared" si="19"/>
        <v>0</v>
      </c>
      <c r="T64" s="370">
        <f t="shared" si="20"/>
        <v>0</v>
      </c>
      <c r="U64" s="370">
        <f t="shared" si="21"/>
        <v>0</v>
      </c>
      <c r="V64" s="370">
        <f t="shared" si="22"/>
        <v>0</v>
      </c>
    </row>
    <row r="65" spans="1:22">
      <c r="A65" s="838"/>
      <c r="B65" s="839"/>
      <c r="C65" s="839"/>
      <c r="D65" s="839"/>
      <c r="E65" s="839"/>
      <c r="F65" s="835"/>
      <c r="G65" s="834"/>
      <c r="H65" s="835"/>
      <c r="I65" s="368"/>
      <c r="J65" s="391"/>
      <c r="K65" s="370">
        <f t="shared" si="11"/>
        <v>0</v>
      </c>
      <c r="L65" s="370">
        <f t="shared" si="12"/>
        <v>0</v>
      </c>
      <c r="M65" s="370">
        <f t="shared" si="13"/>
        <v>0</v>
      </c>
      <c r="N65" s="370">
        <f t="shared" si="14"/>
        <v>0</v>
      </c>
      <c r="O65" s="370">
        <f t="shared" si="15"/>
        <v>0</v>
      </c>
      <c r="P65" s="370">
        <f t="shared" si="16"/>
        <v>0</v>
      </c>
      <c r="Q65" s="370">
        <f t="shared" si="17"/>
        <v>0</v>
      </c>
      <c r="R65" s="370">
        <f t="shared" si="18"/>
        <v>0</v>
      </c>
      <c r="S65" s="370">
        <f t="shared" si="19"/>
        <v>0</v>
      </c>
      <c r="T65" s="370">
        <f t="shared" si="20"/>
        <v>0</v>
      </c>
      <c r="U65" s="370">
        <f t="shared" si="21"/>
        <v>0</v>
      </c>
      <c r="V65" s="370">
        <f t="shared" si="22"/>
        <v>0</v>
      </c>
    </row>
    <row r="66" spans="1:22">
      <c r="A66" s="838"/>
      <c r="B66" s="839"/>
      <c r="C66" s="839"/>
      <c r="D66" s="839"/>
      <c r="E66" s="839"/>
      <c r="F66" s="835"/>
      <c r="G66" s="834"/>
      <c r="H66" s="835"/>
      <c r="I66" s="368"/>
      <c r="J66" s="391"/>
      <c r="K66" s="370">
        <f t="shared" si="11"/>
        <v>0</v>
      </c>
      <c r="L66" s="370">
        <f t="shared" si="12"/>
        <v>0</v>
      </c>
      <c r="M66" s="370">
        <f t="shared" si="13"/>
        <v>0</v>
      </c>
      <c r="N66" s="370">
        <f t="shared" si="14"/>
        <v>0</v>
      </c>
      <c r="O66" s="370">
        <f t="shared" si="15"/>
        <v>0</v>
      </c>
      <c r="P66" s="370">
        <f t="shared" si="16"/>
        <v>0</v>
      </c>
      <c r="Q66" s="370">
        <f t="shared" si="17"/>
        <v>0</v>
      </c>
      <c r="R66" s="370">
        <f t="shared" si="18"/>
        <v>0</v>
      </c>
      <c r="S66" s="370">
        <f t="shared" si="19"/>
        <v>0</v>
      </c>
      <c r="T66" s="370">
        <f t="shared" si="20"/>
        <v>0</v>
      </c>
      <c r="U66" s="370">
        <f t="shared" si="21"/>
        <v>0</v>
      </c>
      <c r="V66" s="370">
        <f t="shared" si="22"/>
        <v>0</v>
      </c>
    </row>
    <row r="67" spans="1:22">
      <c r="A67" s="838"/>
      <c r="B67" s="839"/>
      <c r="C67" s="839"/>
      <c r="D67" s="839"/>
      <c r="E67" s="839"/>
      <c r="F67" s="835"/>
      <c r="G67" s="834"/>
      <c r="H67" s="835"/>
      <c r="I67" s="368"/>
      <c r="J67" s="391"/>
      <c r="K67" s="370">
        <f t="shared" si="11"/>
        <v>0</v>
      </c>
      <c r="L67" s="370">
        <f t="shared" si="12"/>
        <v>0</v>
      </c>
      <c r="M67" s="370">
        <f t="shared" si="13"/>
        <v>0</v>
      </c>
      <c r="N67" s="370">
        <f t="shared" si="14"/>
        <v>0</v>
      </c>
      <c r="O67" s="370">
        <f t="shared" si="15"/>
        <v>0</v>
      </c>
      <c r="P67" s="370">
        <f t="shared" si="16"/>
        <v>0</v>
      </c>
      <c r="Q67" s="370">
        <f t="shared" si="17"/>
        <v>0</v>
      </c>
      <c r="R67" s="370">
        <f t="shared" si="18"/>
        <v>0</v>
      </c>
      <c r="S67" s="370">
        <f t="shared" si="19"/>
        <v>0</v>
      </c>
      <c r="T67" s="370">
        <f t="shared" si="20"/>
        <v>0</v>
      </c>
      <c r="U67" s="370">
        <f t="shared" si="21"/>
        <v>0</v>
      </c>
      <c r="V67" s="370">
        <f t="shared" si="22"/>
        <v>0</v>
      </c>
    </row>
    <row r="68" spans="1:22">
      <c r="A68" s="838"/>
      <c r="B68" s="839"/>
      <c r="C68" s="839"/>
      <c r="D68" s="839"/>
      <c r="E68" s="839"/>
      <c r="F68" s="835"/>
      <c r="G68" s="834"/>
      <c r="H68" s="835"/>
      <c r="I68" s="368"/>
      <c r="J68" s="391"/>
      <c r="K68" s="370">
        <f t="shared" si="11"/>
        <v>0</v>
      </c>
      <c r="L68" s="370">
        <f t="shared" si="12"/>
        <v>0</v>
      </c>
      <c r="M68" s="370">
        <f t="shared" si="13"/>
        <v>0</v>
      </c>
      <c r="N68" s="370">
        <f t="shared" si="14"/>
        <v>0</v>
      </c>
      <c r="O68" s="370">
        <f t="shared" si="15"/>
        <v>0</v>
      </c>
      <c r="P68" s="370">
        <f t="shared" si="16"/>
        <v>0</v>
      </c>
      <c r="Q68" s="370">
        <f t="shared" si="17"/>
        <v>0</v>
      </c>
      <c r="R68" s="370">
        <f t="shared" si="18"/>
        <v>0</v>
      </c>
      <c r="S68" s="370">
        <f t="shared" si="19"/>
        <v>0</v>
      </c>
      <c r="T68" s="370">
        <f t="shared" si="20"/>
        <v>0</v>
      </c>
      <c r="U68" s="370">
        <f t="shared" si="21"/>
        <v>0</v>
      </c>
      <c r="V68" s="370">
        <f t="shared" si="22"/>
        <v>0</v>
      </c>
    </row>
    <row r="69" spans="1:22">
      <c r="A69" s="838"/>
      <c r="B69" s="839"/>
      <c r="C69" s="839"/>
      <c r="D69" s="839"/>
      <c r="E69" s="839"/>
      <c r="F69" s="835"/>
      <c r="G69" s="834"/>
      <c r="H69" s="835"/>
      <c r="I69" s="368"/>
      <c r="J69" s="391"/>
      <c r="K69" s="370">
        <f t="shared" si="11"/>
        <v>0</v>
      </c>
      <c r="L69" s="370">
        <f t="shared" si="12"/>
        <v>0</v>
      </c>
      <c r="M69" s="370">
        <f t="shared" si="13"/>
        <v>0</v>
      </c>
      <c r="N69" s="370">
        <f t="shared" si="14"/>
        <v>0</v>
      </c>
      <c r="O69" s="370">
        <f t="shared" si="15"/>
        <v>0</v>
      </c>
      <c r="P69" s="370">
        <f t="shared" si="16"/>
        <v>0</v>
      </c>
      <c r="Q69" s="370">
        <f t="shared" si="17"/>
        <v>0</v>
      </c>
      <c r="R69" s="370">
        <f t="shared" si="18"/>
        <v>0</v>
      </c>
      <c r="S69" s="370">
        <f t="shared" si="19"/>
        <v>0</v>
      </c>
      <c r="T69" s="370">
        <f t="shared" si="20"/>
        <v>0</v>
      </c>
      <c r="U69" s="370">
        <f t="shared" si="21"/>
        <v>0</v>
      </c>
      <c r="V69" s="370">
        <f t="shared" si="22"/>
        <v>0</v>
      </c>
    </row>
    <row r="70" spans="1:22">
      <c r="A70" s="838"/>
      <c r="B70" s="839"/>
      <c r="C70" s="839"/>
      <c r="D70" s="839"/>
      <c r="E70" s="839"/>
      <c r="F70" s="835"/>
      <c r="G70" s="834"/>
      <c r="H70" s="835"/>
      <c r="I70" s="368"/>
      <c r="J70" s="391"/>
      <c r="K70" s="370">
        <f t="shared" si="11"/>
        <v>0</v>
      </c>
      <c r="L70" s="370">
        <f t="shared" si="12"/>
        <v>0</v>
      </c>
      <c r="M70" s="370">
        <f t="shared" si="13"/>
        <v>0</v>
      </c>
      <c r="N70" s="370">
        <f t="shared" si="14"/>
        <v>0</v>
      </c>
      <c r="O70" s="370">
        <f t="shared" si="15"/>
        <v>0</v>
      </c>
      <c r="P70" s="370">
        <f t="shared" si="16"/>
        <v>0</v>
      </c>
      <c r="Q70" s="370">
        <f t="shared" si="17"/>
        <v>0</v>
      </c>
      <c r="R70" s="370">
        <f t="shared" si="18"/>
        <v>0</v>
      </c>
      <c r="S70" s="370">
        <f t="shared" si="19"/>
        <v>0</v>
      </c>
      <c r="T70" s="370">
        <f t="shared" si="20"/>
        <v>0</v>
      </c>
      <c r="U70" s="370">
        <f t="shared" si="21"/>
        <v>0</v>
      </c>
      <c r="V70" s="370">
        <f t="shared" si="22"/>
        <v>0</v>
      </c>
    </row>
    <row r="71" spans="1:22">
      <c r="A71" s="838"/>
      <c r="B71" s="839"/>
      <c r="C71" s="839"/>
      <c r="D71" s="839"/>
      <c r="E71" s="839"/>
      <c r="F71" s="835"/>
      <c r="G71" s="834"/>
      <c r="H71" s="835"/>
      <c r="I71" s="368"/>
      <c r="J71" s="391"/>
      <c r="K71" s="370">
        <f t="shared" si="11"/>
        <v>0</v>
      </c>
      <c r="L71" s="370">
        <f t="shared" si="12"/>
        <v>0</v>
      </c>
      <c r="M71" s="370">
        <f t="shared" si="13"/>
        <v>0</v>
      </c>
      <c r="N71" s="370">
        <f t="shared" si="14"/>
        <v>0</v>
      </c>
      <c r="O71" s="370">
        <f t="shared" si="15"/>
        <v>0</v>
      </c>
      <c r="P71" s="370">
        <f t="shared" si="16"/>
        <v>0</v>
      </c>
      <c r="Q71" s="370">
        <f t="shared" si="17"/>
        <v>0</v>
      </c>
      <c r="R71" s="370">
        <f t="shared" si="18"/>
        <v>0</v>
      </c>
      <c r="S71" s="370">
        <f t="shared" si="19"/>
        <v>0</v>
      </c>
      <c r="T71" s="370">
        <f t="shared" si="20"/>
        <v>0</v>
      </c>
      <c r="U71" s="370">
        <f t="shared" si="21"/>
        <v>0</v>
      </c>
      <c r="V71" s="370">
        <f t="shared" si="22"/>
        <v>0</v>
      </c>
    </row>
    <row r="72" spans="1:22">
      <c r="A72" s="838"/>
      <c r="B72" s="839"/>
      <c r="C72" s="839"/>
      <c r="D72" s="839"/>
      <c r="E72" s="839"/>
      <c r="F72" s="835"/>
      <c r="G72" s="834"/>
      <c r="H72" s="835"/>
      <c r="I72" s="368"/>
      <c r="J72" s="391"/>
      <c r="K72" s="370">
        <f t="shared" si="11"/>
        <v>0</v>
      </c>
      <c r="L72" s="370">
        <f t="shared" si="12"/>
        <v>0</v>
      </c>
      <c r="M72" s="370">
        <f t="shared" si="13"/>
        <v>0</v>
      </c>
      <c r="N72" s="370">
        <f t="shared" si="14"/>
        <v>0</v>
      </c>
      <c r="O72" s="370">
        <f t="shared" si="15"/>
        <v>0</v>
      </c>
      <c r="P72" s="370">
        <f t="shared" si="16"/>
        <v>0</v>
      </c>
      <c r="Q72" s="370">
        <f t="shared" si="17"/>
        <v>0</v>
      </c>
      <c r="R72" s="370">
        <f t="shared" si="18"/>
        <v>0</v>
      </c>
      <c r="S72" s="370">
        <f t="shared" si="19"/>
        <v>0</v>
      </c>
      <c r="T72" s="370">
        <f t="shared" si="20"/>
        <v>0</v>
      </c>
      <c r="U72" s="370">
        <f t="shared" si="21"/>
        <v>0</v>
      </c>
      <c r="V72" s="370">
        <f t="shared" si="22"/>
        <v>0</v>
      </c>
    </row>
    <row r="73" spans="1:22">
      <c r="A73" s="838"/>
      <c r="B73" s="839"/>
      <c r="C73" s="839"/>
      <c r="D73" s="839"/>
      <c r="E73" s="839"/>
      <c r="F73" s="835"/>
      <c r="G73" s="834"/>
      <c r="H73" s="835"/>
      <c r="I73" s="368"/>
      <c r="J73" s="391"/>
      <c r="K73" s="370">
        <f t="shared" si="11"/>
        <v>0</v>
      </c>
      <c r="L73" s="370">
        <f t="shared" si="12"/>
        <v>0</v>
      </c>
      <c r="M73" s="370">
        <f t="shared" si="13"/>
        <v>0</v>
      </c>
      <c r="N73" s="370">
        <f t="shared" si="14"/>
        <v>0</v>
      </c>
      <c r="O73" s="370">
        <f t="shared" si="15"/>
        <v>0</v>
      </c>
      <c r="P73" s="370">
        <f t="shared" si="16"/>
        <v>0</v>
      </c>
      <c r="Q73" s="370">
        <f t="shared" si="17"/>
        <v>0</v>
      </c>
      <c r="R73" s="370">
        <f t="shared" si="18"/>
        <v>0</v>
      </c>
      <c r="S73" s="370">
        <f t="shared" si="19"/>
        <v>0</v>
      </c>
      <c r="T73" s="370">
        <f t="shared" si="20"/>
        <v>0</v>
      </c>
      <c r="U73" s="370">
        <f t="shared" si="21"/>
        <v>0</v>
      </c>
      <c r="V73" s="370">
        <f t="shared" si="22"/>
        <v>0</v>
      </c>
    </row>
    <row r="74" spans="1:22">
      <c r="A74" s="838"/>
      <c r="B74" s="839"/>
      <c r="C74" s="839"/>
      <c r="D74" s="839"/>
      <c r="E74" s="839"/>
      <c r="F74" s="835"/>
      <c r="G74" s="834"/>
      <c r="H74" s="835"/>
      <c r="I74" s="368"/>
      <c r="J74" s="391"/>
      <c r="K74" s="370">
        <f t="shared" si="11"/>
        <v>0</v>
      </c>
      <c r="L74" s="370">
        <f t="shared" si="12"/>
        <v>0</v>
      </c>
      <c r="M74" s="370">
        <f t="shared" si="13"/>
        <v>0</v>
      </c>
      <c r="N74" s="370">
        <f t="shared" si="14"/>
        <v>0</v>
      </c>
      <c r="O74" s="370">
        <f t="shared" si="15"/>
        <v>0</v>
      </c>
      <c r="P74" s="370">
        <f t="shared" si="16"/>
        <v>0</v>
      </c>
      <c r="Q74" s="370">
        <f t="shared" si="17"/>
        <v>0</v>
      </c>
      <c r="R74" s="370">
        <f t="shared" si="18"/>
        <v>0</v>
      </c>
      <c r="S74" s="370">
        <f t="shared" si="19"/>
        <v>0</v>
      </c>
      <c r="T74" s="370">
        <f t="shared" si="20"/>
        <v>0</v>
      </c>
      <c r="U74" s="370">
        <f t="shared" si="21"/>
        <v>0</v>
      </c>
      <c r="V74" s="370">
        <f t="shared" si="22"/>
        <v>0</v>
      </c>
    </row>
    <row r="75" spans="1:22">
      <c r="A75" s="838"/>
      <c r="B75" s="839"/>
      <c r="C75" s="839"/>
      <c r="D75" s="839"/>
      <c r="E75" s="839"/>
      <c r="F75" s="835"/>
      <c r="G75" s="834"/>
      <c r="H75" s="835"/>
      <c r="I75" s="368"/>
      <c r="J75" s="391"/>
      <c r="K75" s="370">
        <f t="shared" si="11"/>
        <v>0</v>
      </c>
      <c r="L75" s="370">
        <f t="shared" si="12"/>
        <v>0</v>
      </c>
      <c r="M75" s="370">
        <f t="shared" si="13"/>
        <v>0</v>
      </c>
      <c r="N75" s="370">
        <f t="shared" si="14"/>
        <v>0</v>
      </c>
      <c r="O75" s="370">
        <f t="shared" si="15"/>
        <v>0</v>
      </c>
      <c r="P75" s="370">
        <f t="shared" si="16"/>
        <v>0</v>
      </c>
      <c r="Q75" s="370">
        <f t="shared" si="17"/>
        <v>0</v>
      </c>
      <c r="R75" s="370">
        <f t="shared" si="18"/>
        <v>0</v>
      </c>
      <c r="S75" s="370">
        <f t="shared" si="19"/>
        <v>0</v>
      </c>
      <c r="T75" s="370">
        <f t="shared" si="20"/>
        <v>0</v>
      </c>
      <c r="U75" s="370">
        <f t="shared" si="21"/>
        <v>0</v>
      </c>
      <c r="V75" s="370">
        <f t="shared" si="22"/>
        <v>0</v>
      </c>
    </row>
    <row r="76" spans="1:22">
      <c r="A76" s="838"/>
      <c r="B76" s="839"/>
      <c r="C76" s="839"/>
      <c r="D76" s="839"/>
      <c r="E76" s="839"/>
      <c r="F76" s="835"/>
      <c r="G76" s="834"/>
      <c r="H76" s="835"/>
      <c r="I76" s="368"/>
      <c r="J76" s="391"/>
      <c r="K76" s="370">
        <f t="shared" si="11"/>
        <v>0</v>
      </c>
      <c r="L76" s="370">
        <f t="shared" si="12"/>
        <v>0</v>
      </c>
      <c r="M76" s="370">
        <f t="shared" si="13"/>
        <v>0</v>
      </c>
      <c r="N76" s="370">
        <f t="shared" si="14"/>
        <v>0</v>
      </c>
      <c r="O76" s="370">
        <f t="shared" si="15"/>
        <v>0</v>
      </c>
      <c r="P76" s="370">
        <f t="shared" si="16"/>
        <v>0</v>
      </c>
      <c r="Q76" s="370">
        <f t="shared" si="17"/>
        <v>0</v>
      </c>
      <c r="R76" s="370">
        <f t="shared" si="18"/>
        <v>0</v>
      </c>
      <c r="S76" s="370">
        <f t="shared" si="19"/>
        <v>0</v>
      </c>
      <c r="T76" s="370">
        <f t="shared" si="20"/>
        <v>0</v>
      </c>
      <c r="U76" s="370">
        <f t="shared" si="21"/>
        <v>0</v>
      </c>
      <c r="V76" s="370">
        <f t="shared" si="22"/>
        <v>0</v>
      </c>
    </row>
    <row r="77" spans="1:22">
      <c r="A77" s="838"/>
      <c r="B77" s="839"/>
      <c r="C77" s="839"/>
      <c r="D77" s="839"/>
      <c r="E77" s="839"/>
      <c r="F77" s="835"/>
      <c r="G77" s="834"/>
      <c r="H77" s="835"/>
      <c r="I77" s="368"/>
      <c r="J77" s="391"/>
      <c r="K77" s="370">
        <f t="shared" si="11"/>
        <v>0</v>
      </c>
      <c r="L77" s="370">
        <f t="shared" si="12"/>
        <v>0</v>
      </c>
      <c r="M77" s="370">
        <f t="shared" si="13"/>
        <v>0</v>
      </c>
      <c r="N77" s="370">
        <f t="shared" si="14"/>
        <v>0</v>
      </c>
      <c r="O77" s="370">
        <f t="shared" si="15"/>
        <v>0</v>
      </c>
      <c r="P77" s="370">
        <f t="shared" si="16"/>
        <v>0</v>
      </c>
      <c r="Q77" s="370">
        <f t="shared" si="17"/>
        <v>0</v>
      </c>
      <c r="R77" s="370">
        <f t="shared" si="18"/>
        <v>0</v>
      </c>
      <c r="S77" s="370">
        <f t="shared" si="19"/>
        <v>0</v>
      </c>
      <c r="T77" s="370">
        <f t="shared" si="20"/>
        <v>0</v>
      </c>
      <c r="U77" s="370">
        <f t="shared" si="21"/>
        <v>0</v>
      </c>
      <c r="V77" s="370">
        <f t="shared" si="22"/>
        <v>0</v>
      </c>
    </row>
    <row r="78" spans="1:22">
      <c r="A78" s="838"/>
      <c r="B78" s="839"/>
      <c r="C78" s="839"/>
      <c r="D78" s="839"/>
      <c r="E78" s="839"/>
      <c r="F78" s="835"/>
      <c r="G78" s="834"/>
      <c r="H78" s="835"/>
      <c r="I78" s="368"/>
      <c r="J78" s="391"/>
      <c r="K78" s="370">
        <f t="shared" si="11"/>
        <v>0</v>
      </c>
      <c r="L78" s="370">
        <f t="shared" si="12"/>
        <v>0</v>
      </c>
      <c r="M78" s="370">
        <f t="shared" si="13"/>
        <v>0</v>
      </c>
      <c r="N78" s="370">
        <f t="shared" si="14"/>
        <v>0</v>
      </c>
      <c r="O78" s="370">
        <f t="shared" si="15"/>
        <v>0</v>
      </c>
      <c r="P78" s="370">
        <f t="shared" si="16"/>
        <v>0</v>
      </c>
      <c r="Q78" s="370">
        <f t="shared" si="17"/>
        <v>0</v>
      </c>
      <c r="R78" s="370">
        <f t="shared" si="18"/>
        <v>0</v>
      </c>
      <c r="S78" s="370">
        <f t="shared" si="19"/>
        <v>0</v>
      </c>
      <c r="T78" s="370">
        <f t="shared" si="20"/>
        <v>0</v>
      </c>
      <c r="U78" s="370">
        <f t="shared" si="21"/>
        <v>0</v>
      </c>
      <c r="V78" s="370">
        <f t="shared" si="22"/>
        <v>0</v>
      </c>
    </row>
    <row r="79" spans="1:22">
      <c r="A79" s="838"/>
      <c r="B79" s="839"/>
      <c r="C79" s="839"/>
      <c r="D79" s="839"/>
      <c r="E79" s="839"/>
      <c r="F79" s="835"/>
      <c r="G79" s="834"/>
      <c r="H79" s="835"/>
      <c r="I79" s="368"/>
      <c r="J79" s="391"/>
      <c r="K79" s="370">
        <f t="shared" si="11"/>
        <v>0</v>
      </c>
      <c r="L79" s="370">
        <f t="shared" si="12"/>
        <v>0</v>
      </c>
      <c r="M79" s="370">
        <f t="shared" si="13"/>
        <v>0</v>
      </c>
      <c r="N79" s="370">
        <f t="shared" si="14"/>
        <v>0</v>
      </c>
      <c r="O79" s="370">
        <f t="shared" si="15"/>
        <v>0</v>
      </c>
      <c r="P79" s="370">
        <f t="shared" si="16"/>
        <v>0</v>
      </c>
      <c r="Q79" s="370">
        <f t="shared" si="17"/>
        <v>0</v>
      </c>
      <c r="R79" s="370">
        <f t="shared" si="18"/>
        <v>0</v>
      </c>
      <c r="S79" s="370">
        <f t="shared" si="19"/>
        <v>0</v>
      </c>
      <c r="T79" s="370">
        <f t="shared" si="20"/>
        <v>0</v>
      </c>
      <c r="U79" s="370">
        <f t="shared" si="21"/>
        <v>0</v>
      </c>
      <c r="V79" s="370">
        <f t="shared" si="22"/>
        <v>0</v>
      </c>
    </row>
    <row r="80" spans="1:22">
      <c r="A80" s="838"/>
      <c r="B80" s="839"/>
      <c r="C80" s="839"/>
      <c r="D80" s="839"/>
      <c r="E80" s="839"/>
      <c r="F80" s="835"/>
      <c r="G80" s="834"/>
      <c r="H80" s="835"/>
      <c r="I80" s="368"/>
      <c r="J80" s="391"/>
      <c r="K80" s="370">
        <f t="shared" si="11"/>
        <v>0</v>
      </c>
      <c r="L80" s="370">
        <f t="shared" si="12"/>
        <v>0</v>
      </c>
      <c r="M80" s="370">
        <f t="shared" si="13"/>
        <v>0</v>
      </c>
      <c r="N80" s="370">
        <f t="shared" si="14"/>
        <v>0</v>
      </c>
      <c r="O80" s="370">
        <f t="shared" si="15"/>
        <v>0</v>
      </c>
      <c r="P80" s="370">
        <f t="shared" si="16"/>
        <v>0</v>
      </c>
      <c r="Q80" s="370">
        <f t="shared" si="17"/>
        <v>0</v>
      </c>
      <c r="R80" s="370">
        <f t="shared" si="18"/>
        <v>0</v>
      </c>
      <c r="S80" s="370">
        <f t="shared" si="19"/>
        <v>0</v>
      </c>
      <c r="T80" s="370">
        <f t="shared" si="20"/>
        <v>0</v>
      </c>
      <c r="U80" s="370">
        <f t="shared" si="21"/>
        <v>0</v>
      </c>
      <c r="V80" s="370">
        <f t="shared" si="22"/>
        <v>0</v>
      </c>
    </row>
    <row r="81" spans="1:22">
      <c r="A81" s="838"/>
      <c r="B81" s="839"/>
      <c r="C81" s="839"/>
      <c r="D81" s="839"/>
      <c r="E81" s="839"/>
      <c r="F81" s="835"/>
      <c r="G81" s="834"/>
      <c r="H81" s="835"/>
      <c r="I81" s="368"/>
      <c r="J81" s="391"/>
      <c r="K81" s="370">
        <f t="shared" si="11"/>
        <v>0</v>
      </c>
      <c r="L81" s="370">
        <f t="shared" si="12"/>
        <v>0</v>
      </c>
      <c r="M81" s="370">
        <f t="shared" si="13"/>
        <v>0</v>
      </c>
      <c r="N81" s="370">
        <f t="shared" si="14"/>
        <v>0</v>
      </c>
      <c r="O81" s="370">
        <f t="shared" si="15"/>
        <v>0</v>
      </c>
      <c r="P81" s="370">
        <f t="shared" si="16"/>
        <v>0</v>
      </c>
      <c r="Q81" s="370">
        <f t="shared" si="17"/>
        <v>0</v>
      </c>
      <c r="R81" s="370">
        <f t="shared" si="18"/>
        <v>0</v>
      </c>
      <c r="S81" s="370">
        <f t="shared" si="19"/>
        <v>0</v>
      </c>
      <c r="T81" s="370">
        <f t="shared" si="20"/>
        <v>0</v>
      </c>
      <c r="U81" s="370">
        <f t="shared" si="21"/>
        <v>0</v>
      </c>
      <c r="V81" s="370">
        <f t="shared" si="22"/>
        <v>0</v>
      </c>
    </row>
    <row r="82" spans="1:22">
      <c r="A82" s="838"/>
      <c r="B82" s="839"/>
      <c r="C82" s="839"/>
      <c r="D82" s="839"/>
      <c r="E82" s="839"/>
      <c r="F82" s="835"/>
      <c r="G82" s="834"/>
      <c r="H82" s="835"/>
      <c r="I82" s="368"/>
      <c r="J82" s="391"/>
      <c r="K82" s="370">
        <f t="shared" si="11"/>
        <v>0</v>
      </c>
      <c r="L82" s="370">
        <f t="shared" si="12"/>
        <v>0</v>
      </c>
      <c r="M82" s="370">
        <f t="shared" si="13"/>
        <v>0</v>
      </c>
      <c r="N82" s="370">
        <f t="shared" si="14"/>
        <v>0</v>
      </c>
      <c r="O82" s="370">
        <f t="shared" si="15"/>
        <v>0</v>
      </c>
      <c r="P82" s="370">
        <f t="shared" si="16"/>
        <v>0</v>
      </c>
      <c r="Q82" s="370">
        <f t="shared" si="17"/>
        <v>0</v>
      </c>
      <c r="R82" s="370">
        <f t="shared" si="18"/>
        <v>0</v>
      </c>
      <c r="S82" s="370">
        <f t="shared" si="19"/>
        <v>0</v>
      </c>
      <c r="T82" s="370">
        <f t="shared" si="20"/>
        <v>0</v>
      </c>
      <c r="U82" s="370">
        <f t="shared" si="21"/>
        <v>0</v>
      </c>
      <c r="V82" s="370">
        <f t="shared" si="22"/>
        <v>0</v>
      </c>
    </row>
    <row r="83" spans="1:22">
      <c r="A83" s="838"/>
      <c r="B83" s="839"/>
      <c r="C83" s="839"/>
      <c r="D83" s="839"/>
      <c r="E83" s="839"/>
      <c r="F83" s="835"/>
      <c r="G83" s="834"/>
      <c r="H83" s="835"/>
      <c r="I83" s="368"/>
      <c r="J83" s="391"/>
      <c r="K83" s="370">
        <f t="shared" si="11"/>
        <v>0</v>
      </c>
      <c r="L83" s="370">
        <f t="shared" si="12"/>
        <v>0</v>
      </c>
      <c r="M83" s="370">
        <f t="shared" si="13"/>
        <v>0</v>
      </c>
      <c r="N83" s="370">
        <f t="shared" si="14"/>
        <v>0</v>
      </c>
      <c r="O83" s="370">
        <f t="shared" si="15"/>
        <v>0</v>
      </c>
      <c r="P83" s="370">
        <f t="shared" si="16"/>
        <v>0</v>
      </c>
      <c r="Q83" s="370">
        <f t="shared" si="17"/>
        <v>0</v>
      </c>
      <c r="R83" s="370">
        <f t="shared" si="18"/>
        <v>0</v>
      </c>
      <c r="S83" s="370">
        <f t="shared" si="19"/>
        <v>0</v>
      </c>
      <c r="T83" s="370">
        <f t="shared" si="20"/>
        <v>0</v>
      </c>
      <c r="U83" s="370">
        <f t="shared" si="21"/>
        <v>0</v>
      </c>
      <c r="V83" s="370">
        <f t="shared" si="22"/>
        <v>0</v>
      </c>
    </row>
    <row r="84" spans="1:22">
      <c r="A84" s="838"/>
      <c r="B84" s="839"/>
      <c r="C84" s="839"/>
      <c r="D84" s="839"/>
      <c r="E84" s="839"/>
      <c r="F84" s="835"/>
      <c r="G84" s="834"/>
      <c r="H84" s="835"/>
      <c r="I84" s="368"/>
      <c r="J84" s="391"/>
      <c r="K84" s="370">
        <f t="shared" si="11"/>
        <v>0</v>
      </c>
      <c r="L84" s="370">
        <f t="shared" si="12"/>
        <v>0</v>
      </c>
      <c r="M84" s="370">
        <f t="shared" si="13"/>
        <v>0</v>
      </c>
      <c r="N84" s="370">
        <f t="shared" si="14"/>
        <v>0</v>
      </c>
      <c r="O84" s="370">
        <f t="shared" si="15"/>
        <v>0</v>
      </c>
      <c r="P84" s="370">
        <f t="shared" si="16"/>
        <v>0</v>
      </c>
      <c r="Q84" s="370">
        <f t="shared" si="17"/>
        <v>0</v>
      </c>
      <c r="R84" s="370">
        <f t="shared" si="18"/>
        <v>0</v>
      </c>
      <c r="S84" s="370">
        <f t="shared" si="19"/>
        <v>0</v>
      </c>
      <c r="T84" s="370">
        <f t="shared" si="20"/>
        <v>0</v>
      </c>
      <c r="U84" s="370">
        <f t="shared" si="21"/>
        <v>0</v>
      </c>
      <c r="V84" s="370">
        <f t="shared" si="22"/>
        <v>0</v>
      </c>
    </row>
    <row r="85" spans="1:22">
      <c r="A85" s="838"/>
      <c r="B85" s="839"/>
      <c r="C85" s="839"/>
      <c r="D85" s="839"/>
      <c r="E85" s="839"/>
      <c r="F85" s="835"/>
      <c r="G85" s="834"/>
      <c r="H85" s="835"/>
      <c r="I85" s="368"/>
      <c r="J85" s="391"/>
      <c r="K85" s="370">
        <f t="shared" si="11"/>
        <v>0</v>
      </c>
      <c r="L85" s="370">
        <f t="shared" si="12"/>
        <v>0</v>
      </c>
      <c r="M85" s="370">
        <f t="shared" si="13"/>
        <v>0</v>
      </c>
      <c r="N85" s="370">
        <f t="shared" si="14"/>
        <v>0</v>
      </c>
      <c r="O85" s="370">
        <f t="shared" si="15"/>
        <v>0</v>
      </c>
      <c r="P85" s="370">
        <f t="shared" si="16"/>
        <v>0</v>
      </c>
      <c r="Q85" s="370">
        <f t="shared" si="17"/>
        <v>0</v>
      </c>
      <c r="R85" s="370">
        <f t="shared" si="18"/>
        <v>0</v>
      </c>
      <c r="S85" s="370">
        <f t="shared" si="19"/>
        <v>0</v>
      </c>
      <c r="T85" s="370">
        <f t="shared" si="20"/>
        <v>0</v>
      </c>
      <c r="U85" s="370">
        <f t="shared" si="21"/>
        <v>0</v>
      </c>
      <c r="V85" s="370">
        <f t="shared" si="22"/>
        <v>0</v>
      </c>
    </row>
    <row r="86" spans="1:22">
      <c r="A86" s="838"/>
      <c r="B86" s="839"/>
      <c r="C86" s="839"/>
      <c r="D86" s="839"/>
      <c r="E86" s="839"/>
      <c r="F86" s="835"/>
      <c r="G86" s="834"/>
      <c r="H86" s="835"/>
      <c r="I86" s="368"/>
      <c r="J86" s="391"/>
      <c r="K86" s="370">
        <f t="shared" si="11"/>
        <v>0</v>
      </c>
      <c r="L86" s="370">
        <f t="shared" si="12"/>
        <v>0</v>
      </c>
      <c r="M86" s="370">
        <f t="shared" si="13"/>
        <v>0</v>
      </c>
      <c r="N86" s="370">
        <f t="shared" si="14"/>
        <v>0</v>
      </c>
      <c r="O86" s="370">
        <f t="shared" si="15"/>
        <v>0</v>
      </c>
      <c r="P86" s="370">
        <f t="shared" si="16"/>
        <v>0</v>
      </c>
      <c r="Q86" s="370">
        <f t="shared" si="17"/>
        <v>0</v>
      </c>
      <c r="R86" s="370">
        <f t="shared" si="18"/>
        <v>0</v>
      </c>
      <c r="S86" s="370">
        <f t="shared" si="19"/>
        <v>0</v>
      </c>
      <c r="T86" s="370">
        <f t="shared" si="20"/>
        <v>0</v>
      </c>
      <c r="U86" s="370">
        <f t="shared" si="21"/>
        <v>0</v>
      </c>
      <c r="V86" s="370">
        <f t="shared" si="22"/>
        <v>0</v>
      </c>
    </row>
    <row r="87" spans="1:22">
      <c r="A87" s="838"/>
      <c r="B87" s="839"/>
      <c r="C87" s="839"/>
      <c r="D87" s="839"/>
      <c r="E87" s="839"/>
      <c r="F87" s="835"/>
      <c r="G87" s="834"/>
      <c r="H87" s="835"/>
      <c r="I87" s="368"/>
      <c r="J87" s="391"/>
      <c r="K87" s="370">
        <f t="shared" si="11"/>
        <v>0</v>
      </c>
      <c r="L87" s="370">
        <f t="shared" si="12"/>
        <v>0</v>
      </c>
      <c r="M87" s="370">
        <f t="shared" si="13"/>
        <v>0</v>
      </c>
      <c r="N87" s="370">
        <f t="shared" si="14"/>
        <v>0</v>
      </c>
      <c r="O87" s="370">
        <f t="shared" si="15"/>
        <v>0</v>
      </c>
      <c r="P87" s="370">
        <f t="shared" si="16"/>
        <v>0</v>
      </c>
      <c r="Q87" s="370">
        <f t="shared" si="17"/>
        <v>0</v>
      </c>
      <c r="R87" s="370">
        <f t="shared" si="18"/>
        <v>0</v>
      </c>
      <c r="S87" s="370">
        <f t="shared" si="19"/>
        <v>0</v>
      </c>
      <c r="T87" s="370">
        <f t="shared" si="20"/>
        <v>0</v>
      </c>
      <c r="U87" s="370">
        <f t="shared" si="21"/>
        <v>0</v>
      </c>
      <c r="V87" s="370">
        <f t="shared" si="22"/>
        <v>0</v>
      </c>
    </row>
    <row r="88" spans="1:22">
      <c r="A88" s="838"/>
      <c r="B88" s="839"/>
      <c r="C88" s="839"/>
      <c r="D88" s="839"/>
      <c r="E88" s="839"/>
      <c r="F88" s="835"/>
      <c r="G88" s="834"/>
      <c r="H88" s="835"/>
      <c r="I88" s="368"/>
      <c r="J88" s="391"/>
      <c r="K88" s="370">
        <f t="shared" si="11"/>
        <v>0</v>
      </c>
      <c r="L88" s="370">
        <f t="shared" si="12"/>
        <v>0</v>
      </c>
      <c r="M88" s="370">
        <f t="shared" si="13"/>
        <v>0</v>
      </c>
      <c r="N88" s="370">
        <f t="shared" si="14"/>
        <v>0</v>
      </c>
      <c r="O88" s="370">
        <f t="shared" si="15"/>
        <v>0</v>
      </c>
      <c r="P88" s="370">
        <f t="shared" si="16"/>
        <v>0</v>
      </c>
      <c r="Q88" s="370">
        <f t="shared" si="17"/>
        <v>0</v>
      </c>
      <c r="R88" s="370">
        <f t="shared" si="18"/>
        <v>0</v>
      </c>
      <c r="S88" s="370">
        <f t="shared" si="19"/>
        <v>0</v>
      </c>
      <c r="T88" s="370">
        <f t="shared" si="20"/>
        <v>0</v>
      </c>
      <c r="U88" s="370">
        <f t="shared" si="21"/>
        <v>0</v>
      </c>
      <c r="V88" s="370">
        <f t="shared" si="22"/>
        <v>0</v>
      </c>
    </row>
    <row r="89" spans="1:22">
      <c r="A89" s="838"/>
      <c r="B89" s="839"/>
      <c r="C89" s="839"/>
      <c r="D89" s="839"/>
      <c r="E89" s="839"/>
      <c r="F89" s="835"/>
      <c r="G89" s="834"/>
      <c r="H89" s="835"/>
      <c r="I89" s="368"/>
      <c r="J89" s="391"/>
      <c r="K89" s="370">
        <f t="shared" si="11"/>
        <v>0</v>
      </c>
      <c r="L89" s="370">
        <f t="shared" si="12"/>
        <v>0</v>
      </c>
      <c r="M89" s="370">
        <f t="shared" si="13"/>
        <v>0</v>
      </c>
      <c r="N89" s="370">
        <f t="shared" si="14"/>
        <v>0</v>
      </c>
      <c r="O89" s="370">
        <f t="shared" si="15"/>
        <v>0</v>
      </c>
      <c r="P89" s="370">
        <f t="shared" si="16"/>
        <v>0</v>
      </c>
      <c r="Q89" s="370">
        <f t="shared" si="17"/>
        <v>0</v>
      </c>
      <c r="R89" s="370">
        <f t="shared" si="18"/>
        <v>0</v>
      </c>
      <c r="S89" s="370">
        <f t="shared" si="19"/>
        <v>0</v>
      </c>
      <c r="T89" s="370">
        <f t="shared" si="20"/>
        <v>0</v>
      </c>
      <c r="U89" s="370">
        <f t="shared" si="21"/>
        <v>0</v>
      </c>
      <c r="V89" s="370">
        <f t="shared" si="22"/>
        <v>0</v>
      </c>
    </row>
    <row r="90" spans="1:22" ht="17" thickBot="1">
      <c r="A90" s="838"/>
      <c r="B90" s="839"/>
      <c r="C90" s="839"/>
      <c r="D90" s="839"/>
      <c r="E90" s="839"/>
      <c r="F90" s="835"/>
      <c r="G90" s="834"/>
      <c r="H90" s="835"/>
      <c r="I90" s="368"/>
      <c r="J90" s="391"/>
      <c r="K90" s="370">
        <f t="shared" si="11"/>
        <v>0</v>
      </c>
      <c r="L90" s="370">
        <f t="shared" si="12"/>
        <v>0</v>
      </c>
      <c r="M90" s="370">
        <f t="shared" si="13"/>
        <v>0</v>
      </c>
      <c r="N90" s="370">
        <f t="shared" si="14"/>
        <v>0</v>
      </c>
      <c r="O90" s="370">
        <f t="shared" si="15"/>
        <v>0</v>
      </c>
      <c r="P90" s="370">
        <f t="shared" si="16"/>
        <v>0</v>
      </c>
      <c r="Q90" s="370">
        <f t="shared" si="17"/>
        <v>0</v>
      </c>
      <c r="R90" s="370">
        <f t="shared" si="18"/>
        <v>0</v>
      </c>
      <c r="S90" s="370">
        <f t="shared" si="19"/>
        <v>0</v>
      </c>
      <c r="T90" s="370">
        <f t="shared" si="20"/>
        <v>0</v>
      </c>
      <c r="U90" s="370">
        <f t="shared" si="21"/>
        <v>0</v>
      </c>
      <c r="V90" s="370">
        <f t="shared" si="22"/>
        <v>0</v>
      </c>
    </row>
    <row r="91" spans="1:22" ht="16" customHeight="1" thickBot="1">
      <c r="A91" s="360" t="s">
        <v>240</v>
      </c>
      <c r="B91" s="361"/>
      <c r="C91" s="361"/>
      <c r="D91" s="361"/>
      <c r="E91" s="361"/>
      <c r="F91" s="361"/>
      <c r="G91" s="361"/>
      <c r="H91" s="362"/>
      <c r="I91" s="265">
        <f>SUM(I46:I90)</f>
        <v>0</v>
      </c>
      <c r="J91" s="40"/>
      <c r="K91" s="370">
        <f>SUM(K46:K90)</f>
        <v>0</v>
      </c>
      <c r="L91" s="370">
        <f>SUM(L46:L90)</f>
        <v>0</v>
      </c>
      <c r="M91" s="370">
        <f t="shared" ref="M91:V91" si="23">SUM(M46:M90)</f>
        <v>0</v>
      </c>
      <c r="N91" s="370">
        <f t="shared" si="23"/>
        <v>0</v>
      </c>
      <c r="O91" s="370">
        <f t="shared" si="23"/>
        <v>0</v>
      </c>
      <c r="P91" s="370">
        <f t="shared" si="23"/>
        <v>0</v>
      </c>
      <c r="Q91" s="370">
        <f t="shared" si="23"/>
        <v>0</v>
      </c>
      <c r="R91" s="370">
        <f t="shared" si="23"/>
        <v>0</v>
      </c>
      <c r="S91" s="370">
        <f t="shared" si="23"/>
        <v>0</v>
      </c>
      <c r="T91" s="370">
        <f t="shared" si="23"/>
        <v>0</v>
      </c>
      <c r="U91" s="370">
        <f t="shared" si="23"/>
        <v>0</v>
      </c>
      <c r="V91" s="370">
        <f t="shared" si="23"/>
        <v>0</v>
      </c>
    </row>
    <row r="92" spans="1:22" ht="16" customHeight="1">
      <c r="A92" s="745"/>
      <c r="B92" s="745"/>
      <c r="C92" s="847" t="s">
        <v>532</v>
      </c>
      <c r="D92" s="847"/>
      <c r="E92" s="847"/>
      <c r="F92" s="847"/>
      <c r="G92" s="847"/>
      <c r="H92" s="847"/>
      <c r="I92" s="847"/>
      <c r="J92" s="40"/>
      <c r="K92" s="40"/>
      <c r="L92" s="40"/>
      <c r="M92" s="40"/>
      <c r="N92" s="40"/>
      <c r="O92" s="40"/>
      <c r="P92" s="40"/>
      <c r="Q92" s="40"/>
      <c r="R92" s="40"/>
      <c r="S92" s="40"/>
      <c r="T92" s="40"/>
      <c r="U92" s="40"/>
      <c r="V92" s="40"/>
    </row>
    <row r="93" spans="1:22" ht="16" customHeight="1">
      <c r="A93" s="745"/>
      <c r="B93" s="745"/>
      <c r="C93" s="828"/>
      <c r="D93" s="828"/>
      <c r="E93" s="828"/>
      <c r="F93" s="828"/>
      <c r="G93" s="828"/>
      <c r="H93" s="828"/>
      <c r="I93" s="828"/>
    </row>
    <row r="94" spans="1:22" ht="16" customHeight="1">
      <c r="A94" s="745"/>
      <c r="B94" s="745"/>
      <c r="C94" s="828"/>
      <c r="D94" s="828"/>
      <c r="E94" s="828"/>
      <c r="F94" s="828"/>
      <c r="G94" s="828"/>
      <c r="H94" s="828"/>
      <c r="I94" s="828"/>
    </row>
    <row r="95" spans="1:22" ht="16" customHeight="1">
      <c r="A95" s="745"/>
      <c r="B95" s="745"/>
      <c r="C95" s="828"/>
      <c r="D95" s="828"/>
      <c r="E95" s="828"/>
      <c r="F95" s="828"/>
      <c r="G95" s="828"/>
      <c r="H95" s="828"/>
      <c r="I95" s="828"/>
    </row>
    <row r="96" spans="1:22" ht="19" customHeight="1">
      <c r="A96" s="745"/>
      <c r="B96" s="745"/>
      <c r="C96" s="828"/>
      <c r="D96" s="828"/>
      <c r="E96" s="828"/>
      <c r="F96" s="828"/>
      <c r="G96" s="828"/>
      <c r="H96" s="828"/>
      <c r="I96" s="828"/>
    </row>
  </sheetData>
  <sheetProtection sheet="1" objects="1" scenarios="1"/>
  <mergeCells count="179">
    <mergeCell ref="AQ8:BC8"/>
    <mergeCell ref="AQ9:AR9"/>
    <mergeCell ref="AT9:AU9"/>
    <mergeCell ref="AV9:AW9"/>
    <mergeCell ref="AX9:AY9"/>
    <mergeCell ref="AZ9:BA9"/>
    <mergeCell ref="BB9:BC9"/>
    <mergeCell ref="AT10:AU10"/>
    <mergeCell ref="AV10:AW10"/>
    <mergeCell ref="AX10:AY10"/>
    <mergeCell ref="AZ10:BA10"/>
    <mergeCell ref="BB10:BC10"/>
    <mergeCell ref="R10:S10"/>
    <mergeCell ref="T10:U10"/>
    <mergeCell ref="V10:W10"/>
    <mergeCell ref="X10:Y10"/>
    <mergeCell ref="AC5:AO5"/>
    <mergeCell ref="AC6:AG7"/>
    <mergeCell ref="AH6:AK6"/>
    <mergeCell ref="AL6:AO6"/>
    <mergeCell ref="AH7:AK7"/>
    <mergeCell ref="AL7:AO7"/>
    <mergeCell ref="AC8:AO8"/>
    <mergeCell ref="AC9:AD9"/>
    <mergeCell ref="AF9:AG9"/>
    <mergeCell ref="AH9:AI9"/>
    <mergeCell ref="AJ9:AK9"/>
    <mergeCell ref="AL9:AM9"/>
    <mergeCell ref="AN9:AO9"/>
    <mergeCell ref="AF10:AG10"/>
    <mergeCell ref="AH10:AI10"/>
    <mergeCell ref="AJ10:AK10"/>
    <mergeCell ref="AL10:AM10"/>
    <mergeCell ref="AN10:AO10"/>
    <mergeCell ref="O5:AA5"/>
    <mergeCell ref="A5:M5"/>
    <mergeCell ref="J6:M6"/>
    <mergeCell ref="F6:I6"/>
    <mergeCell ref="F7:I7"/>
    <mergeCell ref="A6:E7"/>
    <mergeCell ref="A8:M8"/>
    <mergeCell ref="J7:M7"/>
    <mergeCell ref="D9:E9"/>
    <mergeCell ref="Z9:AA9"/>
    <mergeCell ref="F9:G9"/>
    <mergeCell ref="A9:B9"/>
    <mergeCell ref="G75:H75"/>
    <mergeCell ref="G76:H76"/>
    <mergeCell ref="G77:H77"/>
    <mergeCell ref="G78:H78"/>
    <mergeCell ref="G60:H60"/>
    <mergeCell ref="G61:H61"/>
    <mergeCell ref="G62:H62"/>
    <mergeCell ref="G63:H63"/>
    <mergeCell ref="G64:H64"/>
    <mergeCell ref="G65:H65"/>
    <mergeCell ref="G66:H66"/>
    <mergeCell ref="G67:H67"/>
    <mergeCell ref="G68:H68"/>
    <mergeCell ref="H10:I10"/>
    <mergeCell ref="J10:K10"/>
    <mergeCell ref="L10:M10"/>
    <mergeCell ref="H9:I9"/>
    <mergeCell ref="J9:K9"/>
    <mergeCell ref="L9:M9"/>
    <mergeCell ref="A89:F89"/>
    <mergeCell ref="G89:H89"/>
    <mergeCell ref="A86:F86"/>
    <mergeCell ref="G86:H86"/>
    <mergeCell ref="A87:F87"/>
    <mergeCell ref="G87:H87"/>
    <mergeCell ref="A88:F88"/>
    <mergeCell ref="G88:H88"/>
    <mergeCell ref="G79:H79"/>
    <mergeCell ref="G80:H80"/>
    <mergeCell ref="A57:F57"/>
    <mergeCell ref="G57:H57"/>
    <mergeCell ref="A85:F85"/>
    <mergeCell ref="G85:H85"/>
    <mergeCell ref="A60:F60"/>
    <mergeCell ref="A61:F61"/>
    <mergeCell ref="A62:F62"/>
    <mergeCell ref="A72:F72"/>
    <mergeCell ref="A78:F78"/>
    <mergeCell ref="A79:F79"/>
    <mergeCell ref="A80:F80"/>
    <mergeCell ref="G69:H69"/>
    <mergeCell ref="G70:H70"/>
    <mergeCell ref="G71:H71"/>
    <mergeCell ref="G72:H72"/>
    <mergeCell ref="G73:H73"/>
    <mergeCell ref="A53:F53"/>
    <mergeCell ref="A63:F63"/>
    <mergeCell ref="A64:F64"/>
    <mergeCell ref="A65:F65"/>
    <mergeCell ref="A66:F66"/>
    <mergeCell ref="A67:F67"/>
    <mergeCell ref="A68:F68"/>
    <mergeCell ref="A69:F69"/>
    <mergeCell ref="A70:F70"/>
    <mergeCell ref="A71:F71"/>
    <mergeCell ref="A73:F73"/>
    <mergeCell ref="A74:F74"/>
    <mergeCell ref="A75:F75"/>
    <mergeCell ref="A76:F76"/>
    <mergeCell ref="A77:F77"/>
    <mergeCell ref="G74:H74"/>
    <mergeCell ref="A46:F46"/>
    <mergeCell ref="G45:H45"/>
    <mergeCell ref="G46:H46"/>
    <mergeCell ref="A43:I43"/>
    <mergeCell ref="A45:F45"/>
    <mergeCell ref="AQ5:BC5"/>
    <mergeCell ref="AQ6:AU7"/>
    <mergeCell ref="AV6:AY6"/>
    <mergeCell ref="AZ6:BC6"/>
    <mergeCell ref="AV7:AY7"/>
    <mergeCell ref="AZ7:BC7"/>
    <mergeCell ref="O6:S7"/>
    <mergeCell ref="T6:W6"/>
    <mergeCell ref="X6:AA6"/>
    <mergeCell ref="T7:W7"/>
    <mergeCell ref="X7:AA7"/>
    <mergeCell ref="O8:AA8"/>
    <mergeCell ref="O9:P9"/>
    <mergeCell ref="R9:S9"/>
    <mergeCell ref="T9:U9"/>
    <mergeCell ref="V9:W9"/>
    <mergeCell ref="X9:Y9"/>
    <mergeCell ref="D10:E10"/>
    <mergeCell ref="F10:G10"/>
    <mergeCell ref="A2:B2"/>
    <mergeCell ref="A3:B3"/>
    <mergeCell ref="A49:F49"/>
    <mergeCell ref="A50:F50"/>
    <mergeCell ref="A51:F51"/>
    <mergeCell ref="G51:H51"/>
    <mergeCell ref="A44:I44"/>
    <mergeCell ref="Z10:AA10"/>
    <mergeCell ref="C92:I96"/>
    <mergeCell ref="A58:F58"/>
    <mergeCell ref="G58:H58"/>
    <mergeCell ref="A59:F59"/>
    <mergeCell ref="A84:F84"/>
    <mergeCell ref="G84:H84"/>
    <mergeCell ref="G52:H52"/>
    <mergeCell ref="G53:H53"/>
    <mergeCell ref="G59:H59"/>
    <mergeCell ref="A81:F81"/>
    <mergeCell ref="G81:H81"/>
    <mergeCell ref="A82:F82"/>
    <mergeCell ref="G82:H82"/>
    <mergeCell ref="A83:F83"/>
    <mergeCell ref="G83:H83"/>
    <mergeCell ref="A52:F52"/>
    <mergeCell ref="C1:S1"/>
    <mergeCell ref="E2:S2"/>
    <mergeCell ref="E3:S3"/>
    <mergeCell ref="A92:B96"/>
    <mergeCell ref="A32:D32"/>
    <mergeCell ref="A31:D31"/>
    <mergeCell ref="G47:H47"/>
    <mergeCell ref="G48:H48"/>
    <mergeCell ref="G49:H49"/>
    <mergeCell ref="G50:H50"/>
    <mergeCell ref="A30:D30"/>
    <mergeCell ref="A54:F54"/>
    <mergeCell ref="A55:F55"/>
    <mergeCell ref="A56:F56"/>
    <mergeCell ref="G54:H54"/>
    <mergeCell ref="G55:H55"/>
    <mergeCell ref="G56:H56"/>
    <mergeCell ref="A47:F47"/>
    <mergeCell ref="A48:F48"/>
    <mergeCell ref="A90:F90"/>
    <mergeCell ref="G90:H90"/>
    <mergeCell ref="C4:S4"/>
    <mergeCell ref="C2:D2"/>
    <mergeCell ref="C3:D3"/>
  </mergeCells>
  <phoneticPr fontId="5" type="noConversion"/>
  <conditionalFormatting sqref="D11:D29">
    <cfRule type="expression" dxfId="988" priority="1" stopIfTrue="1">
      <formula>OR($A11&gt;0,)</formula>
    </cfRule>
  </conditionalFormatting>
  <conditionalFormatting sqref="E11:E29">
    <cfRule type="expression" dxfId="987" priority="569">
      <formula>AND($A11&gt;0,$D11="L")</formula>
    </cfRule>
    <cfRule type="expression" dxfId="986" priority="570">
      <formula>AND($A11&gt;0,$D11="E")</formula>
    </cfRule>
  </conditionalFormatting>
  <conditionalFormatting sqref="F11:F29">
    <cfRule type="expression" dxfId="985" priority="2" stopIfTrue="1">
      <formula>OR($A11&gt;0,)</formula>
    </cfRule>
  </conditionalFormatting>
  <conditionalFormatting sqref="G11:G29">
    <cfRule type="expression" dxfId="984" priority="571" stopIfTrue="1">
      <formula>AND($A11&gt;0,$F11="L")</formula>
    </cfRule>
    <cfRule type="expression" dxfId="983" priority="572">
      <formula>AND($A11&gt;0,$F11="E")</formula>
    </cfRule>
  </conditionalFormatting>
  <conditionalFormatting sqref="G46:I90">
    <cfRule type="expression" dxfId="982" priority="109">
      <formula>OR($A46&gt;0,)</formula>
    </cfRule>
  </conditionalFormatting>
  <conditionalFormatting sqref="G81:I90">
    <cfRule type="expression" dxfId="981" priority="110">
      <formula>OR($B81&gt;0,)</formula>
    </cfRule>
  </conditionalFormatting>
  <conditionalFormatting sqref="H11:H29">
    <cfRule type="expression" dxfId="980" priority="78">
      <formula>OR($A11&gt;0,)</formula>
    </cfRule>
  </conditionalFormatting>
  <conditionalFormatting sqref="I11:I29">
    <cfRule type="expression" dxfId="979" priority="573" stopIfTrue="1">
      <formula>AND($A11&gt;0,$H11="L")</formula>
    </cfRule>
    <cfRule type="expression" dxfId="978" priority="574" stopIfTrue="1">
      <formula>AND($A11&gt;0,$H11="E")</formula>
    </cfRule>
  </conditionalFormatting>
  <conditionalFormatting sqref="J11:J29">
    <cfRule type="expression" dxfId="977" priority="76">
      <formula>OR($A11&gt;0,)</formula>
    </cfRule>
  </conditionalFormatting>
  <conditionalFormatting sqref="K11:K29">
    <cfRule type="expression" dxfId="976" priority="576" stopIfTrue="1">
      <formula>AND($A11&gt;0,$J11="E")</formula>
    </cfRule>
    <cfRule type="expression" dxfId="975" priority="575">
      <formula>AND($A11&gt;0,$J11="L")</formula>
    </cfRule>
  </conditionalFormatting>
  <conditionalFormatting sqref="L11:L29">
    <cfRule type="expression" dxfId="974" priority="74" stopIfTrue="1">
      <formula>OR($A11&gt;0,)</formula>
    </cfRule>
  </conditionalFormatting>
  <conditionalFormatting sqref="M11:M29">
    <cfRule type="expression" dxfId="973" priority="578">
      <formula>AND($A11&gt;0,$L11="E")</formula>
    </cfRule>
    <cfRule type="expression" dxfId="972" priority="577">
      <formula>AND($A11&gt;0,$L11="L")</formula>
    </cfRule>
  </conditionalFormatting>
  <conditionalFormatting sqref="R11:R29">
    <cfRule type="expression" dxfId="971" priority="62">
      <formula>OR($O11&gt;0,)</formula>
    </cfRule>
  </conditionalFormatting>
  <conditionalFormatting sqref="S11:S29">
    <cfRule type="expression" dxfId="970" priority="64" stopIfTrue="1">
      <formula>AND($O11&gt;0,$R11="E")</formula>
    </cfRule>
    <cfRule type="expression" dxfId="969" priority="53" stopIfTrue="1">
      <formula>AND($O11&gt;0,$R11="L")</formula>
    </cfRule>
  </conditionalFormatting>
  <conditionalFormatting sqref="T11:T29">
    <cfRule type="expression" dxfId="968" priority="60" stopIfTrue="1">
      <formula>OR($O11&gt;0,)</formula>
    </cfRule>
  </conditionalFormatting>
  <conditionalFormatting sqref="U11:U29">
    <cfRule type="expression" dxfId="967" priority="51">
      <formula>AND($O11&gt;0,$T11="L")</formula>
    </cfRule>
    <cfRule type="expression" dxfId="966" priority="52" stopIfTrue="1">
      <formula>AND($O11&gt;0,$T11="E")</formula>
    </cfRule>
  </conditionalFormatting>
  <conditionalFormatting sqref="V11:V29">
    <cfRule type="expression" dxfId="965" priority="58">
      <formula>OR($O11&gt;0,)</formula>
    </cfRule>
  </conditionalFormatting>
  <conditionalFormatting sqref="W11:W29">
    <cfRule type="expression" dxfId="964" priority="49">
      <formula>AND($O11&gt;0,$V11="L")</formula>
    </cfRule>
    <cfRule type="expression" dxfId="963" priority="50">
      <formula>AND($O11&gt;0,$V11="E")</formula>
    </cfRule>
  </conditionalFormatting>
  <conditionalFormatting sqref="X11:X29">
    <cfRule type="expression" dxfId="962" priority="56">
      <formula>OR($O11&gt;0,)</formula>
    </cfRule>
  </conditionalFormatting>
  <conditionalFormatting sqref="Y11:Y29">
    <cfRule type="expression" dxfId="961" priority="48">
      <formula>AND($O11&gt;0,$X11="E")</formula>
    </cfRule>
    <cfRule type="expression" dxfId="960" priority="47" stopIfTrue="1">
      <formula>AND($O11&gt;0,$X11="L")</formula>
    </cfRule>
  </conditionalFormatting>
  <conditionalFormatting sqref="Z11:Z29">
    <cfRule type="expression" dxfId="959" priority="54">
      <formula>OR($O11&gt;0,)</formula>
    </cfRule>
  </conditionalFormatting>
  <conditionalFormatting sqref="AA11:AA29">
    <cfRule type="expression" dxfId="958" priority="46" stopIfTrue="1">
      <formula>AND($O11&gt;0,$Z11="E")</formula>
    </cfRule>
    <cfRule type="expression" dxfId="957" priority="45" stopIfTrue="1">
      <formula>AND($O11&gt;0,$Z11="L")</formula>
    </cfRule>
  </conditionalFormatting>
  <conditionalFormatting sqref="AF11:AF29">
    <cfRule type="expression" dxfId="956" priority="42">
      <formula>OR($AC11&gt;0,)</formula>
    </cfRule>
  </conditionalFormatting>
  <conditionalFormatting sqref="AG11:AG29">
    <cfRule type="expression" dxfId="955" priority="44" stopIfTrue="1">
      <formula>AND($AC11&gt;0,$AF11="E")</formula>
    </cfRule>
    <cfRule type="expression" dxfId="954" priority="33" stopIfTrue="1">
      <formula>AND($AC11&gt;0,$AF11="L")</formula>
    </cfRule>
  </conditionalFormatting>
  <conditionalFormatting sqref="AH11:AH29">
    <cfRule type="expression" dxfId="953" priority="40">
      <formula>OR($AC11&gt;0,)</formula>
    </cfRule>
  </conditionalFormatting>
  <conditionalFormatting sqref="AI11:AI29">
    <cfRule type="expression" dxfId="952" priority="31">
      <formula>AND($AC11&gt;0,$AH11="L")</formula>
    </cfRule>
    <cfRule type="expression" dxfId="951" priority="32" stopIfTrue="1">
      <formula>AND($AC11&gt;0,$AH11="E")</formula>
    </cfRule>
  </conditionalFormatting>
  <conditionalFormatting sqref="AJ11:AJ29">
    <cfRule type="expression" dxfId="950" priority="38">
      <formula>OR($AC11&gt;0,)</formula>
    </cfRule>
  </conditionalFormatting>
  <conditionalFormatting sqref="AK11:AK29">
    <cfRule type="expression" dxfId="949" priority="30">
      <formula>AND($AC11&gt;0,$AJ11="E")</formula>
    </cfRule>
    <cfRule type="expression" dxfId="948" priority="29">
      <formula>AND($AC11&gt;0,$AJ11="L")</formula>
    </cfRule>
  </conditionalFormatting>
  <conditionalFormatting sqref="AL11:AL29">
    <cfRule type="expression" dxfId="947" priority="36">
      <formula>OR($AC11&gt;0,)</formula>
    </cfRule>
  </conditionalFormatting>
  <conditionalFormatting sqref="AM11:AM29">
    <cfRule type="expression" dxfId="946" priority="28">
      <formula>AND($AC11&gt;0,$AL11="E")</formula>
    </cfRule>
    <cfRule type="expression" dxfId="945" priority="27" stopIfTrue="1">
      <formula>AND($AC11&gt;0,$AL11="L")</formula>
    </cfRule>
  </conditionalFormatting>
  <conditionalFormatting sqref="AN11:AN29">
    <cfRule type="expression" dxfId="944" priority="34">
      <formula>OR($AC11&gt;0,)</formula>
    </cfRule>
  </conditionalFormatting>
  <conditionalFormatting sqref="AO11:AO29">
    <cfRule type="expression" dxfId="943" priority="26" stopIfTrue="1">
      <formula>AND($AC11&gt;0,$AN11="E")</formula>
    </cfRule>
    <cfRule type="expression" dxfId="942" priority="25" stopIfTrue="1">
      <formula>AND($AC11&gt;0,$AN11="L")</formula>
    </cfRule>
  </conditionalFormatting>
  <conditionalFormatting sqref="AT11:AT29">
    <cfRule type="expression" dxfId="941" priority="22" stopIfTrue="1">
      <formula>OR($AQ11&gt;0,)</formula>
    </cfRule>
  </conditionalFormatting>
  <conditionalFormatting sqref="AU11:AU29">
    <cfRule type="expression" dxfId="940" priority="24" stopIfTrue="1">
      <formula>AND($AQ11&gt;0,$AT11="E")</formula>
    </cfRule>
    <cfRule type="expression" dxfId="939" priority="13" stopIfTrue="1">
      <formula>AND($AQ11&gt;0,$AT11="L")</formula>
    </cfRule>
  </conditionalFormatting>
  <conditionalFormatting sqref="AV11:AV29">
    <cfRule type="expression" dxfId="938" priority="20">
      <formula>OR($AQ11&gt;0,)</formula>
    </cfRule>
  </conditionalFormatting>
  <conditionalFormatting sqref="AW11:AW29">
    <cfRule type="expression" dxfId="937" priority="11">
      <formula>AND($AQ11&gt;0,$AV11="L")</formula>
    </cfRule>
    <cfRule type="expression" dxfId="936" priority="12" stopIfTrue="1">
      <formula>AND($AQ11&gt;0,$AV11="E")</formula>
    </cfRule>
  </conditionalFormatting>
  <conditionalFormatting sqref="AX11:AX29">
    <cfRule type="expression" dxfId="935" priority="18">
      <formula>OR($AQ11&gt;0,)</formula>
    </cfRule>
  </conditionalFormatting>
  <conditionalFormatting sqref="AY11:AY29">
    <cfRule type="expression" dxfId="934" priority="10">
      <formula>AND($AQ11&gt;0,$AX11="E")</formula>
    </cfRule>
    <cfRule type="expression" dxfId="933" priority="9">
      <formula>AND($AQ11&gt;0,$AX11="L")</formula>
    </cfRule>
  </conditionalFormatting>
  <conditionalFormatting sqref="AZ11:AZ29">
    <cfRule type="expression" dxfId="932" priority="16">
      <formula>OR($AQ11&gt;0,)</formula>
    </cfRule>
  </conditionalFormatting>
  <conditionalFormatting sqref="BA11:BA29">
    <cfRule type="expression" dxfId="931" priority="562">
      <formula>AND($AQ11&gt;0,$AZ11="E")</formula>
    </cfRule>
    <cfRule type="expression" dxfId="930" priority="561" stopIfTrue="1">
      <formula>AND($AQ11&gt;0,$AZ11="L")</formula>
    </cfRule>
  </conditionalFormatting>
  <conditionalFormatting sqref="BB11:BB29">
    <cfRule type="expression" dxfId="929" priority="14">
      <formula>OR($AQ11&gt;0,)</formula>
    </cfRule>
  </conditionalFormatting>
  <conditionalFormatting sqref="BC11:BC29">
    <cfRule type="expression" dxfId="928" priority="564" stopIfTrue="1">
      <formula>AND($AQ11&gt;0,$BB11="E")</formula>
    </cfRule>
    <cfRule type="expression" dxfId="927" priority="563" stopIfTrue="1">
      <formula>AND($AQ11&gt;0,$BB11="L")</formula>
    </cfRule>
  </conditionalFormatting>
  <dataValidations count="2">
    <dataValidation type="list" allowBlank="1" showInputMessage="1" showErrorMessage="1" sqref="G46:H90" xr:uid="{B959E193-F64B-2646-AE0E-B939BAAB1791}">
      <formula1>$K$43:$V$43</formula1>
    </dataValidation>
    <dataValidation type="list" allowBlank="1" showInputMessage="1" showErrorMessage="1" sqref="H11:H29 Z11:Z29 AN11:AN29 AT11:AT29 AX11:AX29 AL11:AL29 X11:X29 AF11:AF29 AH11:AH29 AJ11:AJ29 V11:V29 L11:L29 R11:R29 T11:T29 BB11:BB29 J11:J29 F11:F29 AZ11:AZ29 D11:D29 AV11:AV29" xr:uid="{BB49B1B2-8215-E744-AB0B-F29E1E132C33}">
      <formula1>$N$11:$N$12</formula1>
    </dataValidation>
  </dataValidations>
  <pageMargins left="0.7" right="0.7" top="0.75" bottom="0.75" header="0.3" footer="0.3"/>
  <pageSetup paperSize="9" scale="43" fitToWidth="4" orientation="portrait" horizontalDpi="0" verticalDpi="0"/>
  <colBreaks count="3" manualBreakCount="3">
    <brk id="14" min="4" max="90" man="1"/>
    <brk id="28" min="4" max="90" man="1"/>
    <brk id="42" min="4" max="90"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GC139"/>
  <sheetViews>
    <sheetView topLeftCell="A15" zoomScaleNormal="100" workbookViewId="0">
      <selection activeCell="GC16" sqref="Y1:GC104857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11" width="10.83203125" hidden="1" customWidth="1"/>
    <col min="112" max="112" width="28" hidden="1" customWidth="1"/>
    <col min="113" max="117" width="10.83203125" hidden="1" customWidth="1"/>
    <col min="118" max="118" width="31.1640625" hidden="1" customWidth="1"/>
    <col min="119" max="185" width="10.83203125" hidden="1" customWidth="1"/>
    <col min="186" max="187" width="10.83203125" customWidth="1"/>
  </cols>
  <sheetData>
    <row r="1" spans="1:185" ht="16" customHeight="1">
      <c r="A1" s="351" t="e">
        <f>#REF!</f>
        <v>#REF!</v>
      </c>
      <c r="B1" s="89"/>
      <c r="C1" s="89"/>
      <c r="D1" s="89"/>
      <c r="E1" s="89"/>
      <c r="F1" s="89"/>
      <c r="G1" s="89"/>
      <c r="H1" s="275"/>
      <c r="I1" s="274"/>
      <c r="J1" s="89"/>
      <c r="K1" s="227"/>
      <c r="L1" s="227"/>
      <c r="M1" s="227"/>
      <c r="N1" s="227"/>
      <c r="O1" s="227"/>
      <c r="P1" s="89"/>
      <c r="Q1" s="89"/>
      <c r="R1" s="89"/>
      <c r="S1" s="89"/>
      <c r="T1" s="89"/>
      <c r="U1" s="89"/>
      <c r="V1" s="89"/>
      <c r="W1" s="89"/>
      <c r="Y1" s="242"/>
      <c r="Z1" s="89"/>
      <c r="AB1" s="89"/>
      <c r="AC1" s="89"/>
      <c r="AH1" s="89"/>
      <c r="AI1" s="89"/>
      <c r="CX1" s="244"/>
      <c r="CZ1"/>
    </row>
    <row r="2" spans="1:185" ht="128" customHeight="1">
      <c r="A2" s="936">
        <v>8</v>
      </c>
      <c r="B2" s="936"/>
      <c r="C2" s="936"/>
      <c r="D2" s="936"/>
      <c r="E2" s="828" t="s">
        <v>454</v>
      </c>
      <c r="F2" s="828"/>
      <c r="G2" s="828"/>
      <c r="H2" s="828"/>
      <c r="I2" s="828"/>
      <c r="J2" s="828"/>
      <c r="K2" s="828"/>
      <c r="L2" s="828"/>
      <c r="M2" s="828"/>
      <c r="N2" s="828"/>
      <c r="O2" s="828"/>
      <c r="P2" s="89"/>
      <c r="Q2" s="89"/>
      <c r="R2" s="89"/>
      <c r="S2" s="89"/>
      <c r="T2" s="89"/>
      <c r="U2" s="89"/>
      <c r="V2" s="89"/>
      <c r="W2" s="122" t="s">
        <v>31</v>
      </c>
      <c r="X2" s="89"/>
      <c r="Y2" s="242"/>
      <c r="Z2" s="89"/>
      <c r="AB2" s="89"/>
      <c r="AC2" s="89"/>
      <c r="AH2" s="89"/>
      <c r="AI2" s="89"/>
      <c r="CX2" s="244"/>
      <c r="CZ2"/>
    </row>
    <row r="3" spans="1:185" ht="87" customHeight="1" thickBot="1">
      <c r="A3" s="936"/>
      <c r="B3" s="936"/>
      <c r="C3" s="936"/>
      <c r="D3" s="936"/>
      <c r="E3" s="828" t="s">
        <v>672</v>
      </c>
      <c r="F3" s="828"/>
      <c r="G3" s="828"/>
      <c r="H3" s="828"/>
      <c r="I3" s="828"/>
      <c r="J3" s="828"/>
      <c r="K3" s="828"/>
      <c r="L3" s="828"/>
      <c r="M3" s="828"/>
      <c r="N3" s="828"/>
      <c r="O3" s="828"/>
      <c r="P3" s="89"/>
      <c r="Q3" s="89"/>
      <c r="R3" s="89"/>
      <c r="S3" s="89"/>
      <c r="T3" s="89"/>
      <c r="U3" s="89"/>
      <c r="V3" s="89"/>
      <c r="W3" s="122"/>
      <c r="X3" s="122"/>
      <c r="Y3" s="242"/>
      <c r="Z3" s="89"/>
      <c r="AB3" s="89"/>
      <c r="AC3" s="89"/>
      <c r="AH3" s="89"/>
      <c r="AI3" s="89"/>
      <c r="CX3" s="244"/>
      <c r="CZ3"/>
    </row>
    <row r="4" spans="1:185" ht="17" thickBot="1">
      <c r="A4" s="937" t="s">
        <v>309</v>
      </c>
      <c r="B4" s="938"/>
      <c r="C4" s="938"/>
      <c r="D4" s="938"/>
      <c r="E4" s="938"/>
      <c r="F4" s="938"/>
      <c r="G4" s="938"/>
      <c r="H4" s="938"/>
      <c r="I4" s="938"/>
      <c r="J4" s="938"/>
      <c r="K4" s="938"/>
      <c r="L4" s="938"/>
      <c r="M4" s="938"/>
      <c r="N4" s="938"/>
      <c r="O4" s="938"/>
      <c r="P4" s="938"/>
      <c r="Q4" s="938"/>
      <c r="R4" s="938"/>
      <c r="S4" s="938"/>
      <c r="T4" s="938"/>
      <c r="U4" s="938"/>
      <c r="V4" s="938"/>
      <c r="W4" s="938"/>
      <c r="X4" s="939"/>
      <c r="Y4"/>
      <c r="Z4" s="89"/>
      <c r="AA4" s="89"/>
      <c r="AE4" s="89"/>
      <c r="AF4" s="89"/>
      <c r="AG4" s="89"/>
      <c r="CV4" s="244"/>
      <c r="CW4" s="244"/>
      <c r="CY4"/>
      <c r="CZ4"/>
      <c r="FI4" s="893" t="s">
        <v>623</v>
      </c>
      <c r="FJ4" s="894"/>
      <c r="FK4" s="894"/>
      <c r="FL4" s="894"/>
      <c r="FM4" s="894"/>
      <c r="FN4" s="894"/>
      <c r="FO4" s="894"/>
      <c r="FP4" s="894"/>
      <c r="FQ4" s="894"/>
      <c r="FR4" s="894"/>
      <c r="FS4" s="894"/>
      <c r="FT4" s="894"/>
      <c r="FU4" s="894"/>
      <c r="FV4" s="894"/>
      <c r="FW4" s="894"/>
      <c r="FX4" s="894"/>
      <c r="FY4" s="894"/>
      <c r="FZ4" s="894"/>
      <c r="GA4" s="894"/>
      <c r="GB4" s="894"/>
      <c r="GC4" s="895"/>
    </row>
    <row r="5" spans="1:185" ht="268" thickBot="1">
      <c r="A5" s="930" t="s">
        <v>431</v>
      </c>
      <c r="B5" s="931"/>
      <c r="C5" s="931"/>
      <c r="D5" s="931"/>
      <c r="E5" s="935" t="s">
        <v>310</v>
      </c>
      <c r="F5" s="935"/>
      <c r="G5" s="935"/>
      <c r="H5" s="276" t="s">
        <v>413</v>
      </c>
      <c r="I5" s="432" t="s">
        <v>466</v>
      </c>
      <c r="J5" s="432" t="s">
        <v>467</v>
      </c>
      <c r="K5" s="946" t="s">
        <v>514</v>
      </c>
      <c r="L5" s="946"/>
      <c r="M5" s="478" t="s">
        <v>456</v>
      </c>
      <c r="N5" s="478" t="s">
        <v>432</v>
      </c>
      <c r="O5" s="478" t="s">
        <v>433</v>
      </c>
      <c r="P5" s="479" t="s">
        <v>457</v>
      </c>
      <c r="Q5" s="479" t="s">
        <v>308</v>
      </c>
      <c r="R5" s="479" t="s">
        <v>434</v>
      </c>
      <c r="S5" s="480" t="s">
        <v>464</v>
      </c>
      <c r="T5" s="480" t="s">
        <v>435</v>
      </c>
      <c r="U5" s="480" t="s">
        <v>436</v>
      </c>
      <c r="V5" s="481" t="s">
        <v>458</v>
      </c>
      <c r="W5" s="481" t="s">
        <v>399</v>
      </c>
      <c r="X5" s="482" t="s">
        <v>398</v>
      </c>
      <c r="Y5" s="242"/>
      <c r="Z5" s="89"/>
      <c r="AB5" s="89"/>
      <c r="AC5" s="89"/>
      <c r="AH5" s="89"/>
      <c r="AI5" s="89"/>
      <c r="CX5" s="244"/>
      <c r="CZ5"/>
      <c r="FI5" s="745" t="s">
        <v>621</v>
      </c>
      <c r="FJ5" s="745"/>
      <c r="FK5" s="745"/>
      <c r="FL5" s="745"/>
      <c r="FM5" t="s">
        <v>614</v>
      </c>
      <c r="FO5" s="745" t="s">
        <v>620</v>
      </c>
      <c r="FP5" s="745"/>
      <c r="FQ5" s="745"/>
      <c r="FR5" s="745"/>
    </row>
    <row r="6" spans="1:185" ht="26" customHeight="1" thickBot="1">
      <c r="A6" s="947" t="str">
        <f>""&amp;A8&amp;" måneds kalender for: "&amp;Stamoplysninger!E8&amp;". Måneden vedr. normperioden: "&amp;Stamoplysninger!E11&amp;" - "&amp;Stamoplysninger!G11&amp;"."</f>
        <v>August måneds kalender for: . Måneden vedr. normperioden:  - .</v>
      </c>
      <c r="B6" s="948"/>
      <c r="C6" s="948"/>
      <c r="D6" s="948"/>
      <c r="E6" s="948"/>
      <c r="F6" s="948"/>
      <c r="G6" s="948"/>
      <c r="H6" s="948"/>
      <c r="I6" s="948"/>
      <c r="J6" s="948"/>
      <c r="K6" s="948"/>
      <c r="L6" s="948"/>
      <c r="M6" s="948"/>
      <c r="N6" s="948"/>
      <c r="O6" s="948"/>
      <c r="P6" s="948"/>
      <c r="Q6" s="948"/>
      <c r="R6" s="948"/>
      <c r="S6" s="940" t="s">
        <v>305</v>
      </c>
      <c r="T6" s="941"/>
      <c r="U6" s="941"/>
      <c r="V6" s="941"/>
      <c r="W6" s="941"/>
      <c r="X6" s="942"/>
      <c r="Y6" s="242"/>
      <c r="Z6" s="89"/>
      <c r="AB6" s="89"/>
      <c r="AC6" s="89"/>
      <c r="AH6" s="89"/>
      <c r="AI6" s="89"/>
      <c r="CX6" s="244"/>
      <c r="CZ6"/>
      <c r="FI6" s="896" t="s">
        <v>607</v>
      </c>
      <c r="FJ6" s="896"/>
      <c r="FK6" s="896"/>
      <c r="FL6" s="896"/>
      <c r="FM6" s="896"/>
      <c r="FN6" s="896"/>
      <c r="FO6" s="896"/>
      <c r="FP6" s="896"/>
      <c r="FQ6" s="896"/>
      <c r="FR6" s="896"/>
      <c r="FU6" t="s">
        <v>622</v>
      </c>
      <c r="FV6" t="s">
        <v>615</v>
      </c>
      <c r="FX6" t="s">
        <v>616</v>
      </c>
      <c r="FZ6" t="s">
        <v>617</v>
      </c>
      <c r="GB6" s="518" t="s">
        <v>618</v>
      </c>
    </row>
    <row r="7" spans="1:185" ht="47" customHeight="1">
      <c r="A7" s="324">
        <v>2024</v>
      </c>
      <c r="B7" s="238"/>
      <c r="C7" s="239"/>
      <c r="D7" s="240"/>
      <c r="E7" s="955" t="s">
        <v>470</v>
      </c>
      <c r="F7" s="956"/>
      <c r="G7" s="957"/>
      <c r="H7" s="321" t="s">
        <v>323</v>
      </c>
      <c r="I7" s="903" t="s">
        <v>465</v>
      </c>
      <c r="J7" s="953" t="s">
        <v>486</v>
      </c>
      <c r="K7" s="949" t="s">
        <v>302</v>
      </c>
      <c r="L7" s="950"/>
      <c r="M7" s="322" t="s">
        <v>303</v>
      </c>
      <c r="N7" s="903" t="s">
        <v>446</v>
      </c>
      <c r="O7" s="903" t="s">
        <v>307</v>
      </c>
      <c r="P7" s="903" t="s">
        <v>455</v>
      </c>
      <c r="Q7" s="903" t="s">
        <v>386</v>
      </c>
      <c r="R7" s="906" t="s">
        <v>515</v>
      </c>
      <c r="S7" s="968" t="s">
        <v>304</v>
      </c>
      <c r="T7" s="969"/>
      <c r="U7" s="969"/>
      <c r="V7" s="969"/>
      <c r="W7" s="969"/>
      <c r="X7" s="970"/>
      <c r="Y7" s="211"/>
      <c r="Z7" s="211"/>
      <c r="AA7" s="905" t="s">
        <v>261</v>
      </c>
      <c r="AB7" s="905"/>
      <c r="AC7" s="905"/>
      <c r="AD7" s="905"/>
      <c r="AE7" s="905"/>
      <c r="AF7" s="208"/>
      <c r="AG7" s="905" t="s">
        <v>222</v>
      </c>
      <c r="AH7" s="905"/>
      <c r="AI7" s="905"/>
      <c r="AJ7" s="905"/>
      <c r="AK7" s="905"/>
      <c r="AL7" s="905" t="s">
        <v>223</v>
      </c>
      <c r="AM7" s="905"/>
      <c r="AN7" s="905"/>
      <c r="AO7" s="905"/>
      <c r="AP7" s="905"/>
      <c r="AQ7" s="905" t="s">
        <v>224</v>
      </c>
      <c r="AR7" s="905"/>
      <c r="AS7" s="905"/>
      <c r="AT7" s="905"/>
      <c r="AU7" s="905"/>
      <c r="AV7" s="905" t="s">
        <v>225</v>
      </c>
      <c r="AW7" s="905"/>
      <c r="AX7" s="905"/>
      <c r="AY7" s="905"/>
      <c r="AZ7" s="905"/>
      <c r="BA7" s="295"/>
      <c r="BB7" s="208"/>
      <c r="BC7" s="905" t="s">
        <v>264</v>
      </c>
      <c r="BD7" s="905"/>
      <c r="BE7" s="905"/>
      <c r="BF7" s="905"/>
      <c r="BG7" s="905" t="s">
        <v>227</v>
      </c>
      <c r="BH7" s="905"/>
      <c r="BI7" s="905"/>
      <c r="BJ7" s="905"/>
      <c r="BK7" s="905"/>
      <c r="BL7" s="905" t="s">
        <v>228</v>
      </c>
      <c r="BM7" s="905"/>
      <c r="BN7" s="905"/>
      <c r="BO7" s="905"/>
      <c r="BP7" s="905"/>
      <c r="BQ7" s="905" t="s">
        <v>229</v>
      </c>
      <c r="BR7" s="905"/>
      <c r="BS7" s="905"/>
      <c r="BT7" s="905"/>
      <c r="BU7" s="905"/>
      <c r="BV7" s="905" t="s">
        <v>230</v>
      </c>
      <c r="BW7" s="905"/>
      <c r="BX7" s="905"/>
      <c r="BY7" s="905"/>
      <c r="BZ7" s="905"/>
      <c r="CD7" s="905" t="s">
        <v>265</v>
      </c>
      <c r="CE7" s="905"/>
      <c r="CF7" s="905"/>
      <c r="CG7" s="905"/>
      <c r="CH7" s="905"/>
      <c r="CI7" s="905" t="s">
        <v>267</v>
      </c>
      <c r="CJ7" s="905"/>
      <c r="CK7" s="905"/>
      <c r="CL7" s="905"/>
      <c r="CM7" s="905"/>
      <c r="CN7" s="905" t="s">
        <v>266</v>
      </c>
      <c r="CO7" s="905"/>
      <c r="CP7" s="905"/>
      <c r="CQ7" s="905"/>
      <c r="CR7" s="905"/>
      <c r="CS7" s="905" t="s">
        <v>268</v>
      </c>
      <c r="CT7" s="905"/>
      <c r="CU7" s="905"/>
      <c r="CV7" s="905"/>
      <c r="CW7" s="905"/>
      <c r="CX7" s="244"/>
      <c r="CZ7"/>
      <c r="DA7" s="745" t="s">
        <v>212</v>
      </c>
      <c r="DB7" s="745"/>
      <c r="DC7" s="745"/>
      <c r="DD7" s="745"/>
      <c r="DE7" s="745"/>
      <c r="DO7" s="1064" t="s">
        <v>319</v>
      </c>
      <c r="DP7" s="1065"/>
      <c r="DQ7" s="1065"/>
      <c r="DR7" s="1065"/>
      <c r="DS7" s="1065"/>
      <c r="DT7" s="1065"/>
      <c r="DU7" s="1065"/>
      <c r="DV7" s="1066"/>
      <c r="DW7" s="1067" t="s">
        <v>319</v>
      </c>
      <c r="DX7" s="1068"/>
      <c r="DY7" s="1068"/>
      <c r="DZ7" s="1068"/>
      <c r="EA7" s="1068"/>
      <c r="EB7" s="1069"/>
      <c r="EC7" s="1070" t="s">
        <v>375</v>
      </c>
      <c r="ED7" s="1071"/>
      <c r="EE7" s="1071"/>
      <c r="EF7" s="1071"/>
      <c r="EG7" s="1071"/>
      <c r="EH7" s="1071"/>
      <c r="EI7" s="1071"/>
      <c r="EJ7" s="1072"/>
      <c r="EK7" s="1073" t="s">
        <v>320</v>
      </c>
      <c r="EL7" s="1074"/>
      <c r="EM7" s="1074"/>
      <c r="EN7" s="1075"/>
      <c r="EO7" s="1073" t="s">
        <v>324</v>
      </c>
      <c r="EP7" s="1074"/>
      <c r="EQ7" s="1074"/>
      <c r="ER7" s="1075"/>
      <c r="ES7" s="888" t="s">
        <v>378</v>
      </c>
      <c r="ET7" s="889"/>
      <c r="EU7" s="889"/>
      <c r="EV7" s="890"/>
      <c r="EW7" s="888" t="s">
        <v>379</v>
      </c>
      <c r="EX7" s="889"/>
      <c r="EY7" s="889"/>
      <c r="EZ7" s="890"/>
      <c r="FA7" s="888" t="s">
        <v>380</v>
      </c>
      <c r="FB7" s="889"/>
      <c r="FC7" s="889"/>
      <c r="FD7" s="890"/>
      <c r="FE7" s="888" t="s">
        <v>381</v>
      </c>
      <c r="FF7" s="889"/>
      <c r="FG7" s="889"/>
      <c r="FH7" s="890"/>
      <c r="FI7" s="898" t="s">
        <v>592</v>
      </c>
      <c r="FJ7" s="899"/>
      <c r="FK7" s="899"/>
      <c r="FL7" s="1076"/>
      <c r="FM7" s="897" t="s">
        <v>380</v>
      </c>
      <c r="FN7" s="897"/>
      <c r="FO7" s="898" t="s">
        <v>619</v>
      </c>
      <c r="FP7" s="899"/>
      <c r="FQ7" s="899"/>
      <c r="FR7" s="900"/>
      <c r="FS7" s="901" t="s">
        <v>609</v>
      </c>
      <c r="FT7" s="902"/>
      <c r="FU7" t="s">
        <v>612</v>
      </c>
      <c r="FV7" s="897" t="s">
        <v>378</v>
      </c>
      <c r="FW7" s="897"/>
      <c r="FX7" s="897" t="s">
        <v>379</v>
      </c>
      <c r="FY7" s="897"/>
      <c r="FZ7" s="897" t="s">
        <v>381</v>
      </c>
      <c r="GA7" s="897"/>
      <c r="GB7" s="897" t="s">
        <v>377</v>
      </c>
      <c r="GC7" s="897"/>
    </row>
    <row r="8" spans="1:185" ht="178" customHeight="1">
      <c r="A8" s="1012" t="s">
        <v>234</v>
      </c>
      <c r="B8" s="1013"/>
      <c r="C8" s="1013"/>
      <c r="D8" s="1014"/>
      <c r="E8" s="958"/>
      <c r="F8" s="959"/>
      <c r="G8" s="960"/>
      <c r="H8" s="967" t="s">
        <v>485</v>
      </c>
      <c r="I8" s="952"/>
      <c r="J8" s="954"/>
      <c r="K8" s="323" t="s">
        <v>516</v>
      </c>
      <c r="L8" s="323" t="s">
        <v>517</v>
      </c>
      <c r="M8" s="323" t="s">
        <v>518</v>
      </c>
      <c r="N8" s="904"/>
      <c r="O8" s="904"/>
      <c r="P8" s="904"/>
      <c r="Q8" s="904"/>
      <c r="R8" s="907"/>
      <c r="S8" s="484" t="s">
        <v>668</v>
      </c>
      <c r="T8" s="322" t="s">
        <v>306</v>
      </c>
      <c r="U8" s="322" t="s">
        <v>400</v>
      </c>
      <c r="V8" s="437" t="s">
        <v>438</v>
      </c>
      <c r="W8" s="437" t="s">
        <v>437</v>
      </c>
      <c r="X8" s="438" t="s">
        <v>397</v>
      </c>
      <c r="Y8" s="211" t="s">
        <v>279</v>
      </c>
      <c r="Z8" s="211" t="s">
        <v>280</v>
      </c>
      <c r="AA8" s="296" t="s">
        <v>211</v>
      </c>
      <c r="AB8" t="s">
        <v>136</v>
      </c>
      <c r="AC8" t="s">
        <v>139</v>
      </c>
      <c r="AD8" t="s">
        <v>138</v>
      </c>
      <c r="AE8" t="s">
        <v>137</v>
      </c>
      <c r="AF8" t="s">
        <v>415</v>
      </c>
      <c r="AG8" t="s">
        <v>34</v>
      </c>
      <c r="AH8" t="s">
        <v>35</v>
      </c>
      <c r="AI8" t="s">
        <v>36</v>
      </c>
      <c r="AJ8" t="s">
        <v>37</v>
      </c>
      <c r="AK8" t="s">
        <v>38</v>
      </c>
      <c r="AL8" t="s">
        <v>34</v>
      </c>
      <c r="AM8" t="s">
        <v>35</v>
      </c>
      <c r="AN8" t="s">
        <v>36</v>
      </c>
      <c r="AO8" t="s">
        <v>37</v>
      </c>
      <c r="AP8" t="s">
        <v>38</v>
      </c>
      <c r="AQ8" t="s">
        <v>34</v>
      </c>
      <c r="AR8" t="s">
        <v>35</v>
      </c>
      <c r="AS8" t="s">
        <v>36</v>
      </c>
      <c r="AT8" t="s">
        <v>37</v>
      </c>
      <c r="AU8" t="s">
        <v>38</v>
      </c>
      <c r="AV8" t="s">
        <v>34</v>
      </c>
      <c r="AW8" t="s">
        <v>35</v>
      </c>
      <c r="AX8" t="s">
        <v>36</v>
      </c>
      <c r="AY8" t="s">
        <v>37</v>
      </c>
      <c r="AZ8" t="s">
        <v>38</v>
      </c>
      <c r="BA8" t="s">
        <v>226</v>
      </c>
      <c r="BB8" s="225" t="s">
        <v>213</v>
      </c>
      <c r="BC8" t="s">
        <v>263</v>
      </c>
      <c r="BD8" t="s">
        <v>262</v>
      </c>
      <c r="BE8" t="s">
        <v>248</v>
      </c>
      <c r="BF8" t="s">
        <v>249</v>
      </c>
      <c r="BG8" t="s">
        <v>34</v>
      </c>
      <c r="BH8" t="s">
        <v>35</v>
      </c>
      <c r="BI8" t="s">
        <v>36</v>
      </c>
      <c r="BJ8" t="s">
        <v>37</v>
      </c>
      <c r="BK8" t="s">
        <v>38</v>
      </c>
      <c r="BL8" t="s">
        <v>34</v>
      </c>
      <c r="BM8" t="s">
        <v>35</v>
      </c>
      <c r="BN8" t="s">
        <v>36</v>
      </c>
      <c r="BO8" t="s">
        <v>37</v>
      </c>
      <c r="BP8" t="s">
        <v>38</v>
      </c>
      <c r="BQ8" t="s">
        <v>34</v>
      </c>
      <c r="BR8" t="s">
        <v>35</v>
      </c>
      <c r="BS8" t="s">
        <v>36</v>
      </c>
      <c r="BT8" t="s">
        <v>37</v>
      </c>
      <c r="BU8" t="s">
        <v>38</v>
      </c>
      <c r="BV8" t="s">
        <v>34</v>
      </c>
      <c r="BW8" t="s">
        <v>35</v>
      </c>
      <c r="BX8" t="s">
        <v>36</v>
      </c>
      <c r="BY8" t="s">
        <v>37</v>
      </c>
      <c r="BZ8" t="s">
        <v>38</v>
      </c>
      <c r="CA8" s="111" t="s">
        <v>231</v>
      </c>
      <c r="CB8" s="230" t="s">
        <v>251</v>
      </c>
      <c r="CC8" s="296" t="s">
        <v>252</v>
      </c>
      <c r="CD8" t="s">
        <v>34</v>
      </c>
      <c r="CE8" t="s">
        <v>35</v>
      </c>
      <c r="CF8" t="s">
        <v>36</v>
      </c>
      <c r="CG8" t="s">
        <v>37</v>
      </c>
      <c r="CH8" t="s">
        <v>38</v>
      </c>
      <c r="CI8" t="s">
        <v>34</v>
      </c>
      <c r="CJ8" t="s">
        <v>35</v>
      </c>
      <c r="CK8" t="s">
        <v>36</v>
      </c>
      <c r="CL8" t="s">
        <v>37</v>
      </c>
      <c r="CM8" t="s">
        <v>38</v>
      </c>
      <c r="CN8" t="s">
        <v>34</v>
      </c>
      <c r="CO8" t="s">
        <v>35</v>
      </c>
      <c r="CP8" t="s">
        <v>36</v>
      </c>
      <c r="CQ8" t="s">
        <v>37</v>
      </c>
      <c r="CR8" t="s">
        <v>38</v>
      </c>
      <c r="CS8" t="s">
        <v>34</v>
      </c>
      <c r="CT8" t="s">
        <v>35</v>
      </c>
      <c r="CU8" t="s">
        <v>36</v>
      </c>
      <c r="CV8" t="s">
        <v>37</v>
      </c>
      <c r="CW8" t="s">
        <v>38</v>
      </c>
      <c r="CX8" s="244" t="s">
        <v>277</v>
      </c>
      <c r="CY8" s="244" t="s">
        <v>269</v>
      </c>
      <c r="CZ8" s="244" t="s">
        <v>270</v>
      </c>
      <c r="DA8" s="244" t="s">
        <v>271</v>
      </c>
      <c r="DB8" s="244" t="s">
        <v>272</v>
      </c>
      <c r="DC8" s="244" t="s">
        <v>273</v>
      </c>
      <c r="DD8" s="244" t="s">
        <v>274</v>
      </c>
      <c r="DE8" s="244" t="s">
        <v>275</v>
      </c>
      <c r="DF8" s="244" t="s">
        <v>276</v>
      </c>
      <c r="DG8" s="244"/>
      <c r="DO8" s="640" t="s">
        <v>650</v>
      </c>
      <c r="DP8" s="296" t="s">
        <v>651</v>
      </c>
      <c r="DQ8" s="694" t="s">
        <v>655</v>
      </c>
      <c r="DR8" s="694" t="s">
        <v>652</v>
      </c>
      <c r="DS8" s="641" t="s">
        <v>657</v>
      </c>
      <c r="DT8" s="641" t="str">
        <f>DP8</f>
        <v>Ulempetillæg på weekenddage - kræver der er sat kryds i weekendarbejde. KOLONNE I</v>
      </c>
      <c r="DU8" s="696" t="s">
        <v>658</v>
      </c>
      <c r="DV8" s="695" t="str">
        <f>DR8</f>
        <v>Ulempetillæg ændringer på weekenddage. Kræver der er sat kryds i ændring i timetal og at det er en weekeend. KOLONNE I OG S</v>
      </c>
      <c r="DW8" s="640" t="s">
        <v>585</v>
      </c>
      <c r="DX8" s="296" t="s">
        <v>583</v>
      </c>
      <c r="DY8" s="296" t="s">
        <v>584</v>
      </c>
      <c r="DZ8" s="641" t="str">
        <f>DW8</f>
        <v>17-06 timer til udbetaling inkl. ændringer 17-06</v>
      </c>
      <c r="EA8" s="641" t="str">
        <f>DX8</f>
        <v>Ulempetillæg på weekenddage</v>
      </c>
      <c r="EB8" s="642" t="str">
        <f>DY8</f>
        <v>Ulempetillæg ændringer på weekenddage</v>
      </c>
      <c r="EC8" s="697" t="s">
        <v>653</v>
      </c>
      <c r="ED8" s="694" t="s">
        <v>654</v>
      </c>
      <c r="EE8" s="694" t="s">
        <v>656</v>
      </c>
      <c r="EF8" s="694" t="s">
        <v>652</v>
      </c>
      <c r="EG8" s="641" t="s">
        <v>657</v>
      </c>
      <c r="EH8" s="696" t="str">
        <f>ED8</f>
        <v>Ulempetillæg på weekenddage til afspadsering. Kræver der er sat kryds i weekendarb. KOLONNE I</v>
      </c>
      <c r="EI8" s="696" t="s">
        <v>658</v>
      </c>
      <c r="EJ8" s="695" t="str">
        <f>EF8</f>
        <v>Ulempetillæg ændringer på weekenddage. Kræver der er sat kryds i ændring i timetal og at det er en weekeend. KOLONNE I OG S</v>
      </c>
      <c r="EK8" s="647" t="s">
        <v>660</v>
      </c>
      <c r="EL8" s="645" t="s">
        <v>659</v>
      </c>
      <c r="EM8" s="646" t="s">
        <v>663</v>
      </c>
      <c r="EN8" s="648" t="s">
        <v>662</v>
      </c>
      <c r="EO8" s="647" t="s">
        <v>660</v>
      </c>
      <c r="EP8" s="645" t="s">
        <v>659</v>
      </c>
      <c r="EQ8" s="646" t="s">
        <v>663</v>
      </c>
      <c r="ER8" s="648" t="s">
        <v>662</v>
      </c>
      <c r="ES8" s="647" t="s">
        <v>664</v>
      </c>
      <c r="ET8" s="645" t="s">
        <v>665</v>
      </c>
      <c r="EU8" s="646" t="s">
        <v>661</v>
      </c>
      <c r="EV8" s="648" t="s">
        <v>666</v>
      </c>
      <c r="EW8" s="647" t="s">
        <v>664</v>
      </c>
      <c r="EX8" s="645" t="s">
        <v>665</v>
      </c>
      <c r="EY8" s="646" t="s">
        <v>661</v>
      </c>
      <c r="EZ8" s="648" t="s">
        <v>666</v>
      </c>
      <c r="FA8" s="647" t="s">
        <v>667</v>
      </c>
      <c r="FB8" s="645" t="s">
        <v>665</v>
      </c>
      <c r="FC8" s="646" t="s">
        <v>661</v>
      </c>
      <c r="FD8" s="648" t="s">
        <v>666</v>
      </c>
      <c r="FE8" s="647" t="str">
        <f>FA8</f>
        <v>Weekendtimer på weekenddage</v>
      </c>
      <c r="FF8" s="645" t="s">
        <v>665</v>
      </c>
      <c r="FG8" s="646" t="s">
        <v>661</v>
      </c>
      <c r="FH8" s="648" t="s">
        <v>666</v>
      </c>
      <c r="FI8" s="673" t="s">
        <v>606</v>
      </c>
      <c r="FJ8" s="645" t="s">
        <v>587</v>
      </c>
      <c r="FK8" s="673" t="s">
        <v>606</v>
      </c>
      <c r="FL8" s="648" t="s">
        <v>587</v>
      </c>
      <c r="FM8" s="674" t="s">
        <v>600</v>
      </c>
      <c r="FN8" s="675" t="s">
        <v>601</v>
      </c>
      <c r="FO8" s="673" t="s">
        <v>586</v>
      </c>
      <c r="FP8" s="645" t="s">
        <v>587</v>
      </c>
      <c r="FQ8" s="677" t="s">
        <v>586</v>
      </c>
      <c r="FR8" s="678" t="s">
        <v>587</v>
      </c>
      <c r="FS8" s="682" t="s">
        <v>608</v>
      </c>
      <c r="FT8" s="675" t="s">
        <v>608</v>
      </c>
      <c r="FU8" s="296" t="s">
        <v>611</v>
      </c>
      <c r="FV8" s="674" t="s">
        <v>613</v>
      </c>
      <c r="FW8" s="674" t="s">
        <v>613</v>
      </c>
      <c r="FX8" s="674" t="s">
        <v>613</v>
      </c>
      <c r="FY8" s="674" t="s">
        <v>613</v>
      </c>
      <c r="FZ8" s="674" t="s">
        <v>602</v>
      </c>
      <c r="GA8" s="675" t="s">
        <v>603</v>
      </c>
      <c r="GB8" s="674" t="s">
        <v>602</v>
      </c>
      <c r="GC8" s="675" t="s">
        <v>603</v>
      </c>
    </row>
    <row r="9" spans="1:185" ht="20" customHeight="1">
      <c r="A9" s="1015"/>
      <c r="B9" s="1016"/>
      <c r="C9" s="1016"/>
      <c r="D9" s="1017"/>
      <c r="E9" s="961"/>
      <c r="F9" s="962"/>
      <c r="G9" s="963"/>
      <c r="H9" s="904"/>
      <c r="I9" s="943" t="s">
        <v>382</v>
      </c>
      <c r="J9" s="951"/>
      <c r="K9" s="943" t="s">
        <v>325</v>
      </c>
      <c r="L9" s="944"/>
      <c r="M9" s="944"/>
      <c r="N9" s="944"/>
      <c r="O9" s="944"/>
      <c r="P9" s="944"/>
      <c r="Q9" s="944"/>
      <c r="R9" s="944"/>
      <c r="S9" s="971" t="s">
        <v>382</v>
      </c>
      <c r="T9" s="944"/>
      <c r="U9" s="951"/>
      <c r="V9" s="943" t="s">
        <v>383</v>
      </c>
      <c r="W9" s="944"/>
      <c r="X9" s="945"/>
      <c r="Y9" s="211"/>
      <c r="Z9" s="211"/>
      <c r="AA9" s="296"/>
      <c r="BB9" s="225"/>
      <c r="CA9" s="111"/>
      <c r="CB9" s="230"/>
      <c r="CC9" s="296"/>
      <c r="CX9" s="244"/>
      <c r="DA9" s="244"/>
      <c r="DB9" s="244"/>
      <c r="DC9" s="244"/>
      <c r="DD9" s="244"/>
      <c r="DE9" s="244"/>
      <c r="DF9" s="244"/>
      <c r="DG9" s="244"/>
      <c r="DH9" t="s">
        <v>492</v>
      </c>
      <c r="DI9" t="s">
        <v>493</v>
      </c>
      <c r="DJ9" t="s">
        <v>494</v>
      </c>
      <c r="DO9" s="643"/>
      <c r="DS9" s="1078" t="s">
        <v>162</v>
      </c>
      <c r="DT9" s="1078"/>
      <c r="DU9" s="1078"/>
      <c r="DV9" s="1079"/>
      <c r="DW9" s="643"/>
      <c r="DZ9" s="1080" t="s">
        <v>162</v>
      </c>
      <c r="EA9" s="1080"/>
      <c r="EB9" s="1081"/>
      <c r="EG9" s="1080" t="s">
        <v>162</v>
      </c>
      <c r="EH9" s="1080"/>
      <c r="EI9" s="1080"/>
      <c r="EJ9" s="644"/>
      <c r="EK9" s="279"/>
      <c r="EL9" s="247"/>
      <c r="EM9" s="891" t="s">
        <v>162</v>
      </c>
      <c r="EN9" s="892"/>
      <c r="EO9" s="279"/>
      <c r="EP9" s="247"/>
      <c r="EQ9" s="891" t="s">
        <v>162</v>
      </c>
      <c r="ER9" s="892"/>
      <c r="ES9" s="279"/>
      <c r="ET9" s="247"/>
      <c r="EU9" s="891" t="s">
        <v>162</v>
      </c>
      <c r="EV9" s="892"/>
      <c r="EW9" s="279"/>
      <c r="EX9" s="247"/>
      <c r="EY9" s="891" t="s">
        <v>162</v>
      </c>
      <c r="EZ9" s="892"/>
      <c r="FA9" s="279"/>
      <c r="FB9" s="247"/>
      <c r="FC9" s="891" t="s">
        <v>162</v>
      </c>
      <c r="FD9" s="892"/>
      <c r="FE9" s="279"/>
      <c r="FF9" s="247"/>
      <c r="FG9" s="891" t="s">
        <v>162</v>
      </c>
      <c r="FH9" s="892"/>
      <c r="FI9" s="279"/>
      <c r="FJ9" s="247"/>
      <c r="FK9" s="891" t="s">
        <v>162</v>
      </c>
      <c r="FL9" s="892"/>
      <c r="FN9" s="636" t="s">
        <v>160</v>
      </c>
      <c r="FO9" s="279"/>
      <c r="FP9" s="247"/>
      <c r="FQ9" s="891" t="s">
        <v>162</v>
      </c>
      <c r="FR9" s="1077"/>
      <c r="FS9" s="279"/>
      <c r="FT9" s="683" t="s">
        <v>160</v>
      </c>
      <c r="FW9" s="636" t="s">
        <v>160</v>
      </c>
      <c r="FY9" s="636" t="s">
        <v>160</v>
      </c>
      <c r="GA9" s="636" t="s">
        <v>160</v>
      </c>
      <c r="GC9" s="636" t="s">
        <v>160</v>
      </c>
    </row>
    <row r="10" spans="1:185">
      <c r="A10" s="241">
        <f>IF(ISNUMBER(A8),A8+1,1)</f>
        <v>1</v>
      </c>
      <c r="B10" s="127" t="str">
        <f t="shared" ref="B10:B40" si="0">CHOOSE(MOD(WEEKDAY(DATE(A$7,A$2,A10)),7)+1,"lø","sø","ma","ti","on","to","fr",)</f>
        <v>to</v>
      </c>
      <c r="C10" s="128" t="s">
        <v>210</v>
      </c>
      <c r="D10" s="129" t="str">
        <f t="shared" ref="D10:D40" si="1">IF(B10="ma",(DATE(A$7,A$2,A10)-DATE(A$7,1,1)+7)/7,"")</f>
        <v/>
      </c>
      <c r="E10" s="932" t="s">
        <v>113</v>
      </c>
      <c r="F10" s="933"/>
      <c r="G10" s="934"/>
      <c r="H10" s="294"/>
      <c r="I10" s="519"/>
      <c r="J10" s="407"/>
      <c r="K10" s="374"/>
      <c r="L10" s="374"/>
      <c r="M10" s="374"/>
      <c r="N10" s="313">
        <f>BA10</f>
        <v>0</v>
      </c>
      <c r="O10" s="313">
        <f>CA10</f>
        <v>0</v>
      </c>
      <c r="P10" s="313">
        <f>IF(Stamoplysninger!$H$29="JA",August!DG10,CX10)</f>
        <v>0</v>
      </c>
      <c r="Q10" s="313">
        <f>IF(OR(C10="Lejrskole",C10="Ekskursion"),0,N10-O10-P10)</f>
        <v>0</v>
      </c>
      <c r="R10" s="406"/>
      <c r="S10" s="319"/>
      <c r="T10" s="320"/>
      <c r="U10" s="320"/>
      <c r="V10" s="429"/>
      <c r="W10" s="406"/>
      <c r="X10" s="633"/>
      <c r="Y10">
        <f>IF($S$10="x",V10-N10,0)</f>
        <v>0</v>
      </c>
      <c r="Z10">
        <f t="shared" ref="Z10:Z40" si="2">IF(T10="x",W10-O10,0)</f>
        <v>0</v>
      </c>
      <c r="AA10" s="1">
        <f t="shared" ref="AA10:AA40" si="3">IF(C10="emnedag",K10,0)</f>
        <v>0</v>
      </c>
      <c r="AB10" s="1">
        <f t="shared" ref="AB10:AB40" si="4">IF(C10="fagdag",K10,0)</f>
        <v>0</v>
      </c>
      <c r="AC10" s="1">
        <f t="shared" ref="AC10:AC40" si="5">IF(C10="Pæd.dag",K10,0)</f>
        <v>0</v>
      </c>
      <c r="AD10" s="1">
        <f t="shared" ref="AD10:AD40" si="6">IF(C10="Ekskursion",K10,0)</f>
        <v>0</v>
      </c>
      <c r="AE10" s="1">
        <f t="shared" ref="AE10:AE40" si="7">IF(C10="Lejrskole",K10,0)</f>
        <v>0</v>
      </c>
      <c r="AF10" s="1">
        <f>IF(C10="Orlov",Stamoplysninger!$E$15*7.4,0)</f>
        <v>0</v>
      </c>
      <c r="AG10" t="str">
        <f>IF(AND(C10="Skema 1",B10="ma"),Arbejdstidsoversigt!$E$72,"")</f>
        <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40" si="8">SUM(AA10:AZ10)</f>
        <v>0</v>
      </c>
      <c r="BB10" s="226">
        <f t="shared" ref="BB10:BB40" si="9">SUM(AG10:AK10)*24</f>
        <v>0</v>
      </c>
      <c r="BC10" s="1">
        <f>IF($C$10="Lejrskole",$L$10,0)</f>
        <v>0</v>
      </c>
      <c r="BD10" s="1">
        <f t="shared" ref="BD10:BD40" si="10">IF(C10="Ekskursion",L10,0)</f>
        <v>0</v>
      </c>
      <c r="BE10" s="1">
        <f t="shared" ref="BE10:BE40" si="11">IF(C10="fagdag",L10,0)</f>
        <v>0</v>
      </c>
      <c r="BF10" s="1">
        <f t="shared" ref="BF10:BF40" si="12">IF(C10="emnedag",L10,0)</f>
        <v>0</v>
      </c>
      <c r="BG10" s="209" t="str">
        <f>IF(AND(C10="Skema 1",B10="ma"),Skemaoplysninger!$E$30,"")</f>
        <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SUM(BG10:BZ10)*24+SUM(BC10:BF10)</f>
        <v>0</v>
      </c>
      <c r="CB10" s="1">
        <f t="shared" ref="CB10:CB40" si="13">IF(C10="fagdag",M10,0)</f>
        <v>0</v>
      </c>
      <c r="CC10" s="1">
        <f t="shared" ref="CC10:CC40" si="14">IF(C10="emnedag",M10,0)</f>
        <v>0</v>
      </c>
      <c r="CD10" s="209" t="str">
        <f>IF(AND(C10="Skema 1",B10="ma"),Skemaoplysninger!$E$31,"")</f>
        <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SUM(CY10:DF10)</f>
        <v>0</v>
      </c>
      <c r="DH10" t="str">
        <f>IF(AND(E10&gt;0,H10&gt;0),""&amp;E10&amp;" og "&amp;H10&amp;"","")</f>
        <v/>
      </c>
      <c r="DI10" t="str">
        <f>IF(H10="",E10,"")</f>
        <v>Sommerferie</v>
      </c>
      <c r="DJ10" t="str">
        <f>IF(E10="",H10,"")</f>
        <v/>
      </c>
      <c r="DK10" t="str">
        <f t="shared" ref="DK10:DL41" si="15">IF(DH10=0,"",DH10)</f>
        <v/>
      </c>
      <c r="DL10" t="str">
        <f>IF(DI10=0,"",DI10)</f>
        <v>Sommerferie</v>
      </c>
      <c r="DM10" t="str">
        <f>IF(DJ10=0,"",DJ10)</f>
        <v/>
      </c>
      <c r="DN10" t="str">
        <f>DK10&amp;""&amp;DL10&amp;""&amp;DM10</f>
        <v>Sommerferie</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afspadseres.",$I$9="X"),$K$9*1.5,0)</f>
        <v>0</v>
      </c>
      <c r="EL10" s="247">
        <f>IF(AND(AND(Stamoplysninger!$B$26="Weekendtimer og weekendtillæg afspadseres.",$I$9="X",$S$9="X")),$V$9*1.5,0)</f>
        <v>0</v>
      </c>
      <c r="EM10" s="665">
        <f>IF(AND(AND(Stamoplysninger!$B$26="Weekendtimer og weekendtillæg afspadseres.",$I$9="X",$C$9="ikke relevant")),$K$9*1.5,0)</f>
        <v>0</v>
      </c>
      <c r="EN10" s="666">
        <f>IF(AND(AND(AND(Stamoplysninger!$B$26="Weekendtimer og weekendtillæg afspadseres.",$I$9="X",$C$9="ikke relevant",$S$9="X"))),($V$9*1.5),0)</f>
        <v>0</v>
      </c>
      <c r="EO10" s="279">
        <f>IF(AND(Stamoplysninger!$B$26="Weekendtimer og weekendtillæg udbetales.",$I$9="X"),$K$9*1.5,0)</f>
        <v>0</v>
      </c>
      <c r="EP10" s="247">
        <f>IF(AND(AND(Stamoplysninger!$B$26="Weekendtimer og weekendtillæg udbetales.",$I$9="X",$S$9="X")),$V$9*1.5,0)</f>
        <v>0</v>
      </c>
      <c r="EQ10" s="665">
        <f>IF(AND(AND(Stamoplysninger!$B$26="Weekendtimer og weekendtillæg udbetales.",$I$9="X",$C$9="ikke relevant")),$K$9*1.5,0)</f>
        <v>0</v>
      </c>
      <c r="ER10" s="666">
        <f>IF(AND(AND(AND(Stamoplysninger!$B$26="Weekendtimer og weekendtillæg udbetales.",$I$9="X",$C$9="ikke relevant",$S$9="X"))),($V$9*1.5),0)</f>
        <v>0</v>
      </c>
      <c r="ES10" s="279">
        <f>IF(AND(Stamoplysninger!$B$26="Der er indgået lokalaftale omkring weekendtimer.(Kræver aftale med TR/FSL) Weekendtillæg afspadseres.",$I$9="X"),$K$9*0.5,0)</f>
        <v>0</v>
      </c>
      <c r="ET10" s="247">
        <f>IF(AND(AND(Stamoplysninger!$B$26="Der er indgået lokalaftale omkring weekendtimer.(Kræver aftale med TR/FSL) Weekendtillæg afspadseres.",$I$9="X",$S$9="X")),$V$9*0.5,0)</f>
        <v>0</v>
      </c>
      <c r="EU10" s="665">
        <f>IF(AND(AND(Stamoplysninger!$B$26="Der er indgået lokalaftale omkring weekendtimer.(Kræver aftale med TR/FSL) Weekendtillæg afspadseres.",$I$9="X",$C$9="ikke relevant")),$K$9*0.5,0)</f>
        <v>0</v>
      </c>
      <c r="EV10" s="666">
        <f>IF(AND(AND(AND(Stamoplysninger!$B$26="Der er indgået lokalaftale omkring weekendtimer.(Kræver aftale med TR/FSL) Weekendtillæg afspadseres.",$I$9="X",$C$9="ikke relevant",$S$9="X"))),($V$9*0.5),0)</f>
        <v>0</v>
      </c>
      <c r="EW10" s="279">
        <f>IF(AND(Stamoplysninger!$B$26="Der er indgået lokalaftale omkring weekendtimer(Kræver aftale med TR/FSL). Weekendtillæg udbetales.",$I$9="X"),$K$9*0.5,0)</f>
        <v>0</v>
      </c>
      <c r="EX10" s="247">
        <f>IF(AND(AND(Stamoplysninger!$B$26="Der er indgået lokalaftale omkring weekendtimer(Kræver aftale med TR/FSL). Weekendtillæg udbetales.",$I$9="X",$S$9="X")),$V$9*0.5,0)</f>
        <v>0</v>
      </c>
      <c r="EY10" s="665">
        <f>IF(AND(AND(Stamoplysninger!$B$26="Der er indgået lokalaftale omkring weekendtimer(Kræver aftale med TR/FSL). Weekendtillæg udbetales.",$I$9="X",$C$9="ikke relevant")),$K$9*0.5,0)</f>
        <v>0</v>
      </c>
      <c r="EZ10" s="666">
        <f>IF(AND(AND(AND(Stamoplysninger!$B$26="Der er indgået lokalaftale omkring weekendtimer(Kræver aftale med TR/FSL). Weekendtillæg udbetales.",$I$9="X",$C$9="ikke relevant",$S$9="X"))),($V$9*0.5),0)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afspadseres.",I10="X"),(K10+V10)/2,0)</f>
        <v>0</v>
      </c>
      <c r="FK10" s="665">
        <f>IF(AND(AND(Stamoplysninger!$B$26="Weekendtimer og weekendtillæg afspadseres.",I10="X",C10="ikke relevant")),K10,0)</f>
        <v>0</v>
      </c>
      <c r="FL10" s="666">
        <f>IF(AND(AND(Stamoplysninger!$B$26="Weekendtimer og weekendtillæg afspadseres.",I10="X",C10="ikke relevant")),(K10+V10)/2,0)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ref="FS10:FS38" si="16">IF(AND(I10="X",S10="X"),V10,0)</f>
        <v>0</v>
      </c>
      <c r="FT10" s="649">
        <f t="shared" ref="FT10:FT38" si="17">IF(AND(AND(C10="ikke relevant",I10="X",S10="X")),V10,0)</f>
        <v>0</v>
      </c>
      <c r="FU10">
        <f t="shared" ref="FU10:FU29" si="18">IF(AND(C10="weekend",I10="X"),K10,0)</f>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ref="A11:A39" si="19">IF(ISNUMBER(A10),A10+1,1)</f>
        <v>2</v>
      </c>
      <c r="B11" s="127" t="str">
        <f t="shared" si="0"/>
        <v>fr</v>
      </c>
      <c r="C11" s="128" t="s">
        <v>210</v>
      </c>
      <c r="D11" s="129" t="str">
        <f t="shared" si="1"/>
        <v/>
      </c>
      <c r="E11" s="932" t="s">
        <v>113</v>
      </c>
      <c r="F11" s="933"/>
      <c r="G11" s="934"/>
      <c r="H11" s="294"/>
      <c r="I11" s="519"/>
      <c r="J11" s="407"/>
      <c r="K11" s="374"/>
      <c r="L11" s="374"/>
      <c r="M11" s="374"/>
      <c r="N11" s="313">
        <f t="shared" ref="N11:N40" si="20">BA11</f>
        <v>0</v>
      </c>
      <c r="O11" s="313">
        <f t="shared" ref="O11:O40" si="21">CA11</f>
        <v>0</v>
      </c>
      <c r="P11" s="313">
        <f>IF(Stamoplysninger!$H$29="JA",August!DG11,CX11)</f>
        <v>0</v>
      </c>
      <c r="Q11" s="313">
        <f t="shared" ref="Q11:Q40" si="22">IF(OR(C11="Lejrskole",C11="Ekskursion"),0,N11-O11-P11)</f>
        <v>0</v>
      </c>
      <c r="R11" s="406"/>
      <c r="S11" s="319"/>
      <c r="T11" s="320"/>
      <c r="U11" s="320"/>
      <c r="V11" s="429"/>
      <c r="W11" s="406"/>
      <c r="X11" s="633"/>
      <c r="Y11">
        <f t="shared" ref="Y11:Y40" si="23">IF(S11="x",V11-N11,0)</f>
        <v>0</v>
      </c>
      <c r="Z11">
        <f t="shared" si="2"/>
        <v>0</v>
      </c>
      <c r="AA11" s="1">
        <f t="shared" si="3"/>
        <v>0</v>
      </c>
      <c r="AB11" s="1">
        <f t="shared" si="4"/>
        <v>0</v>
      </c>
      <c r="AC11" s="1">
        <f t="shared" si="5"/>
        <v>0</v>
      </c>
      <c r="AD11" s="1">
        <f t="shared" si="6"/>
        <v>0</v>
      </c>
      <c r="AE11" s="1">
        <f t="shared" si="7"/>
        <v>0</v>
      </c>
      <c r="AF11" s="1">
        <f>IF(C11="Orlov",Stamoplysninger!$E$15*7.4,0)</f>
        <v>0</v>
      </c>
      <c r="AG11" t="str">
        <f>IF(AND(C11="Skema 1",B11="ma"),Arbejdstidsoversigt!$E$72,"")</f>
        <v/>
      </c>
      <c r="AH11" t="str">
        <f>IF(AND(C11="Skema 1",B11="ti"),Arbejdstidsoversigt!$E$73,"")</f>
        <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8"/>
        <v>0</v>
      </c>
      <c r="BB11" s="226">
        <f t="shared" si="9"/>
        <v>0</v>
      </c>
      <c r="BC11" s="1">
        <f t="shared" ref="BC11:BC40" si="24">IF(C11="Lejrskole",L11,0)</f>
        <v>0</v>
      </c>
      <c r="BD11" s="1">
        <f t="shared" si="10"/>
        <v>0</v>
      </c>
      <c r="BE11" s="1">
        <f t="shared" si="11"/>
        <v>0</v>
      </c>
      <c r="BF11" s="1">
        <f t="shared" si="12"/>
        <v>0</v>
      </c>
      <c r="BG11" s="209" t="str">
        <f>IF(AND(C11="Skema 1",B11="ma"),Skemaoplysninger!$E$30,"")</f>
        <v/>
      </c>
      <c r="BH11" s="209" t="str">
        <f>IF(AND(C11="Skema 1",B11="ti"),Skemaoplysninger!$G$30,"")</f>
        <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ref="CA11:CA40" si="25">SUM(BG11:BZ11)*24+SUM(BC11:BF11)</f>
        <v>0</v>
      </c>
      <c r="CB11" s="1">
        <f t="shared" si="13"/>
        <v>0</v>
      </c>
      <c r="CC11" s="1">
        <f t="shared" si="14"/>
        <v>0</v>
      </c>
      <c r="CD11" s="209" t="str">
        <f>IF(AND(C11="Skema 1",B11="ma"),Skemaoplysninger!$E$31,"")</f>
        <v/>
      </c>
      <c r="CE11" s="209" t="str">
        <f>IF(AND(C11="Skema 1",B11="ti"),Skemaoplysninger!$G$31,"")</f>
        <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ref="DG11:DG40" si="26">SUM(CY11:DF11)</f>
        <v>0</v>
      </c>
      <c r="DH11" t="str">
        <f t="shared" ref="DH11:DH40" si="27">IF(AND(E11&gt;0,H11&gt;0),""&amp;E11&amp;" og "&amp;H11&amp;"","")</f>
        <v/>
      </c>
      <c r="DI11" t="str">
        <f t="shared" ref="DI11:DI40" si="28">IF(H11="",E11,"")</f>
        <v>Sommerferie</v>
      </c>
      <c r="DJ11" t="str">
        <f t="shared" ref="DJ11:DJ40" si="29">IF(E11="",H11,"")</f>
        <v/>
      </c>
      <c r="DK11" t="str">
        <f t="shared" si="15"/>
        <v/>
      </c>
      <c r="DL11" t="str">
        <f t="shared" si="15"/>
        <v>Sommerferie</v>
      </c>
      <c r="DM11" t="str">
        <f t="shared" ref="DM11:DM41" si="30">IF(DJ11=0,"",DJ11)</f>
        <v/>
      </c>
      <c r="DN11" t="str">
        <f t="shared" ref="DN11:DN40" si="31">DK11&amp;""&amp;DL11&amp;""&amp;DM11</f>
        <v>Sommerferie</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6"/>
        <v>0</v>
      </c>
      <c r="FT11" s="649">
        <f t="shared" si="17"/>
        <v>0</v>
      </c>
      <c r="FU11">
        <f t="shared" si="18"/>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9"/>
        <v>3</v>
      </c>
      <c r="B12" s="127" t="str">
        <f t="shared" si="0"/>
        <v>lø</v>
      </c>
      <c r="C12" s="128" t="s">
        <v>120</v>
      </c>
      <c r="D12" s="129" t="str">
        <f t="shared" si="1"/>
        <v/>
      </c>
      <c r="E12" s="932"/>
      <c r="F12" s="933"/>
      <c r="G12" s="934"/>
      <c r="H12" s="294"/>
      <c r="I12" s="407"/>
      <c r="J12" s="407"/>
      <c r="K12" s="374"/>
      <c r="L12" s="374"/>
      <c r="M12" s="374"/>
      <c r="N12" s="313">
        <f t="shared" si="20"/>
        <v>0</v>
      </c>
      <c r="O12" s="313">
        <f t="shared" si="21"/>
        <v>0</v>
      </c>
      <c r="P12" s="313">
        <f>IF(Stamoplysninger!$H$29="JA",August!DG12,CX12)</f>
        <v>0</v>
      </c>
      <c r="Q12" s="313">
        <f t="shared" si="22"/>
        <v>0</v>
      </c>
      <c r="R12" s="406"/>
      <c r="S12" s="319"/>
      <c r="T12" s="320"/>
      <c r="U12" s="320"/>
      <c r="V12" s="429"/>
      <c r="W12" s="406"/>
      <c r="X12" s="633"/>
      <c r="Y12">
        <f t="shared" si="23"/>
        <v>0</v>
      </c>
      <c r="Z12">
        <f t="shared" si="2"/>
        <v>0</v>
      </c>
      <c r="AA12" s="1">
        <f t="shared" si="3"/>
        <v>0</v>
      </c>
      <c r="AB12" s="1">
        <f t="shared" si="4"/>
        <v>0</v>
      </c>
      <c r="AC12" s="1">
        <f t="shared" si="5"/>
        <v>0</v>
      </c>
      <c r="AD12" s="1">
        <f t="shared" si="6"/>
        <v>0</v>
      </c>
      <c r="AE12" s="1">
        <f t="shared" si="7"/>
        <v>0</v>
      </c>
      <c r="AF12" s="1">
        <f>IF(C12="Orlov",Stamoplysninger!$E$15*7.4,0)</f>
        <v>0</v>
      </c>
      <c r="AG12" t="str">
        <f>IF(AND(C12="Skema 1",B12="ma"),Arbejdstidsoversigt!$E$72,"")</f>
        <v/>
      </c>
      <c r="AH12" t="str">
        <f>IF(AND(C12="Skema 1",B12="ti"),Arbejdstidsoversigt!$E$73,"")</f>
        <v/>
      </c>
      <c r="AI12" t="str">
        <f>IF(AND(C12="Skema 1",B12="on"),Arbejdstidsoversigt!$E$74,"")</f>
        <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8"/>
        <v>0</v>
      </c>
      <c r="BB12" s="226">
        <f t="shared" si="9"/>
        <v>0</v>
      </c>
      <c r="BC12" s="1">
        <f t="shared" si="24"/>
        <v>0</v>
      </c>
      <c r="BD12" s="1">
        <f t="shared" si="10"/>
        <v>0</v>
      </c>
      <c r="BE12" s="1">
        <f t="shared" si="11"/>
        <v>0</v>
      </c>
      <c r="BF12" s="1">
        <f t="shared" si="12"/>
        <v>0</v>
      </c>
      <c r="BG12" s="209" t="str">
        <f>IF(AND(C12="Skema 1",B12="ma"),Skemaoplysninger!$E$30,"")</f>
        <v/>
      </c>
      <c r="BH12" s="209" t="str">
        <f>IF(AND(C12="Skema 1",B12="ti"),Skemaoplysninger!$G$30,"")</f>
        <v/>
      </c>
      <c r="BI12" s="209" t="str">
        <f>IF(AND(C12="Skema 1",B12="on"),Skemaoplysninger!$I$30,"")</f>
        <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3"/>
        <v>0</v>
      </c>
      <c r="CC12" s="1">
        <f t="shared" si="14"/>
        <v>0</v>
      </c>
      <c r="CD12" s="209" t="str">
        <f>IF(AND(C12="Skema 1",B12="ma"),Skemaoplysninger!$E$31,"")</f>
        <v/>
      </c>
      <c r="CE12" s="209" t="str">
        <f>IF(AND(C12="Skema 1",B12="ti"),Skemaoplysninger!$G$31,"")</f>
        <v/>
      </c>
      <c r="CF12" s="209" t="str">
        <f>IF(AND(C12="Skema 1",B12="on"),Skemaoplysninger!$I$31,"")</f>
        <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 t="shared" si="29"/>
        <v>0</v>
      </c>
      <c r="DK12" t="str">
        <f t="shared" si="15"/>
        <v/>
      </c>
      <c r="DL12" t="str">
        <f t="shared" si="15"/>
        <v/>
      </c>
      <c r="DM12" t="str">
        <f t="shared" si="30"/>
        <v/>
      </c>
      <c r="DN12" t="str">
        <f t="shared" si="31"/>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6"/>
        <v>0</v>
      </c>
      <c r="FT12" s="649">
        <f t="shared" si="17"/>
        <v>0</v>
      </c>
      <c r="FU12">
        <f t="shared" si="18"/>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9"/>
        <v>4</v>
      </c>
      <c r="B13" s="127" t="str">
        <f t="shared" si="0"/>
        <v>sø</v>
      </c>
      <c r="C13" s="128" t="s">
        <v>120</v>
      </c>
      <c r="D13" s="129" t="str">
        <f t="shared" si="1"/>
        <v/>
      </c>
      <c r="E13" s="932"/>
      <c r="F13" s="933"/>
      <c r="G13" s="934"/>
      <c r="H13" s="294"/>
      <c r="I13" s="407"/>
      <c r="J13" s="407"/>
      <c r="K13" s="374"/>
      <c r="L13" s="374"/>
      <c r="M13" s="374"/>
      <c r="N13" s="313">
        <f t="shared" si="20"/>
        <v>0</v>
      </c>
      <c r="O13" s="313">
        <f t="shared" si="21"/>
        <v>0</v>
      </c>
      <c r="P13" s="313">
        <f>IF(Stamoplysninger!$H$29="JA",August!DG13,CX13)</f>
        <v>0</v>
      </c>
      <c r="Q13" s="313">
        <f t="shared" si="22"/>
        <v>0</v>
      </c>
      <c r="R13" s="406"/>
      <c r="S13" s="319"/>
      <c r="T13" s="320"/>
      <c r="U13" s="320"/>
      <c r="V13" s="429"/>
      <c r="W13" s="406"/>
      <c r="X13" s="633"/>
      <c r="Y13">
        <f t="shared" si="23"/>
        <v>0</v>
      </c>
      <c r="Z13">
        <f t="shared" si="2"/>
        <v>0</v>
      </c>
      <c r="AA13" s="1">
        <f t="shared" si="3"/>
        <v>0</v>
      </c>
      <c r="AB13" s="1">
        <f t="shared" si="4"/>
        <v>0</v>
      </c>
      <c r="AC13" s="1">
        <f t="shared" si="5"/>
        <v>0</v>
      </c>
      <c r="AD13" s="1">
        <f t="shared" si="6"/>
        <v>0</v>
      </c>
      <c r="AE13" s="1">
        <f t="shared" si="7"/>
        <v>0</v>
      </c>
      <c r="AF13" s="1">
        <f>IF(C13="Orlov",Stamoplysninger!$E$15*7.4,0)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8"/>
        <v>0</v>
      </c>
      <c r="BB13" s="226">
        <f t="shared" si="9"/>
        <v>0</v>
      </c>
      <c r="BC13" s="1">
        <f t="shared" si="24"/>
        <v>0</v>
      </c>
      <c r="BD13" s="1">
        <f t="shared" si="10"/>
        <v>0</v>
      </c>
      <c r="BE13" s="1">
        <f t="shared" si="11"/>
        <v>0</v>
      </c>
      <c r="BF13" s="1">
        <f t="shared" si="12"/>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3"/>
        <v>0</v>
      </c>
      <c r="CC13" s="1">
        <f t="shared" si="14"/>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IF(E13="",H13,"")</f>
        <v>0</v>
      </c>
      <c r="DK13" t="str">
        <f t="shared" si="15"/>
        <v/>
      </c>
      <c r="DL13" t="str">
        <f t="shared" si="15"/>
        <v/>
      </c>
      <c r="DM13" t="str">
        <f t="shared" si="30"/>
        <v/>
      </c>
      <c r="DN13" t="str">
        <f t="shared" si="31"/>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6"/>
        <v>0</v>
      </c>
      <c r="FT13" s="649">
        <f t="shared" si="17"/>
        <v>0</v>
      </c>
      <c r="FU13">
        <f t="shared" si="18"/>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c r="A14" s="241">
        <f t="shared" si="19"/>
        <v>5</v>
      </c>
      <c r="B14" s="127" t="str">
        <f t="shared" si="0"/>
        <v>ma</v>
      </c>
      <c r="C14" s="128" t="s">
        <v>128</v>
      </c>
      <c r="D14" s="129">
        <f t="shared" si="1"/>
        <v>32</v>
      </c>
      <c r="E14" s="932"/>
      <c r="F14" s="933"/>
      <c r="G14" s="934"/>
      <c r="H14" s="294"/>
      <c r="I14" s="519"/>
      <c r="J14" s="407"/>
      <c r="K14" s="374"/>
      <c r="L14" s="374"/>
      <c r="M14" s="374"/>
      <c r="N14" s="313">
        <f t="shared" si="20"/>
        <v>0</v>
      </c>
      <c r="O14" s="313">
        <f t="shared" si="21"/>
        <v>0</v>
      </c>
      <c r="P14" s="313">
        <f>IF(Stamoplysninger!$H$29="JA",August!DG14,CX14)</f>
        <v>0</v>
      </c>
      <c r="Q14" s="313">
        <f t="shared" si="22"/>
        <v>0</v>
      </c>
      <c r="R14" s="406"/>
      <c r="S14" s="319"/>
      <c r="T14" s="320"/>
      <c r="U14" s="320"/>
      <c r="V14" s="429"/>
      <c r="W14" s="406"/>
      <c r="X14" s="633"/>
      <c r="Y14">
        <f t="shared" si="23"/>
        <v>0</v>
      </c>
      <c r="Z14">
        <f t="shared" si="2"/>
        <v>0</v>
      </c>
      <c r="AA14" s="1">
        <f t="shared" si="3"/>
        <v>0</v>
      </c>
      <c r="AB14" s="1">
        <f t="shared" si="4"/>
        <v>0</v>
      </c>
      <c r="AC14" s="1">
        <f t="shared" si="5"/>
        <v>0</v>
      </c>
      <c r="AD14" s="1">
        <f t="shared" si="6"/>
        <v>0</v>
      </c>
      <c r="AE14" s="1">
        <f t="shared" si="7"/>
        <v>0</v>
      </c>
      <c r="AF14" s="1">
        <f>IF(C14="Orlov",Stamoplysninger!$E$15*7.4,0)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8"/>
        <v>0</v>
      </c>
      <c r="BB14" s="226">
        <f t="shared" si="9"/>
        <v>0</v>
      </c>
      <c r="BC14" s="1">
        <f t="shared" si="24"/>
        <v>0</v>
      </c>
      <c r="BD14" s="1">
        <f t="shared" si="10"/>
        <v>0</v>
      </c>
      <c r="BE14" s="1">
        <f t="shared" si="11"/>
        <v>0</v>
      </c>
      <c r="BF14" s="1">
        <f t="shared" si="12"/>
        <v>0</v>
      </c>
      <c r="BG14" s="209" t="str">
        <f>IF(AND(C14="Skema 1",B14="ma"),Skemaoplysninger!$E$30,"")</f>
        <v/>
      </c>
      <c r="BH14" s="209" t="str">
        <f>IF(AND(C14="Skema 1",B14="ti"),Skemaoplysninger!$G$30,"")</f>
        <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3"/>
        <v>0</v>
      </c>
      <c r="CC14" s="1">
        <f t="shared" si="14"/>
        <v>0</v>
      </c>
      <c r="CD14" s="209" t="str">
        <f>IF(AND(C14="Skema 1",B14="ma"),Skemaoplysninger!$E$31,"")</f>
        <v/>
      </c>
      <c r="CE14" s="209" t="str">
        <f>IF(AND(C14="Skema 1",B14="ti"),Skemaoplysninger!$G$31,"")</f>
        <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5"/>
        <v/>
      </c>
      <c r="DL14" t="str">
        <f t="shared" si="15"/>
        <v/>
      </c>
      <c r="DM14" t="str">
        <f t="shared" si="30"/>
        <v/>
      </c>
      <c r="DN14" t="str">
        <f t="shared" si="31"/>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6"/>
        <v>0</v>
      </c>
      <c r="FT14" s="649">
        <f t="shared" si="17"/>
        <v>0</v>
      </c>
      <c r="FU14">
        <f t="shared" si="18"/>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9"/>
        <v>6</v>
      </c>
      <c r="B15" s="127" t="str">
        <f t="shared" si="0"/>
        <v>ti</v>
      </c>
      <c r="C15" s="128" t="s">
        <v>128</v>
      </c>
      <c r="D15" s="129" t="str">
        <f t="shared" si="1"/>
        <v/>
      </c>
      <c r="E15" s="932"/>
      <c r="F15" s="933"/>
      <c r="G15" s="934"/>
      <c r="H15" s="294"/>
      <c r="I15" s="519"/>
      <c r="J15" s="407"/>
      <c r="K15" s="374"/>
      <c r="L15" s="374"/>
      <c r="M15" s="374"/>
      <c r="N15" s="313">
        <f t="shared" si="20"/>
        <v>0</v>
      </c>
      <c r="O15" s="313">
        <f t="shared" si="21"/>
        <v>0</v>
      </c>
      <c r="P15" s="313">
        <f>IF(Stamoplysninger!$H$29="JA",August!DG15,CX15)</f>
        <v>0</v>
      </c>
      <c r="Q15" s="313">
        <f t="shared" si="22"/>
        <v>0</v>
      </c>
      <c r="R15" s="406"/>
      <c r="S15" s="319"/>
      <c r="T15" s="320"/>
      <c r="U15" s="320"/>
      <c r="V15" s="429"/>
      <c r="W15" s="406"/>
      <c r="X15" s="633"/>
      <c r="Y15">
        <f t="shared" si="23"/>
        <v>0</v>
      </c>
      <c r="Z15">
        <f t="shared" si="2"/>
        <v>0</v>
      </c>
      <c r="AA15" s="1">
        <f t="shared" si="3"/>
        <v>0</v>
      </c>
      <c r="AB15" s="1">
        <f t="shared" si="4"/>
        <v>0</v>
      </c>
      <c r="AC15" s="1">
        <f t="shared" si="5"/>
        <v>0</v>
      </c>
      <c r="AD15" s="1">
        <f t="shared" si="6"/>
        <v>0</v>
      </c>
      <c r="AE15" s="1">
        <f t="shared" si="7"/>
        <v>0</v>
      </c>
      <c r="AF15" s="1">
        <f>IF(C15="Orlov",Stamoplysninger!$E$15*7.4,0)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8"/>
        <v>0</v>
      </c>
      <c r="BB15" s="226">
        <f t="shared" si="9"/>
        <v>0</v>
      </c>
      <c r="BC15" s="1">
        <f t="shared" si="24"/>
        <v>0</v>
      </c>
      <c r="BD15" s="1">
        <f t="shared" si="10"/>
        <v>0</v>
      </c>
      <c r="BE15" s="1">
        <f t="shared" si="11"/>
        <v>0</v>
      </c>
      <c r="BF15" s="1">
        <f t="shared" si="12"/>
        <v>0</v>
      </c>
      <c r="BG15" s="209" t="str">
        <f>IF(AND(C15="Skema 1",B15="ma"),Skemaoplysninger!$E$30,"")</f>
        <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3"/>
        <v>0</v>
      </c>
      <c r="CC15" s="1">
        <f t="shared" si="14"/>
        <v>0</v>
      </c>
      <c r="CD15" s="209" t="str">
        <f>IF(AND(C15="Skema 1",B15="ma"),Skemaoplysninger!$E$31,"")</f>
        <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5"/>
        <v/>
      </c>
      <c r="DL15" t="str">
        <f t="shared" si="15"/>
        <v/>
      </c>
      <c r="DM15" t="str">
        <f t="shared" si="30"/>
        <v/>
      </c>
      <c r="DN15" t="str">
        <f t="shared" si="31"/>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6"/>
        <v>0</v>
      </c>
      <c r="FT15" s="649">
        <f t="shared" si="17"/>
        <v>0</v>
      </c>
      <c r="FU15">
        <f t="shared" si="18"/>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ht="16" customHeight="1">
      <c r="A16" s="241">
        <f t="shared" si="19"/>
        <v>7</v>
      </c>
      <c r="B16" s="127" t="str">
        <f t="shared" si="0"/>
        <v>on</v>
      </c>
      <c r="C16" s="128" t="s">
        <v>128</v>
      </c>
      <c r="D16" s="129" t="str">
        <f t="shared" si="1"/>
        <v/>
      </c>
      <c r="E16" s="932"/>
      <c r="F16" s="933"/>
      <c r="G16" s="934"/>
      <c r="H16" s="294"/>
      <c r="I16" s="519"/>
      <c r="J16" s="407"/>
      <c r="K16" s="374"/>
      <c r="L16" s="374"/>
      <c r="M16" s="374"/>
      <c r="N16" s="313">
        <f t="shared" si="20"/>
        <v>0</v>
      </c>
      <c r="O16" s="313">
        <f t="shared" si="21"/>
        <v>0</v>
      </c>
      <c r="P16" s="313">
        <f>IF(Stamoplysninger!$H$29="JA",August!DG16,CX16)</f>
        <v>0</v>
      </c>
      <c r="Q16" s="313">
        <f t="shared" si="22"/>
        <v>0</v>
      </c>
      <c r="R16" s="406"/>
      <c r="S16" s="319"/>
      <c r="T16" s="320"/>
      <c r="U16" s="320"/>
      <c r="V16" s="429"/>
      <c r="W16" s="406"/>
      <c r="X16" s="633"/>
      <c r="Y16">
        <f t="shared" si="23"/>
        <v>0</v>
      </c>
      <c r="Z16">
        <f t="shared" si="2"/>
        <v>0</v>
      </c>
      <c r="AA16" s="1">
        <f t="shared" si="3"/>
        <v>0</v>
      </c>
      <c r="AB16" s="1">
        <f t="shared" si="4"/>
        <v>0</v>
      </c>
      <c r="AC16" s="1">
        <f t="shared" si="5"/>
        <v>0</v>
      </c>
      <c r="AD16" s="1">
        <f t="shared" si="6"/>
        <v>0</v>
      </c>
      <c r="AE16" s="1">
        <f t="shared" si="7"/>
        <v>0</v>
      </c>
      <c r="AF16" s="1">
        <f>IF(C16="Orlov",Stamoplysninger!$E$15*7.4,0)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8"/>
        <v>0</v>
      </c>
      <c r="BB16" s="226">
        <f t="shared" si="9"/>
        <v>0</v>
      </c>
      <c r="BC16" s="1">
        <f t="shared" si="24"/>
        <v>0</v>
      </c>
      <c r="BD16" s="1">
        <f t="shared" si="10"/>
        <v>0</v>
      </c>
      <c r="BE16" s="1">
        <f t="shared" si="11"/>
        <v>0</v>
      </c>
      <c r="BF16" s="1">
        <f t="shared" si="12"/>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3"/>
        <v>0</v>
      </c>
      <c r="CC16" s="1">
        <f t="shared" si="14"/>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5"/>
        <v/>
      </c>
      <c r="DL16" t="str">
        <f t="shared" si="15"/>
        <v/>
      </c>
      <c r="DM16" t="str">
        <f t="shared" si="30"/>
        <v/>
      </c>
      <c r="DN16" t="str">
        <f t="shared" si="31"/>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6"/>
        <v>0</v>
      </c>
      <c r="FT16" s="649">
        <f t="shared" si="17"/>
        <v>0</v>
      </c>
      <c r="FU16">
        <f t="shared" si="18"/>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9"/>
        <v>8</v>
      </c>
      <c r="B17" s="127" t="str">
        <f t="shared" si="0"/>
        <v>to</v>
      </c>
      <c r="C17" s="128" t="s">
        <v>128</v>
      </c>
      <c r="D17" s="129" t="str">
        <f t="shared" si="1"/>
        <v/>
      </c>
      <c r="E17" s="932"/>
      <c r="F17" s="933"/>
      <c r="G17" s="934"/>
      <c r="H17" s="294"/>
      <c r="I17" s="519"/>
      <c r="J17" s="407"/>
      <c r="K17" s="374"/>
      <c r="L17" s="374"/>
      <c r="M17" s="374"/>
      <c r="N17" s="313">
        <f t="shared" si="20"/>
        <v>0</v>
      </c>
      <c r="O17" s="313">
        <f t="shared" si="21"/>
        <v>0</v>
      </c>
      <c r="P17" s="313">
        <f>IF(Stamoplysninger!$H$29="JA",August!DG17,CX17)</f>
        <v>0</v>
      </c>
      <c r="Q17" s="313">
        <f t="shared" si="22"/>
        <v>0</v>
      </c>
      <c r="R17" s="406"/>
      <c r="S17" s="319"/>
      <c r="T17" s="320"/>
      <c r="U17" s="320"/>
      <c r="V17" s="429"/>
      <c r="W17" s="406"/>
      <c r="X17" s="633"/>
      <c r="Y17">
        <f t="shared" si="23"/>
        <v>0</v>
      </c>
      <c r="Z17">
        <f t="shared" si="2"/>
        <v>0</v>
      </c>
      <c r="AA17" s="1">
        <f t="shared" si="3"/>
        <v>0</v>
      </c>
      <c r="AB17" s="1">
        <f t="shared" si="4"/>
        <v>0</v>
      </c>
      <c r="AC17" s="1">
        <f t="shared" si="5"/>
        <v>0</v>
      </c>
      <c r="AD17" s="1">
        <f t="shared" si="6"/>
        <v>0</v>
      </c>
      <c r="AE17" s="1">
        <f t="shared" si="7"/>
        <v>0</v>
      </c>
      <c r="AF17" s="1">
        <f>IF(C17="Orlov",Stamoplysninger!$E$15*7.4,0)</f>
        <v>0</v>
      </c>
      <c r="AG17" t="str">
        <f>IF(AND(C17="Skema 1",B17="ma"),Arbejdstidsoversigt!$E$72,"")</f>
        <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8"/>
        <v>0</v>
      </c>
      <c r="BB17" s="226">
        <f t="shared" si="9"/>
        <v>0</v>
      </c>
      <c r="BC17" s="1">
        <f t="shared" si="24"/>
        <v>0</v>
      </c>
      <c r="BD17" s="1">
        <f t="shared" si="10"/>
        <v>0</v>
      </c>
      <c r="BE17" s="1">
        <f t="shared" si="11"/>
        <v>0</v>
      </c>
      <c r="BF17" s="1">
        <f t="shared" si="12"/>
        <v>0</v>
      </c>
      <c r="BG17" s="209" t="str">
        <f>IF(AND(C17="Skema 1",B17="ma"),Skemaoplysninger!$E$30,"")</f>
        <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3"/>
        <v>0</v>
      </c>
      <c r="CC17" s="1">
        <f t="shared" si="14"/>
        <v>0</v>
      </c>
      <c r="CD17" s="209" t="str">
        <f>IF(AND(C17="Skema 1",B17="ma"),Skemaoplysninger!$E$31,"")</f>
        <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5"/>
        <v/>
      </c>
      <c r="DL17" t="str">
        <f t="shared" si="15"/>
        <v/>
      </c>
      <c r="DM17" t="str">
        <f t="shared" si="30"/>
        <v/>
      </c>
      <c r="DN17" t="str">
        <f t="shared" si="31"/>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6"/>
        <v>0</v>
      </c>
      <c r="FT17" s="649">
        <f t="shared" si="17"/>
        <v>0</v>
      </c>
      <c r="FU17">
        <f t="shared" si="18"/>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9"/>
        <v>9</v>
      </c>
      <c r="B18" s="127" t="str">
        <f t="shared" si="0"/>
        <v>fr</v>
      </c>
      <c r="C18" s="128" t="s">
        <v>128</v>
      </c>
      <c r="D18" s="129" t="str">
        <f t="shared" si="1"/>
        <v/>
      </c>
      <c r="E18" s="932"/>
      <c r="F18" s="933"/>
      <c r="G18" s="934"/>
      <c r="H18" s="294"/>
      <c r="I18" s="519"/>
      <c r="J18" s="407"/>
      <c r="K18" s="374"/>
      <c r="L18" s="374"/>
      <c r="M18" s="374"/>
      <c r="N18" s="313">
        <f t="shared" si="20"/>
        <v>0</v>
      </c>
      <c r="O18" s="313">
        <f t="shared" si="21"/>
        <v>0</v>
      </c>
      <c r="P18" s="313">
        <f>IF(Stamoplysninger!$H$29="JA",August!DG18,CX18)</f>
        <v>0</v>
      </c>
      <c r="Q18" s="313">
        <f t="shared" si="22"/>
        <v>0</v>
      </c>
      <c r="R18" s="406"/>
      <c r="S18" s="319"/>
      <c r="T18" s="320"/>
      <c r="U18" s="320"/>
      <c r="V18" s="429"/>
      <c r="W18" s="406"/>
      <c r="X18" s="633"/>
      <c r="Y18">
        <f t="shared" si="23"/>
        <v>0</v>
      </c>
      <c r="Z18">
        <f t="shared" si="2"/>
        <v>0</v>
      </c>
      <c r="AA18" s="1">
        <f t="shared" si="3"/>
        <v>0</v>
      </c>
      <c r="AB18" s="1">
        <f t="shared" si="4"/>
        <v>0</v>
      </c>
      <c r="AC18" s="1">
        <f t="shared" si="5"/>
        <v>0</v>
      </c>
      <c r="AD18" s="1">
        <f t="shared" si="6"/>
        <v>0</v>
      </c>
      <c r="AE18" s="1">
        <f t="shared" si="7"/>
        <v>0</v>
      </c>
      <c r="AF18" s="1">
        <f>IF(C18="Orlov",Stamoplysninger!$E$15*7.4,0)</f>
        <v>0</v>
      </c>
      <c r="AG18" t="str">
        <f>IF(AND(C18="Skema 1",B18="ma"),Arbejdstidsoversigt!$E$72,"")</f>
        <v/>
      </c>
      <c r="AH18" t="str">
        <f>IF(AND(C18="Skema 1",B18="ti"),Arbejdstidsoversigt!$E$73,"")</f>
        <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8"/>
        <v>0</v>
      </c>
      <c r="BB18" s="226">
        <f t="shared" si="9"/>
        <v>0</v>
      </c>
      <c r="BC18" s="1">
        <f t="shared" si="24"/>
        <v>0</v>
      </c>
      <c r="BD18" s="1">
        <f t="shared" si="10"/>
        <v>0</v>
      </c>
      <c r="BE18" s="1">
        <f t="shared" si="11"/>
        <v>0</v>
      </c>
      <c r="BF18" s="1">
        <f t="shared" si="12"/>
        <v>0</v>
      </c>
      <c r="BG18" s="209" t="str">
        <f>IF(AND(C18="Skema 1",B18="ma"),Skemaoplysninger!$E$30,"")</f>
        <v/>
      </c>
      <c r="BH18" s="209" t="str">
        <f>IF(AND(C18="Skema 1",B18="ti"),Skemaoplysninger!$G$30,"")</f>
        <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3"/>
        <v>0</v>
      </c>
      <c r="CC18" s="1">
        <f t="shared" si="14"/>
        <v>0</v>
      </c>
      <c r="CD18" s="209" t="str">
        <f>IF(AND(C18="Skema 1",B18="ma"),Skemaoplysninger!$E$31,"")</f>
        <v/>
      </c>
      <c r="CE18" s="209" t="str">
        <f>IF(AND(C18="Skema 1",B18="ti"),Skemaoplysninger!$G$31,"")</f>
        <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5"/>
        <v/>
      </c>
      <c r="DL18" t="str">
        <f t="shared" si="15"/>
        <v/>
      </c>
      <c r="DM18" t="str">
        <f t="shared" si="30"/>
        <v/>
      </c>
      <c r="DN18" t="str">
        <f t="shared" si="31"/>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6"/>
        <v>0</v>
      </c>
      <c r="FT18" s="649">
        <f t="shared" si="17"/>
        <v>0</v>
      </c>
      <c r="FU18">
        <f t="shared" si="18"/>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9"/>
        <v>10</v>
      </c>
      <c r="B19" s="127" t="str">
        <f t="shared" si="0"/>
        <v>lø</v>
      </c>
      <c r="C19" s="128" t="s">
        <v>120</v>
      </c>
      <c r="D19" s="129" t="str">
        <f t="shared" si="1"/>
        <v/>
      </c>
      <c r="E19" s="932"/>
      <c r="F19" s="933"/>
      <c r="G19" s="934"/>
      <c r="H19" s="294"/>
      <c r="I19" s="407"/>
      <c r="J19" s="407"/>
      <c r="K19" s="374"/>
      <c r="L19" s="374"/>
      <c r="M19" s="374"/>
      <c r="N19" s="313">
        <f t="shared" si="20"/>
        <v>0</v>
      </c>
      <c r="O19" s="313">
        <f t="shared" si="21"/>
        <v>0</v>
      </c>
      <c r="P19" s="313">
        <f>IF(Stamoplysninger!$H$29="JA",August!DG19,CX19)</f>
        <v>0</v>
      </c>
      <c r="Q19" s="313">
        <f t="shared" si="22"/>
        <v>0</v>
      </c>
      <c r="R19" s="406"/>
      <c r="S19" s="319"/>
      <c r="T19" s="320"/>
      <c r="U19" s="320"/>
      <c r="V19" s="429"/>
      <c r="W19" s="406"/>
      <c r="X19" s="633"/>
      <c r="Y19">
        <f t="shared" si="23"/>
        <v>0</v>
      </c>
      <c r="Z19">
        <f t="shared" si="2"/>
        <v>0</v>
      </c>
      <c r="AA19" s="1">
        <f t="shared" si="3"/>
        <v>0</v>
      </c>
      <c r="AB19" s="1">
        <f t="shared" si="4"/>
        <v>0</v>
      </c>
      <c r="AC19" s="1">
        <f t="shared" si="5"/>
        <v>0</v>
      </c>
      <c r="AD19" s="1">
        <f t="shared" si="6"/>
        <v>0</v>
      </c>
      <c r="AE19" s="1">
        <f t="shared" si="7"/>
        <v>0</v>
      </c>
      <c r="AF19" s="1">
        <f>IF(C19="Orlov",Stamoplysninger!$E$15*7.4,0)</f>
        <v>0</v>
      </c>
      <c r="AG19" t="str">
        <f>IF(AND(C19="Skema 1",B19="ma"),Arbejdstidsoversigt!$E$72,"")</f>
        <v/>
      </c>
      <c r="AH19" t="str">
        <f>IF(AND(C19="Skema 1",B19="ti"),Arbejdstidsoversigt!$E$73,"")</f>
        <v/>
      </c>
      <c r="AI19" t="str">
        <f>IF(AND(C19="Skema 1",B19="on"),Arbejdstidsoversigt!$E$74,"")</f>
        <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8"/>
        <v>0</v>
      </c>
      <c r="BB19" s="226">
        <f t="shared" si="9"/>
        <v>0</v>
      </c>
      <c r="BC19" s="1">
        <f t="shared" si="24"/>
        <v>0</v>
      </c>
      <c r="BD19" s="1">
        <f t="shared" si="10"/>
        <v>0</v>
      </c>
      <c r="BE19" s="1">
        <f t="shared" si="11"/>
        <v>0</v>
      </c>
      <c r="BF19" s="1">
        <f t="shared" si="12"/>
        <v>0</v>
      </c>
      <c r="BG19" s="209" t="str">
        <f>IF(AND(C19="Skema 1",B19="ma"),Skemaoplysninger!$E$30,"")</f>
        <v/>
      </c>
      <c r="BH19" s="209" t="str">
        <f>IF(AND(C19="Skema 1",B19="ti"),Skemaoplysninger!$G$30,"")</f>
        <v/>
      </c>
      <c r="BI19" s="209" t="str">
        <f>IF(AND(C19="Skema 1",B19="on"),Skemaoplysninger!$I$30,"")</f>
        <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3"/>
        <v>0</v>
      </c>
      <c r="CC19" s="1">
        <f t="shared" si="14"/>
        <v>0</v>
      </c>
      <c r="CD19" s="209" t="str">
        <f>IF(AND(C19="Skema 1",B19="ma"),Skemaoplysninger!$E$31,"")</f>
        <v/>
      </c>
      <c r="CE19" s="209" t="str">
        <f>IF(AND(C19="Skema 1",B19="ti"),Skemaoplysninger!$G$31,"")</f>
        <v/>
      </c>
      <c r="CF19" s="209" t="str">
        <f>IF(AND(C19="Skema 1",B19="on"),Skemaoplysninger!$I$31,"")</f>
        <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5"/>
        <v/>
      </c>
      <c r="DL19" t="str">
        <f t="shared" si="15"/>
        <v/>
      </c>
      <c r="DM19" t="str">
        <f t="shared" si="30"/>
        <v/>
      </c>
      <c r="DN19" t="str">
        <f t="shared" si="31"/>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6"/>
        <v>0</v>
      </c>
      <c r="FT19" s="649">
        <f t="shared" si="17"/>
        <v>0</v>
      </c>
      <c r="FU19">
        <f t="shared" si="18"/>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 t="shared" si="19"/>
        <v>11</v>
      </c>
      <c r="B20" s="127" t="str">
        <f t="shared" si="0"/>
        <v>sø</v>
      </c>
      <c r="C20" s="128" t="s">
        <v>120</v>
      </c>
      <c r="D20" s="129" t="str">
        <f t="shared" si="1"/>
        <v/>
      </c>
      <c r="E20" s="932"/>
      <c r="F20" s="933"/>
      <c r="G20" s="934"/>
      <c r="H20" s="294"/>
      <c r="I20" s="407"/>
      <c r="J20" s="407"/>
      <c r="K20" s="374"/>
      <c r="L20" s="374"/>
      <c r="M20" s="374"/>
      <c r="N20" s="313">
        <f t="shared" si="20"/>
        <v>0</v>
      </c>
      <c r="O20" s="313">
        <f t="shared" si="21"/>
        <v>0</v>
      </c>
      <c r="P20" s="313">
        <f>IF(Stamoplysninger!$H$29="JA",August!DG20,CX20)</f>
        <v>0</v>
      </c>
      <c r="Q20" s="313">
        <f t="shared" si="22"/>
        <v>0</v>
      </c>
      <c r="R20" s="406"/>
      <c r="S20" s="319"/>
      <c r="T20" s="320"/>
      <c r="U20" s="320"/>
      <c r="V20" s="429"/>
      <c r="W20" s="406"/>
      <c r="X20" s="633"/>
      <c r="Y20">
        <f t="shared" si="23"/>
        <v>0</v>
      </c>
      <c r="Z20">
        <f t="shared" si="2"/>
        <v>0</v>
      </c>
      <c r="AA20" s="1">
        <f t="shared" si="3"/>
        <v>0</v>
      </c>
      <c r="AB20" s="1">
        <f t="shared" si="4"/>
        <v>0</v>
      </c>
      <c r="AC20" s="1">
        <f t="shared" si="5"/>
        <v>0</v>
      </c>
      <c r="AD20" s="1">
        <f t="shared" si="6"/>
        <v>0</v>
      </c>
      <c r="AE20" s="1">
        <f t="shared" si="7"/>
        <v>0</v>
      </c>
      <c r="AF20" s="1">
        <f>IF(C20="Orlov",Stamoplysninger!$E$15*7.4,0)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8"/>
        <v>0</v>
      </c>
      <c r="BB20" s="226">
        <f t="shared" si="9"/>
        <v>0</v>
      </c>
      <c r="BC20" s="1">
        <f t="shared" si="24"/>
        <v>0</v>
      </c>
      <c r="BD20" s="1">
        <f t="shared" si="10"/>
        <v>0</v>
      </c>
      <c r="BE20" s="1">
        <f t="shared" si="11"/>
        <v>0</v>
      </c>
      <c r="BF20" s="1">
        <f t="shared" si="12"/>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3"/>
        <v>0</v>
      </c>
      <c r="CC20" s="1">
        <f t="shared" si="14"/>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5"/>
        <v/>
      </c>
      <c r="DL20" t="str">
        <f t="shared" si="15"/>
        <v/>
      </c>
      <c r="DM20" t="str">
        <f t="shared" si="30"/>
        <v/>
      </c>
      <c r="DN20" t="str">
        <f t="shared" si="31"/>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6"/>
        <v>0</v>
      </c>
      <c r="FT20" s="649">
        <f t="shared" si="17"/>
        <v>0</v>
      </c>
      <c r="FU20">
        <f t="shared" si="18"/>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12</v>
      </c>
      <c r="B21" s="127" t="str">
        <f t="shared" si="0"/>
        <v>ma</v>
      </c>
      <c r="C21" s="128" t="s">
        <v>206</v>
      </c>
      <c r="D21" s="129">
        <f t="shared" si="1"/>
        <v>33</v>
      </c>
      <c r="E21" s="932"/>
      <c r="F21" s="933"/>
      <c r="G21" s="934"/>
      <c r="H21" s="294"/>
      <c r="I21" s="519"/>
      <c r="J21" s="407"/>
      <c r="K21" s="374"/>
      <c r="L21" s="374"/>
      <c r="M21" s="374"/>
      <c r="N21" s="313">
        <f t="shared" si="20"/>
        <v>0</v>
      </c>
      <c r="O21" s="313">
        <f t="shared" si="21"/>
        <v>0</v>
      </c>
      <c r="P21" s="313">
        <f>IF(Stamoplysninger!$H$29="JA",August!DG21,CX21)</f>
        <v>0</v>
      </c>
      <c r="Q21" s="313">
        <f t="shared" si="22"/>
        <v>0</v>
      </c>
      <c r="R21" s="406"/>
      <c r="S21" s="319"/>
      <c r="T21" s="320"/>
      <c r="U21" s="320"/>
      <c r="V21" s="429"/>
      <c r="W21" s="406"/>
      <c r="X21" s="633"/>
      <c r="Y21">
        <f t="shared" si="23"/>
        <v>0</v>
      </c>
      <c r="Z21">
        <f t="shared" si="2"/>
        <v>0</v>
      </c>
      <c r="AA21" s="1">
        <f t="shared" si="3"/>
        <v>0</v>
      </c>
      <c r="AB21" s="1">
        <f t="shared" si="4"/>
        <v>0</v>
      </c>
      <c r="AC21" s="1">
        <f t="shared" si="5"/>
        <v>0</v>
      </c>
      <c r="AD21" s="1">
        <f t="shared" si="6"/>
        <v>0</v>
      </c>
      <c r="AE21" s="1">
        <f t="shared" si="7"/>
        <v>0</v>
      </c>
      <c r="AF21" s="1">
        <f>IF(C21="Orlov",Stamoplysninger!$E$15*7.4,0)</f>
        <v>0</v>
      </c>
      <c r="AG21">
        <f>IF(AND(C21="Skema 1",B21="ma"),Arbejdstidsoversigt!$E$72,"")</f>
        <v>0</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8"/>
        <v>0</v>
      </c>
      <c r="BB21" s="226">
        <f t="shared" si="9"/>
        <v>0</v>
      </c>
      <c r="BC21" s="1">
        <f t="shared" si="24"/>
        <v>0</v>
      </c>
      <c r="BD21" s="1">
        <f t="shared" si="10"/>
        <v>0</v>
      </c>
      <c r="BE21" s="1">
        <f t="shared" si="11"/>
        <v>0</v>
      </c>
      <c r="BF21" s="1">
        <f t="shared" si="12"/>
        <v>0</v>
      </c>
      <c r="BG21" s="209">
        <f>IF(AND(C21="Skema 1",B21="ma"),Skemaoplysninger!$E$30,"")</f>
        <v>0</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3"/>
        <v>0</v>
      </c>
      <c r="CC21" s="1">
        <f t="shared" si="14"/>
        <v>0</v>
      </c>
      <c r="CD21" s="209">
        <f>IF(AND(C21="Skema 1",B21="ma"),Skemaoplysninger!$E$31,"")</f>
        <v>0</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5"/>
        <v/>
      </c>
      <c r="DL21" t="str">
        <f t="shared" si="15"/>
        <v/>
      </c>
      <c r="DM21" t="str">
        <f t="shared" si="30"/>
        <v/>
      </c>
      <c r="DN21" t="str">
        <f t="shared" si="31"/>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6"/>
        <v>0</v>
      </c>
      <c r="FT21" s="649">
        <f t="shared" si="17"/>
        <v>0</v>
      </c>
      <c r="FU21">
        <f t="shared" si="18"/>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IF(ISNUMBER(A21),A21+1,1)</f>
        <v>13</v>
      </c>
      <c r="B22" s="127" t="str">
        <f t="shared" si="0"/>
        <v>ti</v>
      </c>
      <c r="C22" s="128" t="s">
        <v>206</v>
      </c>
      <c r="D22" s="129" t="str">
        <f t="shared" si="1"/>
        <v/>
      </c>
      <c r="E22" s="964"/>
      <c r="F22" s="965"/>
      <c r="G22" s="966"/>
      <c r="H22" s="293"/>
      <c r="I22" s="519"/>
      <c r="J22" s="407"/>
      <c r="K22" s="374"/>
      <c r="L22" s="374"/>
      <c r="M22" s="374"/>
      <c r="N22" s="313">
        <f t="shared" si="20"/>
        <v>0</v>
      </c>
      <c r="O22" s="313">
        <f t="shared" si="21"/>
        <v>0</v>
      </c>
      <c r="P22" s="313">
        <f>IF(Stamoplysninger!$H$29="JA",August!DG22,CX22)</f>
        <v>0</v>
      </c>
      <c r="Q22" s="313">
        <f t="shared" si="22"/>
        <v>0</v>
      </c>
      <c r="R22" s="406"/>
      <c r="S22" s="319"/>
      <c r="T22" s="320"/>
      <c r="U22" s="320"/>
      <c r="V22" s="429"/>
      <c r="W22" s="406"/>
      <c r="X22" s="633"/>
      <c r="Y22">
        <f t="shared" si="23"/>
        <v>0</v>
      </c>
      <c r="Z22">
        <f t="shared" si="2"/>
        <v>0</v>
      </c>
      <c r="AA22" s="1">
        <f t="shared" si="3"/>
        <v>0</v>
      </c>
      <c r="AB22" s="1">
        <f t="shared" si="4"/>
        <v>0</v>
      </c>
      <c r="AC22" s="1">
        <f t="shared" si="5"/>
        <v>0</v>
      </c>
      <c r="AD22" s="1">
        <f t="shared" si="6"/>
        <v>0</v>
      </c>
      <c r="AE22" s="1">
        <f t="shared" si="7"/>
        <v>0</v>
      </c>
      <c r="AF22" s="1">
        <f>IF(C22="Orlov",Stamoplysninger!$E$15*7.4,0)</f>
        <v>0</v>
      </c>
      <c r="AG22" t="str">
        <f>IF(AND(C22="Skema 1",B22="ma"),Arbejdstidsoversigt!$E$72,"")</f>
        <v/>
      </c>
      <c r="AH22">
        <f>IF(AND(C22="Skema 1",B22="ti"),Arbejdstidsoversigt!$E$73,"")</f>
        <v>0</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8"/>
        <v>0</v>
      </c>
      <c r="BB22" s="226">
        <f t="shared" si="9"/>
        <v>0</v>
      </c>
      <c r="BC22" s="1">
        <f t="shared" si="24"/>
        <v>0</v>
      </c>
      <c r="BD22" s="1">
        <f t="shared" si="10"/>
        <v>0</v>
      </c>
      <c r="BE22" s="1">
        <f t="shared" si="11"/>
        <v>0</v>
      </c>
      <c r="BF22" s="1">
        <f t="shared" si="12"/>
        <v>0</v>
      </c>
      <c r="BG22" s="209" t="str">
        <f>IF(AND(C22="Skema 1",B22="ma"),Skemaoplysninger!$E$30,"")</f>
        <v/>
      </c>
      <c r="BH22" s="209">
        <f>IF(AND(C22="Skema 1",B22="ti"),Skemaoplysninger!$G$30,"")</f>
        <v>0</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3"/>
        <v>0</v>
      </c>
      <c r="CC22" s="1">
        <f t="shared" si="14"/>
        <v>0</v>
      </c>
      <c r="CD22" s="209" t="str">
        <f>IF(AND(C22="Skema 1",B22="ma"),Skemaoplysninger!$E$31,"")</f>
        <v/>
      </c>
      <c r="CE22" s="209">
        <f>IF(AND(C22="Skema 1",B22="ti"),Skemaoplysninger!$G$31,"")</f>
        <v>0</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f t="shared" si="28"/>
        <v>0</v>
      </c>
      <c r="DJ22">
        <f t="shared" si="29"/>
        <v>0</v>
      </c>
      <c r="DK22" t="str">
        <f t="shared" si="15"/>
        <v/>
      </c>
      <c r="DL22" t="str">
        <f t="shared" si="15"/>
        <v/>
      </c>
      <c r="DM22" t="str">
        <f t="shared" si="30"/>
        <v/>
      </c>
      <c r="DN22" t="str">
        <f t="shared" si="31"/>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6"/>
        <v>0</v>
      </c>
      <c r="FT22" s="649">
        <f t="shared" si="17"/>
        <v>0</v>
      </c>
      <c r="FU22">
        <f t="shared" si="18"/>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9"/>
        <v>14</v>
      </c>
      <c r="B23" s="127" t="str">
        <f t="shared" si="0"/>
        <v>on</v>
      </c>
      <c r="C23" s="128" t="s">
        <v>206</v>
      </c>
      <c r="D23" s="129" t="str">
        <f t="shared" si="1"/>
        <v/>
      </c>
      <c r="E23" s="964"/>
      <c r="F23" s="965"/>
      <c r="G23" s="966"/>
      <c r="H23" s="293"/>
      <c r="I23" s="519"/>
      <c r="J23" s="407"/>
      <c r="K23" s="374"/>
      <c r="L23" s="374"/>
      <c r="M23" s="374"/>
      <c r="N23" s="313">
        <f t="shared" si="20"/>
        <v>0</v>
      </c>
      <c r="O23" s="313">
        <f t="shared" si="21"/>
        <v>0</v>
      </c>
      <c r="P23" s="313">
        <f>IF(Stamoplysninger!$H$29="JA",August!DG23,CX23)</f>
        <v>0</v>
      </c>
      <c r="Q23" s="313">
        <f t="shared" si="22"/>
        <v>0</v>
      </c>
      <c r="R23" s="406"/>
      <c r="S23" s="319"/>
      <c r="T23" s="320"/>
      <c r="U23" s="320"/>
      <c r="V23" s="429"/>
      <c r="W23" s="406"/>
      <c r="X23" s="633"/>
      <c r="Y23">
        <f t="shared" si="23"/>
        <v>0</v>
      </c>
      <c r="Z23">
        <f t="shared" si="2"/>
        <v>0</v>
      </c>
      <c r="AA23" s="1">
        <f t="shared" si="3"/>
        <v>0</v>
      </c>
      <c r="AB23" s="1">
        <f t="shared" si="4"/>
        <v>0</v>
      </c>
      <c r="AC23" s="1">
        <f t="shared" si="5"/>
        <v>0</v>
      </c>
      <c r="AD23" s="1">
        <f t="shared" si="6"/>
        <v>0</v>
      </c>
      <c r="AE23" s="1">
        <f t="shared" si="7"/>
        <v>0</v>
      </c>
      <c r="AF23" s="1">
        <f>IF(C23="Orlov",Stamoplysninger!$E$15*7.4,0)</f>
        <v>0</v>
      </c>
      <c r="AG23" t="str">
        <f>IF(AND(C23="Skema 1",B23="ma"),Arbejdstidsoversigt!$E$72,"")</f>
        <v/>
      </c>
      <c r="AH23" t="str">
        <f>IF(AND(C23="Skema 1",B23="ti"),Arbejdstidsoversigt!$E$73,"")</f>
        <v/>
      </c>
      <c r="AI23">
        <f>IF(AND(C23="Skema 1",B23="on"),Arbejdstidsoversigt!$E$74,"")</f>
        <v>0</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8"/>
        <v>0</v>
      </c>
      <c r="BB23" s="226">
        <f t="shared" si="9"/>
        <v>0</v>
      </c>
      <c r="BC23" s="1">
        <f t="shared" si="24"/>
        <v>0</v>
      </c>
      <c r="BD23" s="1">
        <f t="shared" si="10"/>
        <v>0</v>
      </c>
      <c r="BE23" s="1">
        <f t="shared" si="11"/>
        <v>0</v>
      </c>
      <c r="BF23" s="1">
        <f t="shared" si="12"/>
        <v>0</v>
      </c>
      <c r="BG23" s="209" t="str">
        <f>IF(AND(C23="Skema 1",B23="ma"),Skemaoplysninger!$E$30,"")</f>
        <v/>
      </c>
      <c r="BH23" s="209" t="str">
        <f>IF(AND(C23="Skema 1",B23="ti"),Skemaoplysninger!$G$30,"")</f>
        <v/>
      </c>
      <c r="BI23" s="209">
        <f>IF(AND(C23="Skema 1",B23="on"),Skemaoplysninger!$I$30,"")</f>
        <v>0</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3"/>
        <v>0</v>
      </c>
      <c r="CC23" s="1">
        <f t="shared" si="14"/>
        <v>0</v>
      </c>
      <c r="CD23" s="209" t="str">
        <f>IF(AND(C23="Skema 1",B23="ma"),Skemaoplysninger!$E$31,"")</f>
        <v/>
      </c>
      <c r="CE23" s="209" t="str">
        <f>IF(AND(C23="Skema 1",B23="ti"),Skemaoplysninger!$G$31,"")</f>
        <v/>
      </c>
      <c r="CF23" s="209">
        <f>IF(AND(C23="Skema 1",B23="on"),Skemaoplysninger!$I$31,"")</f>
        <v>0</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f t="shared" si="28"/>
        <v>0</v>
      </c>
      <c r="DJ23">
        <f t="shared" si="29"/>
        <v>0</v>
      </c>
      <c r="DK23" t="str">
        <f t="shared" si="15"/>
        <v/>
      </c>
      <c r="DL23" t="str">
        <f t="shared" si="15"/>
        <v/>
      </c>
      <c r="DM23" t="str">
        <f t="shared" si="30"/>
        <v/>
      </c>
      <c r="DN23" t="str">
        <f t="shared" si="31"/>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6"/>
        <v>0</v>
      </c>
      <c r="FT23" s="649">
        <f t="shared" si="17"/>
        <v>0</v>
      </c>
      <c r="FU23">
        <f t="shared" si="18"/>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 t="shared" si="19"/>
        <v>15</v>
      </c>
      <c r="B24" s="127" t="str">
        <f t="shared" si="0"/>
        <v>to</v>
      </c>
      <c r="C24" s="128" t="s">
        <v>206</v>
      </c>
      <c r="D24" s="129" t="str">
        <f t="shared" si="1"/>
        <v/>
      </c>
      <c r="E24" s="964"/>
      <c r="F24" s="965"/>
      <c r="G24" s="966"/>
      <c r="H24" s="293"/>
      <c r="I24" s="519"/>
      <c r="J24" s="407"/>
      <c r="K24" s="374"/>
      <c r="L24" s="374"/>
      <c r="M24" s="374"/>
      <c r="N24" s="313">
        <f t="shared" si="20"/>
        <v>0</v>
      </c>
      <c r="O24" s="313">
        <f t="shared" si="21"/>
        <v>0</v>
      </c>
      <c r="P24" s="313">
        <f>IF(Stamoplysninger!$H$29="JA",August!DG24,CX24)</f>
        <v>0</v>
      </c>
      <c r="Q24" s="313">
        <f t="shared" si="22"/>
        <v>0</v>
      </c>
      <c r="R24" s="406"/>
      <c r="S24" s="319"/>
      <c r="T24" s="320"/>
      <c r="U24" s="320"/>
      <c r="V24" s="429"/>
      <c r="W24" s="406"/>
      <c r="X24" s="633"/>
      <c r="Y24">
        <f t="shared" si="23"/>
        <v>0</v>
      </c>
      <c r="Z24">
        <f t="shared" si="2"/>
        <v>0</v>
      </c>
      <c r="AA24" s="1">
        <f t="shared" si="3"/>
        <v>0</v>
      </c>
      <c r="AB24" s="1">
        <f t="shared" si="4"/>
        <v>0</v>
      </c>
      <c r="AC24" s="1">
        <f t="shared" si="5"/>
        <v>0</v>
      </c>
      <c r="AD24" s="1">
        <f t="shared" si="6"/>
        <v>0</v>
      </c>
      <c r="AE24" s="1">
        <f t="shared" si="7"/>
        <v>0</v>
      </c>
      <c r="AF24" s="1">
        <f>IF(C24="Orlov",Stamoplysninger!$E$15*7.4,0)</f>
        <v>0</v>
      </c>
      <c r="AG24" t="str">
        <f>IF(AND(C24="Skema 1",B24="ma"),Arbejdstidsoversigt!$E$72,"")</f>
        <v/>
      </c>
      <c r="AH24" t="str">
        <f>IF(AND(C24="Skema 1",B24="ti"),Arbejdstidsoversigt!$E$73,"")</f>
        <v/>
      </c>
      <c r="AI24" t="str">
        <f>IF(AND(C24="Skema 1",B24="on"),Arbejdstidsoversigt!$E$74,"")</f>
        <v/>
      </c>
      <c r="AJ24">
        <f>IF(AND(C24="Skema 1",B24="to"),Arbejdstidsoversigt!$E$75,"")</f>
        <v>0</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8"/>
        <v>0</v>
      </c>
      <c r="BB24" s="226">
        <f t="shared" si="9"/>
        <v>0</v>
      </c>
      <c r="BC24" s="1">
        <f t="shared" si="24"/>
        <v>0</v>
      </c>
      <c r="BD24" s="1">
        <f t="shared" si="10"/>
        <v>0</v>
      </c>
      <c r="BE24" s="1">
        <f t="shared" si="11"/>
        <v>0</v>
      </c>
      <c r="BF24" s="1">
        <f t="shared" si="12"/>
        <v>0</v>
      </c>
      <c r="BG24" s="209" t="str">
        <f>IF(AND(C24="Skema 1",B24="ma"),Skemaoplysninger!$E$30,"")</f>
        <v/>
      </c>
      <c r="BH24" s="209" t="str">
        <f>IF(AND(C24="Skema 1",B24="ti"),Skemaoplysninger!$G$30,"")</f>
        <v/>
      </c>
      <c r="BI24" s="209" t="str">
        <f>IF(AND(C24="Skema 1",B24="on"),Skemaoplysninger!$I$30,"")</f>
        <v/>
      </c>
      <c r="BJ24" s="209">
        <f>IF(AND(C24="Skema 1",B24="to"),Skemaoplysninger!$K$30,"")</f>
        <v>0</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3"/>
        <v>0</v>
      </c>
      <c r="CC24" s="1">
        <f t="shared" si="14"/>
        <v>0</v>
      </c>
      <c r="CD24" s="209" t="str">
        <f>IF(AND(C24="Skema 1",B24="ma"),Skemaoplysninger!$E$31,"")</f>
        <v/>
      </c>
      <c r="CE24" s="209" t="str">
        <f>IF(AND(C24="Skema 1",B24="ti"),Skemaoplysninger!$G$31,"")</f>
        <v/>
      </c>
      <c r="CF24" s="209" t="str">
        <f>IF(AND(C24="Skema 1",B24="on"),Skemaoplysninger!$I$31,"")</f>
        <v/>
      </c>
      <c r="CG24" s="209">
        <f>IF(AND(C24="Skema 1",B24="to"),Skemaoplysninger!$K$31,"")</f>
        <v>0</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f t="shared" si="28"/>
        <v>0</v>
      </c>
      <c r="DJ24">
        <f t="shared" si="29"/>
        <v>0</v>
      </c>
      <c r="DK24" t="str">
        <f t="shared" si="15"/>
        <v/>
      </c>
      <c r="DL24" t="str">
        <f t="shared" si="15"/>
        <v/>
      </c>
      <c r="DM24" t="str">
        <f t="shared" si="30"/>
        <v/>
      </c>
      <c r="DN24" t="str">
        <f t="shared" si="31"/>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6"/>
        <v>0</v>
      </c>
      <c r="FT24" s="649">
        <f t="shared" si="17"/>
        <v>0</v>
      </c>
      <c r="FU24">
        <f t="shared" si="18"/>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IF(ISNUMBER(A24),A24+1,1)</f>
        <v>16</v>
      </c>
      <c r="B25" s="127" t="str">
        <f t="shared" si="0"/>
        <v>fr</v>
      </c>
      <c r="C25" s="128" t="s">
        <v>206</v>
      </c>
      <c r="D25" s="129" t="str">
        <f t="shared" si="1"/>
        <v/>
      </c>
      <c r="E25" s="932"/>
      <c r="F25" s="933"/>
      <c r="G25" s="934"/>
      <c r="H25" s="294"/>
      <c r="I25" s="519"/>
      <c r="J25" s="407"/>
      <c r="K25" s="374"/>
      <c r="L25" s="374"/>
      <c r="M25" s="374"/>
      <c r="N25" s="313">
        <f t="shared" si="20"/>
        <v>0</v>
      </c>
      <c r="O25" s="313">
        <f t="shared" si="21"/>
        <v>0</v>
      </c>
      <c r="P25" s="313">
        <f>IF(Stamoplysninger!$H$29="JA",August!DG25,CX25)</f>
        <v>0</v>
      </c>
      <c r="Q25" s="313">
        <f t="shared" si="22"/>
        <v>0</v>
      </c>
      <c r="R25" s="406"/>
      <c r="S25" s="319"/>
      <c r="T25" s="320"/>
      <c r="U25" s="320"/>
      <c r="V25" s="429"/>
      <c r="W25" s="406"/>
      <c r="X25" s="633"/>
      <c r="Y25">
        <f t="shared" si="23"/>
        <v>0</v>
      </c>
      <c r="Z25">
        <f t="shared" si="2"/>
        <v>0</v>
      </c>
      <c r="AA25" s="1">
        <f t="shared" si="3"/>
        <v>0</v>
      </c>
      <c r="AB25" s="1">
        <f t="shared" si="4"/>
        <v>0</v>
      </c>
      <c r="AC25" s="1">
        <f t="shared" si="5"/>
        <v>0</v>
      </c>
      <c r="AD25" s="1">
        <f t="shared" si="6"/>
        <v>0</v>
      </c>
      <c r="AE25" s="1">
        <f t="shared" si="7"/>
        <v>0</v>
      </c>
      <c r="AF25" s="1">
        <f>IF(C25="Orlov",Stamoplysninger!$E$15*7.4,0)</f>
        <v>0</v>
      </c>
      <c r="AG25" t="str">
        <f>IF(AND(C25="Skema 1",B25="ma"),Arbejdstidsoversigt!$E$72,"")</f>
        <v/>
      </c>
      <c r="AH25" t="str">
        <f>IF(AND(C25="Skema 1",B25="ti"),Arbejdstidsoversigt!$E$73,"")</f>
        <v/>
      </c>
      <c r="AI25" t="str">
        <f>IF(AND(C25="Skema 1",B25="on"),Arbejdstidsoversigt!$E$74,"")</f>
        <v/>
      </c>
      <c r="AJ25" t="str">
        <f>IF(AND(C25="Skema 1",B25="to"),Arbejdstidsoversigt!$E$75,"")</f>
        <v/>
      </c>
      <c r="AK25">
        <f>IF(AND(C25="Skema 1",B25="fr"),Arbejdstidsoversigt!$E$76,"")</f>
        <v>0</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8"/>
        <v>0</v>
      </c>
      <c r="BB25" s="226">
        <f t="shared" si="9"/>
        <v>0</v>
      </c>
      <c r="BC25" s="1">
        <f t="shared" si="24"/>
        <v>0</v>
      </c>
      <c r="BD25" s="1">
        <f t="shared" si="10"/>
        <v>0</v>
      </c>
      <c r="BE25" s="1">
        <f t="shared" si="11"/>
        <v>0</v>
      </c>
      <c r="BF25" s="1">
        <f t="shared" si="12"/>
        <v>0</v>
      </c>
      <c r="BG25" s="209" t="str">
        <f>IF(AND(C25="Skema 1",B25="ma"),Skemaoplysninger!$E$30,"")</f>
        <v/>
      </c>
      <c r="BH25" s="209" t="str">
        <f>IF(AND(C25="Skema 1",B25="ti"),Skemaoplysninger!$G$30,"")</f>
        <v/>
      </c>
      <c r="BI25" s="209" t="str">
        <f>IF(AND(C25="Skema 1",B25="on"),Skemaoplysninger!$I$30,"")</f>
        <v/>
      </c>
      <c r="BJ25" s="209" t="str">
        <f>IF(AND(C25="Skema 1",B25="to"),Skemaoplysninger!$K$30,"")</f>
        <v/>
      </c>
      <c r="BK25" s="209">
        <f>IF(AND(C25="Skema 1",B25="fr"),Skemaoplysninger!$M$30,"")</f>
        <v>0</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3"/>
        <v>0</v>
      </c>
      <c r="CC25" s="1">
        <f t="shared" si="14"/>
        <v>0</v>
      </c>
      <c r="CD25" s="209" t="str">
        <f>IF(AND(C25="Skema 1",B25="ma"),Skemaoplysninger!$E$31,"")</f>
        <v/>
      </c>
      <c r="CE25" s="209" t="str">
        <f>IF(AND(C25="Skema 1",B25="ti"),Skemaoplysninger!$G$31,"")</f>
        <v/>
      </c>
      <c r="CF25" s="209" t="str">
        <f>IF(AND(C25="Skema 1",B25="on"),Skemaoplysninger!$I$31,"")</f>
        <v/>
      </c>
      <c r="CG25" s="209" t="str">
        <f>IF(AND(C25="Skema 1",B25="to"),Skemaoplysninger!$K$31,"")</f>
        <v/>
      </c>
      <c r="CH25" s="209">
        <f>IF(AND(C25="Skema 1",B25="fr"),Skemaoplysninger!$M$31,"")</f>
        <v>0</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f t="shared" si="28"/>
        <v>0</v>
      </c>
      <c r="DJ25">
        <f t="shared" si="29"/>
        <v>0</v>
      </c>
      <c r="DK25" t="str">
        <f t="shared" si="15"/>
        <v/>
      </c>
      <c r="DL25" t="str">
        <f t="shared" si="15"/>
        <v/>
      </c>
      <c r="DM25" t="str">
        <f t="shared" si="30"/>
        <v/>
      </c>
      <c r="DN25" t="str">
        <f t="shared" si="31"/>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6"/>
        <v>0</v>
      </c>
      <c r="FT25" s="649">
        <f t="shared" si="17"/>
        <v>0</v>
      </c>
      <c r="FU25">
        <f t="shared" si="18"/>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9"/>
        <v>17</v>
      </c>
      <c r="B26" s="127" t="str">
        <f t="shared" si="0"/>
        <v>lø</v>
      </c>
      <c r="C26" s="128" t="s">
        <v>120</v>
      </c>
      <c r="D26" s="129" t="str">
        <f t="shared" si="1"/>
        <v/>
      </c>
      <c r="E26" s="932"/>
      <c r="F26" s="933"/>
      <c r="G26" s="934"/>
      <c r="H26" s="294"/>
      <c r="I26" s="407"/>
      <c r="J26" s="407"/>
      <c r="K26" s="374"/>
      <c r="L26" s="374"/>
      <c r="M26" s="374"/>
      <c r="N26" s="313">
        <f>BA26</f>
        <v>0</v>
      </c>
      <c r="O26" s="313">
        <f t="shared" si="21"/>
        <v>0</v>
      </c>
      <c r="P26" s="313">
        <f>IF(Stamoplysninger!$H$29="JA",August!DG26,CX26)</f>
        <v>0</v>
      </c>
      <c r="Q26" s="313">
        <f t="shared" si="22"/>
        <v>0</v>
      </c>
      <c r="R26" s="406"/>
      <c r="S26" s="319"/>
      <c r="T26" s="320"/>
      <c r="U26" s="320"/>
      <c r="V26" s="429"/>
      <c r="W26" s="406"/>
      <c r="X26" s="633"/>
      <c r="Y26">
        <f t="shared" si="23"/>
        <v>0</v>
      </c>
      <c r="Z26">
        <f t="shared" si="2"/>
        <v>0</v>
      </c>
      <c r="AA26" s="1">
        <f t="shared" si="3"/>
        <v>0</v>
      </c>
      <c r="AB26" s="1">
        <f t="shared" si="4"/>
        <v>0</v>
      </c>
      <c r="AC26" s="1">
        <f t="shared" si="5"/>
        <v>0</v>
      </c>
      <c r="AD26" s="1">
        <f t="shared" si="6"/>
        <v>0</v>
      </c>
      <c r="AE26" s="1">
        <f t="shared" si="7"/>
        <v>0</v>
      </c>
      <c r="AF26" s="1">
        <f>IF(C26="Orlov",Stamoplysninger!$E$15*7.4,0)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8"/>
        <v>0</v>
      </c>
      <c r="BB26" s="226">
        <f t="shared" si="9"/>
        <v>0</v>
      </c>
      <c r="BC26" s="1">
        <f t="shared" si="24"/>
        <v>0</v>
      </c>
      <c r="BD26" s="1">
        <f t="shared" si="10"/>
        <v>0</v>
      </c>
      <c r="BE26" s="1">
        <f t="shared" si="11"/>
        <v>0</v>
      </c>
      <c r="BF26" s="1">
        <f t="shared" si="12"/>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3"/>
        <v>0</v>
      </c>
      <c r="CC26" s="1">
        <f t="shared" si="14"/>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f t="shared" si="28"/>
        <v>0</v>
      </c>
      <c r="DJ26">
        <f t="shared" si="29"/>
        <v>0</v>
      </c>
      <c r="DK26" t="str">
        <f t="shared" si="15"/>
        <v/>
      </c>
      <c r="DL26" t="str">
        <f t="shared" si="15"/>
        <v/>
      </c>
      <c r="DM26" t="str">
        <f t="shared" si="30"/>
        <v/>
      </c>
      <c r="DN26" t="str">
        <f t="shared" si="31"/>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6"/>
        <v>0</v>
      </c>
      <c r="FT26" s="649">
        <f t="shared" si="17"/>
        <v>0</v>
      </c>
      <c r="FU26">
        <f t="shared" si="18"/>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9"/>
        <v>18</v>
      </c>
      <c r="B27" s="127" t="str">
        <f t="shared" si="0"/>
        <v>sø</v>
      </c>
      <c r="C27" s="128" t="s">
        <v>120</v>
      </c>
      <c r="D27" s="129" t="str">
        <f t="shared" si="1"/>
        <v/>
      </c>
      <c r="E27" s="932"/>
      <c r="F27" s="933"/>
      <c r="G27" s="934"/>
      <c r="H27" s="294"/>
      <c r="I27" s="407"/>
      <c r="J27" s="407"/>
      <c r="K27" s="374"/>
      <c r="L27" s="374"/>
      <c r="M27" s="374"/>
      <c r="N27" s="313">
        <f t="shared" si="20"/>
        <v>0</v>
      </c>
      <c r="O27" s="313">
        <f t="shared" si="21"/>
        <v>0</v>
      </c>
      <c r="P27" s="313">
        <f>IF(Stamoplysninger!$H$29="JA",August!DG27,CX27)</f>
        <v>0</v>
      </c>
      <c r="Q27" s="313">
        <f t="shared" si="22"/>
        <v>0</v>
      </c>
      <c r="R27" s="406"/>
      <c r="S27" s="319"/>
      <c r="T27" s="320"/>
      <c r="U27" s="320"/>
      <c r="V27" s="429"/>
      <c r="W27" s="406"/>
      <c r="X27" s="633"/>
      <c r="Y27">
        <f t="shared" si="23"/>
        <v>0</v>
      </c>
      <c r="Z27">
        <f t="shared" si="2"/>
        <v>0</v>
      </c>
      <c r="AA27" s="1">
        <f t="shared" si="3"/>
        <v>0</v>
      </c>
      <c r="AB27" s="1">
        <f t="shared" si="4"/>
        <v>0</v>
      </c>
      <c r="AC27" s="1">
        <f t="shared" si="5"/>
        <v>0</v>
      </c>
      <c r="AD27" s="1">
        <f t="shared" si="6"/>
        <v>0</v>
      </c>
      <c r="AE27" s="1">
        <f t="shared" si="7"/>
        <v>0</v>
      </c>
      <c r="AF27" s="1">
        <f>IF(C27="Orlov",Stamoplysninger!$E$15*7.4,0)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8"/>
        <v>0</v>
      </c>
      <c r="BB27" s="226">
        <f t="shared" si="9"/>
        <v>0</v>
      </c>
      <c r="BC27" s="1">
        <f t="shared" si="24"/>
        <v>0</v>
      </c>
      <c r="BD27" s="1">
        <f t="shared" si="10"/>
        <v>0</v>
      </c>
      <c r="BE27" s="1">
        <f t="shared" si="11"/>
        <v>0</v>
      </c>
      <c r="BF27" s="1">
        <f t="shared" si="12"/>
        <v>0</v>
      </c>
      <c r="BG27" s="209" t="str">
        <f>IF(AND(C27="Skema 1",B27="ma"),Skemaoplysninger!$E$30,"")</f>
        <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3"/>
        <v>0</v>
      </c>
      <c r="CC27" s="1">
        <f t="shared" si="14"/>
        <v>0</v>
      </c>
      <c r="CD27" s="209" t="str">
        <f>IF(AND(C27="Skema 1",B27="ma"),Skemaoplysninger!$E$31,"")</f>
        <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5"/>
        <v/>
      </c>
      <c r="DL27" t="str">
        <f t="shared" si="15"/>
        <v/>
      </c>
      <c r="DM27" t="str">
        <f t="shared" si="30"/>
        <v/>
      </c>
      <c r="DN27" t="str">
        <f t="shared" si="31"/>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6"/>
        <v>0</v>
      </c>
      <c r="FT27" s="649">
        <f t="shared" si="17"/>
        <v>0</v>
      </c>
      <c r="FU27">
        <f t="shared" si="18"/>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9"/>
        <v>19</v>
      </c>
      <c r="B28" s="127" t="str">
        <f t="shared" si="0"/>
        <v>ma</v>
      </c>
      <c r="C28" s="128" t="s">
        <v>206</v>
      </c>
      <c r="D28" s="129">
        <f t="shared" si="1"/>
        <v>34</v>
      </c>
      <c r="E28" s="932"/>
      <c r="F28" s="933"/>
      <c r="G28" s="934"/>
      <c r="H28" s="294"/>
      <c r="I28" s="519"/>
      <c r="J28" s="407"/>
      <c r="K28" s="374"/>
      <c r="L28" s="374"/>
      <c r="M28" s="374"/>
      <c r="N28" s="313">
        <f t="shared" si="20"/>
        <v>0</v>
      </c>
      <c r="O28" s="313">
        <f t="shared" si="21"/>
        <v>0</v>
      </c>
      <c r="P28" s="313">
        <f>IF(Stamoplysninger!$H$29="JA",August!DG28,CX28)</f>
        <v>0</v>
      </c>
      <c r="Q28" s="313">
        <f t="shared" si="22"/>
        <v>0</v>
      </c>
      <c r="R28" s="406"/>
      <c r="S28" s="319"/>
      <c r="T28" s="320"/>
      <c r="U28" s="320"/>
      <c r="V28" s="429"/>
      <c r="W28" s="406"/>
      <c r="X28" s="633"/>
      <c r="Y28">
        <f t="shared" si="23"/>
        <v>0</v>
      </c>
      <c r="Z28">
        <f t="shared" si="2"/>
        <v>0</v>
      </c>
      <c r="AA28" s="1">
        <f t="shared" si="3"/>
        <v>0</v>
      </c>
      <c r="AB28" s="1">
        <f t="shared" si="4"/>
        <v>0</v>
      </c>
      <c r="AC28" s="1">
        <f t="shared" si="5"/>
        <v>0</v>
      </c>
      <c r="AD28" s="1">
        <f t="shared" si="6"/>
        <v>0</v>
      </c>
      <c r="AE28" s="1">
        <f t="shared" si="7"/>
        <v>0</v>
      </c>
      <c r="AF28" s="1">
        <f>IF(C28="Orlov",Stamoplysninger!$E$15*7.4,0)</f>
        <v>0</v>
      </c>
      <c r="AG28">
        <f>IF(AND(C28="Skema 1",B28="ma"),Arbejdstidsoversigt!$E$72,"")</f>
        <v>0</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8"/>
        <v>0</v>
      </c>
      <c r="BB28" s="226">
        <f t="shared" si="9"/>
        <v>0</v>
      </c>
      <c r="BC28" s="1">
        <f t="shared" si="24"/>
        <v>0</v>
      </c>
      <c r="BD28" s="1">
        <f t="shared" si="10"/>
        <v>0</v>
      </c>
      <c r="BE28" s="1">
        <f t="shared" si="11"/>
        <v>0</v>
      </c>
      <c r="BF28" s="1">
        <f t="shared" si="12"/>
        <v>0</v>
      </c>
      <c r="BG28" s="209">
        <f>IF(AND(C28="Skema 1",B28="ma"),Skemaoplysninger!$E$30,"")</f>
        <v>0</v>
      </c>
      <c r="BH28" s="209" t="str">
        <f>IF(AND(C28="Skema 1",B28="ti"),Skemaoplysninger!$G$30,"")</f>
        <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3"/>
        <v>0</v>
      </c>
      <c r="CC28" s="1">
        <f t="shared" si="14"/>
        <v>0</v>
      </c>
      <c r="CD28" s="209">
        <f>IF(AND(C28="Skema 1",B28="ma"),Skemaoplysninger!$E$31,"")</f>
        <v>0</v>
      </c>
      <c r="CE28" s="209" t="str">
        <f>IF(AND(C28="Skema 1",B28="ti"),Skemaoplysninger!$G$31,"")</f>
        <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5"/>
        <v/>
      </c>
      <c r="DL28" t="str">
        <f t="shared" si="15"/>
        <v/>
      </c>
      <c r="DM28" t="str">
        <f t="shared" si="30"/>
        <v/>
      </c>
      <c r="DN28" t="str">
        <f t="shared" si="31"/>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6"/>
        <v>0</v>
      </c>
      <c r="FT28" s="649">
        <f t="shared" si="17"/>
        <v>0</v>
      </c>
      <c r="FU28">
        <f t="shared" si="18"/>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9"/>
        <v>20</v>
      </c>
      <c r="B29" s="127" t="str">
        <f t="shared" si="0"/>
        <v>ti</v>
      </c>
      <c r="C29" s="128" t="s">
        <v>206</v>
      </c>
      <c r="D29" s="129" t="str">
        <f t="shared" si="1"/>
        <v/>
      </c>
      <c r="E29" s="932"/>
      <c r="F29" s="933"/>
      <c r="G29" s="934"/>
      <c r="H29" s="294"/>
      <c r="I29" s="519"/>
      <c r="J29" s="407"/>
      <c r="K29" s="374"/>
      <c r="L29" s="374"/>
      <c r="M29" s="374"/>
      <c r="N29" s="313">
        <f t="shared" si="20"/>
        <v>0</v>
      </c>
      <c r="O29" s="313">
        <f t="shared" si="21"/>
        <v>0</v>
      </c>
      <c r="P29" s="313">
        <f>IF(Stamoplysninger!$H$29="JA",August!DG29,CX29)</f>
        <v>0</v>
      </c>
      <c r="Q29" s="313">
        <f t="shared" si="22"/>
        <v>0</v>
      </c>
      <c r="R29" s="406"/>
      <c r="S29" s="319"/>
      <c r="T29" s="320"/>
      <c r="U29" s="320"/>
      <c r="V29" s="429"/>
      <c r="W29" s="406"/>
      <c r="X29" s="633"/>
      <c r="Y29">
        <f t="shared" si="23"/>
        <v>0</v>
      </c>
      <c r="Z29">
        <f t="shared" si="2"/>
        <v>0</v>
      </c>
      <c r="AA29" s="1">
        <f t="shared" si="3"/>
        <v>0</v>
      </c>
      <c r="AB29" s="1">
        <f t="shared" si="4"/>
        <v>0</v>
      </c>
      <c r="AC29" s="1">
        <f t="shared" si="5"/>
        <v>0</v>
      </c>
      <c r="AD29" s="1">
        <f t="shared" si="6"/>
        <v>0</v>
      </c>
      <c r="AE29" s="1">
        <f t="shared" si="7"/>
        <v>0</v>
      </c>
      <c r="AF29" s="1">
        <f>IF(C29="Orlov",Stamoplysninger!$E$15*7.4,0)</f>
        <v>0</v>
      </c>
      <c r="AG29" t="str">
        <f>IF(AND(C29="Skema 1",B29="ma"),Arbejdstidsoversigt!$E$72,"")</f>
        <v/>
      </c>
      <c r="AH29">
        <f>IF(AND(C29="Skema 1",B29="ti"),Arbejdstidsoversigt!$E$73,"")</f>
        <v>0</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8"/>
        <v>0</v>
      </c>
      <c r="BB29" s="226">
        <f t="shared" si="9"/>
        <v>0</v>
      </c>
      <c r="BC29" s="1">
        <f t="shared" si="24"/>
        <v>0</v>
      </c>
      <c r="BD29" s="1">
        <f t="shared" si="10"/>
        <v>0</v>
      </c>
      <c r="BE29" s="1">
        <f t="shared" si="11"/>
        <v>0</v>
      </c>
      <c r="BF29" s="1">
        <f t="shared" si="12"/>
        <v>0</v>
      </c>
      <c r="BG29" s="209" t="str">
        <f>IF(AND(C29="Skema 1",B29="ma"),Skemaoplysninger!$E$30,"")</f>
        <v/>
      </c>
      <c r="BH29" s="209">
        <f>IF(AND(C29="Skema 1",B29="ti"),Skemaoplysninger!$G$30,"")</f>
        <v>0</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3"/>
        <v>0</v>
      </c>
      <c r="CC29" s="1">
        <f t="shared" si="14"/>
        <v>0</v>
      </c>
      <c r="CD29" s="209" t="str">
        <f>IF(AND(C29="Skema 1",B29="ma"),Skemaoplysninger!$E$31,"")</f>
        <v/>
      </c>
      <c r="CE29" s="209">
        <f>IF(AND(C29="Skema 1",B29="ti"),Skemaoplysninger!$G$31,"")</f>
        <v>0</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5"/>
        <v/>
      </c>
      <c r="DL29" t="str">
        <f t="shared" si="15"/>
        <v/>
      </c>
      <c r="DM29" t="str">
        <f t="shared" si="30"/>
        <v/>
      </c>
      <c r="DN29" t="str">
        <f t="shared" si="31"/>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6"/>
        <v>0</v>
      </c>
      <c r="FT29" s="649">
        <f t="shared" si="17"/>
        <v>0</v>
      </c>
      <c r="FU29">
        <f t="shared" si="18"/>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9"/>
        <v>21</v>
      </c>
      <c r="B30" s="127" t="str">
        <f t="shared" si="0"/>
        <v>on</v>
      </c>
      <c r="C30" s="128" t="s">
        <v>206</v>
      </c>
      <c r="D30" s="129" t="str">
        <f t="shared" si="1"/>
        <v/>
      </c>
      <c r="E30" s="932"/>
      <c r="F30" s="933"/>
      <c r="G30" s="934"/>
      <c r="H30" s="294"/>
      <c r="I30" s="519"/>
      <c r="J30" s="407"/>
      <c r="K30" s="374"/>
      <c r="L30" s="374"/>
      <c r="M30" s="374"/>
      <c r="N30" s="313">
        <f t="shared" si="20"/>
        <v>0</v>
      </c>
      <c r="O30" s="313">
        <f t="shared" si="21"/>
        <v>0</v>
      </c>
      <c r="P30" s="313">
        <f>IF(Stamoplysninger!$H$29="JA",August!DG30,CX30)</f>
        <v>0</v>
      </c>
      <c r="Q30" s="313">
        <f t="shared" si="22"/>
        <v>0</v>
      </c>
      <c r="R30" s="406"/>
      <c r="S30" s="319"/>
      <c r="T30" s="320"/>
      <c r="U30" s="320"/>
      <c r="V30" s="429"/>
      <c r="W30" s="406"/>
      <c r="X30" s="633"/>
      <c r="Y30">
        <f t="shared" si="23"/>
        <v>0</v>
      </c>
      <c r="Z30">
        <f t="shared" si="2"/>
        <v>0</v>
      </c>
      <c r="AA30" s="1">
        <f t="shared" si="3"/>
        <v>0</v>
      </c>
      <c r="AB30" s="1">
        <f t="shared" si="4"/>
        <v>0</v>
      </c>
      <c r="AC30" s="1">
        <f t="shared" si="5"/>
        <v>0</v>
      </c>
      <c r="AD30" s="1">
        <f t="shared" si="6"/>
        <v>0</v>
      </c>
      <c r="AE30" s="1">
        <f t="shared" si="7"/>
        <v>0</v>
      </c>
      <c r="AF30" s="1">
        <f>IF(C30="Orlov",Stamoplysninger!$E$15*7.4,0)</f>
        <v>0</v>
      </c>
      <c r="AG30" t="str">
        <f>IF(AND(C30="Skema 1",B30="ma"),Arbejdstidsoversigt!$E$72,"")</f>
        <v/>
      </c>
      <c r="AH30" t="str">
        <f>IF(AND(C30="Skema 1",B30="ti"),Arbejdstidsoversigt!$E$73,"")</f>
        <v/>
      </c>
      <c r="AI30">
        <f>IF(AND(C30="Skema 1",B30="on"),Arbejdstidsoversigt!$E$74,"")</f>
        <v>0</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8"/>
        <v>0</v>
      </c>
      <c r="BB30" s="226">
        <f t="shared" si="9"/>
        <v>0</v>
      </c>
      <c r="BC30" s="1">
        <f t="shared" si="24"/>
        <v>0</v>
      </c>
      <c r="BD30" s="1">
        <f t="shared" si="10"/>
        <v>0</v>
      </c>
      <c r="BE30" s="1">
        <f t="shared" si="11"/>
        <v>0</v>
      </c>
      <c r="BF30" s="1">
        <f t="shared" si="12"/>
        <v>0</v>
      </c>
      <c r="BG30" s="209" t="str">
        <f>IF(AND(C30="Skema 1",B30="ma"),Skemaoplysninger!$E$30,"")</f>
        <v/>
      </c>
      <c r="BH30" s="209" t="str">
        <f>IF(AND(C30="Skema 1",B30="ti"),Skemaoplysninger!$G$30,"")</f>
        <v/>
      </c>
      <c r="BI30" s="209">
        <f>IF(AND(C30="Skema 1",B30="on"),Skemaoplysninger!$I$30,"")</f>
        <v>0</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3"/>
        <v>0</v>
      </c>
      <c r="CC30" s="1">
        <f t="shared" si="14"/>
        <v>0</v>
      </c>
      <c r="CD30" s="209" t="str">
        <f>IF(AND(C30="Skema 1",B30="ma"),Skemaoplysninger!$E$31,"")</f>
        <v/>
      </c>
      <c r="CE30" s="209" t="str">
        <f>IF(AND(C30="Skema 1",B30="ti"),Skemaoplysninger!$G$31,"")</f>
        <v/>
      </c>
      <c r="CF30" s="209">
        <f>IF(AND(C30="Skema 1",B30="on"),Skemaoplysninger!$I$31,"")</f>
        <v>0</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5"/>
        <v/>
      </c>
      <c r="DL30" t="str">
        <f t="shared" si="15"/>
        <v/>
      </c>
      <c r="DM30" t="str">
        <f t="shared" si="30"/>
        <v/>
      </c>
      <c r="DN30" t="str">
        <f t="shared" si="31"/>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6"/>
        <v>0</v>
      </c>
      <c r="FT30" s="649">
        <f t="shared" si="17"/>
        <v>0</v>
      </c>
      <c r="FU30">
        <f>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9"/>
        <v>22</v>
      </c>
      <c r="B31" s="127" t="str">
        <f t="shared" si="0"/>
        <v>to</v>
      </c>
      <c r="C31" s="128" t="s">
        <v>206</v>
      </c>
      <c r="D31" s="129" t="str">
        <f t="shared" si="1"/>
        <v/>
      </c>
      <c r="E31" s="932"/>
      <c r="F31" s="933"/>
      <c r="G31" s="934"/>
      <c r="H31" s="294"/>
      <c r="I31" s="519"/>
      <c r="J31" s="407"/>
      <c r="K31" s="374"/>
      <c r="L31" s="374"/>
      <c r="M31" s="374"/>
      <c r="N31" s="313">
        <f t="shared" si="20"/>
        <v>0</v>
      </c>
      <c r="O31" s="313">
        <f t="shared" si="21"/>
        <v>0</v>
      </c>
      <c r="P31" s="313">
        <f>IF(Stamoplysninger!$H$29="JA",August!DG31,CX31)</f>
        <v>0</v>
      </c>
      <c r="Q31" s="313">
        <f t="shared" si="22"/>
        <v>0</v>
      </c>
      <c r="R31" s="406"/>
      <c r="S31" s="319"/>
      <c r="T31" s="320"/>
      <c r="U31" s="320"/>
      <c r="V31" s="429"/>
      <c r="W31" s="406"/>
      <c r="X31" s="633"/>
      <c r="Y31">
        <f t="shared" si="23"/>
        <v>0</v>
      </c>
      <c r="Z31">
        <f t="shared" si="2"/>
        <v>0</v>
      </c>
      <c r="AA31" s="1">
        <f t="shared" si="3"/>
        <v>0</v>
      </c>
      <c r="AB31" s="1">
        <f t="shared" si="4"/>
        <v>0</v>
      </c>
      <c r="AC31" s="1">
        <f t="shared" si="5"/>
        <v>0</v>
      </c>
      <c r="AD31" s="1">
        <f t="shared" si="6"/>
        <v>0</v>
      </c>
      <c r="AE31" s="1">
        <f t="shared" si="7"/>
        <v>0</v>
      </c>
      <c r="AF31" s="1">
        <f>IF(C31="Orlov",Stamoplysninger!$E$15*7.4,0)</f>
        <v>0</v>
      </c>
      <c r="AG31" t="str">
        <f>IF(AND(C31="Skema 1",B31="ma"),Arbejdstidsoversigt!$E$72,"")</f>
        <v/>
      </c>
      <c r="AH31" t="str">
        <f>IF(AND(C31="Skema 1",B31="ti"),Arbejdstidsoversigt!$E$73,"")</f>
        <v/>
      </c>
      <c r="AI31" t="str">
        <f>IF(AND(C31="Skema 1",B31="on"),Arbejdstidsoversigt!$E$74,"")</f>
        <v/>
      </c>
      <c r="AJ31">
        <f>IF(AND(C31="Skema 1",B31="to"),Arbejdstidsoversigt!$E$75,"")</f>
        <v>0</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8"/>
        <v>0</v>
      </c>
      <c r="BB31" s="226">
        <f t="shared" si="9"/>
        <v>0</v>
      </c>
      <c r="BC31" s="1">
        <f t="shared" si="24"/>
        <v>0</v>
      </c>
      <c r="BD31" s="1">
        <f t="shared" si="10"/>
        <v>0</v>
      </c>
      <c r="BE31" s="1">
        <f t="shared" si="11"/>
        <v>0</v>
      </c>
      <c r="BF31" s="1">
        <f t="shared" si="12"/>
        <v>0</v>
      </c>
      <c r="BG31" s="209" t="str">
        <f>IF(AND(C31="Skema 1",B31="ma"),Skemaoplysninger!$E$30,"")</f>
        <v/>
      </c>
      <c r="BH31" s="209" t="str">
        <f>IF(AND(C31="Skema 1",B31="ti"),Skemaoplysninger!$G$30,"")</f>
        <v/>
      </c>
      <c r="BI31" s="209" t="str">
        <f>IF(AND(C31="Skema 1",B31="on"),Skemaoplysninger!$I$30,"")</f>
        <v/>
      </c>
      <c r="BJ31" s="209">
        <f>IF(AND(C31="Skema 1",B31="to"),Skemaoplysninger!$K$30,"")</f>
        <v>0</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3"/>
        <v>0</v>
      </c>
      <c r="CC31" s="1">
        <f t="shared" si="14"/>
        <v>0</v>
      </c>
      <c r="CD31" s="209" t="str">
        <f>IF(AND(C31="Skema 1",B31="ma"),Skemaoplysninger!$E$31,"")</f>
        <v/>
      </c>
      <c r="CE31" s="209" t="str">
        <f>IF(AND(C31="Skema 1",B31="ti"),Skemaoplysninger!$G$31,"")</f>
        <v/>
      </c>
      <c r="CF31" s="209" t="str">
        <f>IF(AND(C31="Skema 1",B31="on"),Skemaoplysninger!$I$31,"")</f>
        <v/>
      </c>
      <c r="CG31" s="209">
        <f>IF(AND(C31="Skema 1",B31="to"),Skemaoplysninger!$K$31,"")</f>
        <v>0</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5"/>
        <v/>
      </c>
      <c r="DL31" t="str">
        <f t="shared" si="15"/>
        <v/>
      </c>
      <c r="DM31" t="str">
        <f t="shared" si="30"/>
        <v/>
      </c>
      <c r="DN31" t="str">
        <f t="shared" si="31"/>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6"/>
        <v>0</v>
      </c>
      <c r="FT31" s="649">
        <f t="shared" si="17"/>
        <v>0</v>
      </c>
      <c r="FU31">
        <f t="shared" ref="FU31:FU40" si="32">IF(AND(C31="weekend",I31="X"),K31,0)</f>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9"/>
        <v>23</v>
      </c>
      <c r="B32" s="127" t="str">
        <f t="shared" si="0"/>
        <v>fr</v>
      </c>
      <c r="C32" s="128" t="s">
        <v>206</v>
      </c>
      <c r="D32" s="129" t="str">
        <f t="shared" si="1"/>
        <v/>
      </c>
      <c r="E32" s="932"/>
      <c r="F32" s="933"/>
      <c r="G32" s="934"/>
      <c r="H32" s="294"/>
      <c r="I32" s="519"/>
      <c r="J32" s="407"/>
      <c r="K32" s="374"/>
      <c r="L32" s="374"/>
      <c r="M32" s="374"/>
      <c r="N32" s="313">
        <f t="shared" si="20"/>
        <v>0</v>
      </c>
      <c r="O32" s="313">
        <f t="shared" si="21"/>
        <v>0</v>
      </c>
      <c r="P32" s="313">
        <f>IF(Stamoplysninger!$H$29="JA",August!DG32,CX32)</f>
        <v>0</v>
      </c>
      <c r="Q32" s="313">
        <f t="shared" si="22"/>
        <v>0</v>
      </c>
      <c r="R32" s="406"/>
      <c r="S32" s="319"/>
      <c r="T32" s="320"/>
      <c r="U32" s="320"/>
      <c r="V32" s="429"/>
      <c r="W32" s="406"/>
      <c r="X32" s="633"/>
      <c r="Y32">
        <f t="shared" si="23"/>
        <v>0</v>
      </c>
      <c r="Z32">
        <f t="shared" si="2"/>
        <v>0</v>
      </c>
      <c r="AA32" s="1">
        <f t="shared" si="3"/>
        <v>0</v>
      </c>
      <c r="AB32" s="1">
        <f t="shared" si="4"/>
        <v>0</v>
      </c>
      <c r="AC32" s="1">
        <f t="shared" si="5"/>
        <v>0</v>
      </c>
      <c r="AD32" s="1">
        <f t="shared" si="6"/>
        <v>0</v>
      </c>
      <c r="AE32" s="1">
        <f t="shared" si="7"/>
        <v>0</v>
      </c>
      <c r="AF32" s="1">
        <f>IF(C32="Orlov",Stamoplysninger!$E$15*7.4,0)</f>
        <v>0</v>
      </c>
      <c r="AG32" t="str">
        <f>IF(AND(C32="Skema 1",B32="ma"),Arbejdstidsoversigt!$E$72,"")</f>
        <v/>
      </c>
      <c r="AH32" t="str">
        <f>IF(AND(C32="Skema 1",B32="ti"),Arbejdstidsoversigt!$E$73,"")</f>
        <v/>
      </c>
      <c r="AI32" t="str">
        <f>IF(AND(C32="Skema 1",B32="on"),Arbejdstidsoversigt!$E$74,"")</f>
        <v/>
      </c>
      <c r="AJ32" t="str">
        <f>IF(AND(C32="Skema 1",B32="to"),Arbejdstidsoversigt!$E$75,"")</f>
        <v/>
      </c>
      <c r="AK32">
        <f>IF(AND(C32="Skema 1",B32="fr"),Arbejdstidsoversigt!$E$76,"")</f>
        <v>0</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8"/>
        <v>0</v>
      </c>
      <c r="BB32" s="226">
        <f t="shared" si="9"/>
        <v>0</v>
      </c>
      <c r="BC32" s="1">
        <f t="shared" si="24"/>
        <v>0</v>
      </c>
      <c r="BD32" s="1">
        <f t="shared" si="10"/>
        <v>0</v>
      </c>
      <c r="BE32" s="1">
        <f t="shared" si="11"/>
        <v>0</v>
      </c>
      <c r="BF32" s="1">
        <f t="shared" si="12"/>
        <v>0</v>
      </c>
      <c r="BG32" s="209" t="str">
        <f>IF(AND(C32="Skema 1",B32="ma"),Skemaoplysninger!$E$30,"")</f>
        <v/>
      </c>
      <c r="BH32" s="209" t="str">
        <f>IF(AND(C32="Skema 1",B32="ti"),Skemaoplysninger!$G$30,"")</f>
        <v/>
      </c>
      <c r="BI32" s="209" t="str">
        <f>IF(AND(C32="Skema 1",B32="on"),Skemaoplysninger!$I$30,"")</f>
        <v/>
      </c>
      <c r="BJ32" s="209" t="str">
        <f>IF(AND(C32="Skema 1",B32="to"),Skemaoplysninger!$K$30,"")</f>
        <v/>
      </c>
      <c r="BK32" s="209">
        <f>IF(AND(C32="Skema 1",B32="fr"),Skemaoplysninger!$M$30,"")</f>
        <v>0</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3"/>
        <v>0</v>
      </c>
      <c r="CC32" s="1">
        <f t="shared" si="14"/>
        <v>0</v>
      </c>
      <c r="CD32" s="209" t="str">
        <f>IF(AND(C32="Skema 1",B32="ma"),Skemaoplysninger!$E$31,"")</f>
        <v/>
      </c>
      <c r="CE32" s="209" t="str">
        <f>IF(AND(C32="Skema 1",B32="ti"),Skemaoplysninger!$G$31,"")</f>
        <v/>
      </c>
      <c r="CF32" s="209" t="str">
        <f>IF(AND(C32="Skema 1",B32="on"),Skemaoplysninger!$I$31,"")</f>
        <v/>
      </c>
      <c r="CG32" s="209" t="str">
        <f>IF(AND(C32="Skema 1",B32="to"),Skemaoplysninger!$K$31,"")</f>
        <v/>
      </c>
      <c r="CH32" s="209">
        <f>IF(AND(C32="Skema 1",B32="fr"),Skemaoplysninger!$M$31,"")</f>
        <v>0</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5"/>
        <v/>
      </c>
      <c r="DL32" t="str">
        <f t="shared" si="15"/>
        <v/>
      </c>
      <c r="DM32" t="str">
        <f t="shared" si="30"/>
        <v/>
      </c>
      <c r="DN32" t="str">
        <f t="shared" si="31"/>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6"/>
        <v>0</v>
      </c>
      <c r="FT32" s="649">
        <f t="shared" si="17"/>
        <v>0</v>
      </c>
      <c r="FU32">
        <f t="shared" si="32"/>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9"/>
        <v>24</v>
      </c>
      <c r="B33" s="127" t="str">
        <f t="shared" si="0"/>
        <v>lø</v>
      </c>
      <c r="C33" s="128" t="s">
        <v>120</v>
      </c>
      <c r="D33" s="129" t="str">
        <f t="shared" si="1"/>
        <v/>
      </c>
      <c r="E33" s="964"/>
      <c r="F33" s="965"/>
      <c r="G33" s="966"/>
      <c r="H33" s="294"/>
      <c r="I33" s="407"/>
      <c r="J33" s="407"/>
      <c r="K33" s="374"/>
      <c r="L33" s="374"/>
      <c r="M33" s="374"/>
      <c r="N33" s="313">
        <f t="shared" si="20"/>
        <v>0</v>
      </c>
      <c r="O33" s="313">
        <f t="shared" si="21"/>
        <v>0</v>
      </c>
      <c r="P33" s="313">
        <f>IF(Stamoplysninger!$H$29="JA",August!DG33,CX33)</f>
        <v>0</v>
      </c>
      <c r="Q33" s="313">
        <f t="shared" si="22"/>
        <v>0</v>
      </c>
      <c r="R33" s="406"/>
      <c r="S33" s="319"/>
      <c r="T33" s="320"/>
      <c r="U33" s="320"/>
      <c r="V33" s="429"/>
      <c r="W33" s="406"/>
      <c r="X33" s="633"/>
      <c r="Y33">
        <f t="shared" si="23"/>
        <v>0</v>
      </c>
      <c r="Z33">
        <f t="shared" si="2"/>
        <v>0</v>
      </c>
      <c r="AA33" s="1">
        <f t="shared" si="3"/>
        <v>0</v>
      </c>
      <c r="AB33" s="1">
        <f t="shared" si="4"/>
        <v>0</v>
      </c>
      <c r="AC33" s="1">
        <f t="shared" si="5"/>
        <v>0</v>
      </c>
      <c r="AD33" s="1">
        <f t="shared" si="6"/>
        <v>0</v>
      </c>
      <c r="AE33" s="1">
        <f t="shared" si="7"/>
        <v>0</v>
      </c>
      <c r="AF33" s="1">
        <f>IF(C33="Orlov",Stamoplysninger!$E$15*7.4,0)</f>
        <v>0</v>
      </c>
      <c r="AG33" t="str">
        <f>IF(AND(C33="Skema 1",B33="ma"),Arbejdstidsoversigt!$E$72,"")</f>
        <v/>
      </c>
      <c r="AH33" t="str">
        <f>IF(AND(C33="Skema 1",B33="ti"),Arbejdstidsoversigt!$E$73,"")</f>
        <v/>
      </c>
      <c r="AI33" t="str">
        <f>IF(AND(C33="Skema 1",B33="on"),Arbejdstidsoversigt!$E$74,"")</f>
        <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8"/>
        <v>0</v>
      </c>
      <c r="BB33" s="226">
        <f t="shared" si="9"/>
        <v>0</v>
      </c>
      <c r="BC33" s="1">
        <f t="shared" si="24"/>
        <v>0</v>
      </c>
      <c r="BD33" s="1">
        <f t="shared" si="10"/>
        <v>0</v>
      </c>
      <c r="BE33" s="1">
        <f t="shared" si="11"/>
        <v>0</v>
      </c>
      <c r="BF33" s="1">
        <f t="shared" si="12"/>
        <v>0</v>
      </c>
      <c r="BG33" s="209" t="str">
        <f>IF(AND(C33="Skema 1",B33="ma"),Skemaoplysninger!$E$30,"")</f>
        <v/>
      </c>
      <c r="BH33" s="209" t="str">
        <f>IF(AND(C33="Skema 1",B33="ti"),Skemaoplysninger!$G$30,"")</f>
        <v/>
      </c>
      <c r="BI33" s="209" t="str">
        <f>IF(AND(C33="Skema 1",B33="on"),Skemaoplysninger!$I$30,"")</f>
        <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3"/>
        <v>0</v>
      </c>
      <c r="CC33" s="1">
        <f t="shared" si="14"/>
        <v>0</v>
      </c>
      <c r="CD33" s="209" t="str">
        <f>IF(AND(C33="Skema 1",B33="ma"),Skemaoplysninger!$E$31,"")</f>
        <v/>
      </c>
      <c r="CE33" s="209" t="str">
        <f>IF(AND(C33="Skema 1",B33="ti"),Skemaoplysninger!$G$31,"")</f>
        <v/>
      </c>
      <c r="CF33" s="209" t="str">
        <f>IF(AND(C33="Skema 1",B33="on"),Skemaoplysninger!$I$31,"")</f>
        <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5"/>
        <v/>
      </c>
      <c r="DL33" t="str">
        <f t="shared" si="15"/>
        <v/>
      </c>
      <c r="DM33" t="str">
        <f t="shared" si="30"/>
        <v/>
      </c>
      <c r="DN33" t="str">
        <f t="shared" si="31"/>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6"/>
        <v>0</v>
      </c>
      <c r="FT33" s="649">
        <f t="shared" si="17"/>
        <v>0</v>
      </c>
      <c r="FU33">
        <f t="shared" si="32"/>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9"/>
        <v>25</v>
      </c>
      <c r="B34" s="127" t="str">
        <f t="shared" si="0"/>
        <v>sø</v>
      </c>
      <c r="C34" s="128" t="s">
        <v>120</v>
      </c>
      <c r="D34" s="129" t="str">
        <f t="shared" si="1"/>
        <v/>
      </c>
      <c r="E34" s="932"/>
      <c r="F34" s="933"/>
      <c r="G34" s="934"/>
      <c r="H34" s="294"/>
      <c r="I34" s="407"/>
      <c r="J34" s="407"/>
      <c r="K34" s="374"/>
      <c r="L34" s="374"/>
      <c r="M34" s="374"/>
      <c r="N34" s="313">
        <f t="shared" si="20"/>
        <v>0</v>
      </c>
      <c r="O34" s="313">
        <f t="shared" si="21"/>
        <v>0</v>
      </c>
      <c r="P34" s="313">
        <f>IF(Stamoplysninger!$H$29="JA",August!DG34,CX34)</f>
        <v>0</v>
      </c>
      <c r="Q34" s="313">
        <f t="shared" si="22"/>
        <v>0</v>
      </c>
      <c r="R34" s="406"/>
      <c r="S34" s="319"/>
      <c r="T34" s="320"/>
      <c r="U34" s="320"/>
      <c r="V34" s="429"/>
      <c r="W34" s="406"/>
      <c r="X34" s="633"/>
      <c r="Y34">
        <f t="shared" si="23"/>
        <v>0</v>
      </c>
      <c r="Z34">
        <f t="shared" si="2"/>
        <v>0</v>
      </c>
      <c r="AA34" s="1">
        <f t="shared" si="3"/>
        <v>0</v>
      </c>
      <c r="AB34" s="1">
        <f t="shared" si="4"/>
        <v>0</v>
      </c>
      <c r="AC34" s="1">
        <f t="shared" si="5"/>
        <v>0</v>
      </c>
      <c r="AD34" s="1">
        <f t="shared" si="6"/>
        <v>0</v>
      </c>
      <c r="AE34" s="1">
        <f t="shared" si="7"/>
        <v>0</v>
      </c>
      <c r="AF34" s="1">
        <f>IF(C34="Orlov",Stamoplysninger!$E$15*7.4,0)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8"/>
        <v>0</v>
      </c>
      <c r="BB34" s="226">
        <f t="shared" si="9"/>
        <v>0</v>
      </c>
      <c r="BC34" s="1">
        <f t="shared" si="24"/>
        <v>0</v>
      </c>
      <c r="BD34" s="1">
        <f t="shared" si="10"/>
        <v>0</v>
      </c>
      <c r="BE34" s="1">
        <f t="shared" si="11"/>
        <v>0</v>
      </c>
      <c r="BF34" s="1">
        <f t="shared" si="12"/>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3"/>
        <v>0</v>
      </c>
      <c r="CC34" s="1">
        <f t="shared" si="14"/>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5"/>
        <v/>
      </c>
      <c r="DL34" t="str">
        <f t="shared" si="15"/>
        <v/>
      </c>
      <c r="DM34" t="str">
        <f t="shared" si="30"/>
        <v/>
      </c>
      <c r="DN34" t="str">
        <f t="shared" si="31"/>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6"/>
        <v>0</v>
      </c>
      <c r="FT34" s="649">
        <f t="shared" si="17"/>
        <v>0</v>
      </c>
      <c r="FU34">
        <f t="shared" si="32"/>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9"/>
        <v>26</v>
      </c>
      <c r="B35" s="127" t="str">
        <f t="shared" si="0"/>
        <v>ma</v>
      </c>
      <c r="C35" s="128" t="s">
        <v>206</v>
      </c>
      <c r="D35" s="129">
        <f t="shared" si="1"/>
        <v>35</v>
      </c>
      <c r="E35" s="932"/>
      <c r="F35" s="933"/>
      <c r="G35" s="934"/>
      <c r="H35" s="294"/>
      <c r="I35" s="519"/>
      <c r="J35" s="407"/>
      <c r="K35" s="374"/>
      <c r="L35" s="374"/>
      <c r="M35" s="374"/>
      <c r="N35" s="313">
        <f t="shared" si="20"/>
        <v>0</v>
      </c>
      <c r="O35" s="313">
        <f t="shared" si="21"/>
        <v>0</v>
      </c>
      <c r="P35" s="313">
        <f>IF(Stamoplysninger!$H$29="JA",August!DG35,CX35)</f>
        <v>0</v>
      </c>
      <c r="Q35" s="313">
        <f t="shared" si="22"/>
        <v>0</v>
      </c>
      <c r="R35" s="406"/>
      <c r="S35" s="319"/>
      <c r="T35" s="320"/>
      <c r="U35" s="320"/>
      <c r="V35" s="429"/>
      <c r="W35" s="406"/>
      <c r="X35" s="633"/>
      <c r="Y35">
        <f t="shared" si="23"/>
        <v>0</v>
      </c>
      <c r="Z35">
        <f t="shared" si="2"/>
        <v>0</v>
      </c>
      <c r="AA35" s="1">
        <f t="shared" si="3"/>
        <v>0</v>
      </c>
      <c r="AB35" s="1">
        <f t="shared" si="4"/>
        <v>0</v>
      </c>
      <c r="AC35" s="1">
        <f t="shared" si="5"/>
        <v>0</v>
      </c>
      <c r="AD35" s="1">
        <f t="shared" si="6"/>
        <v>0</v>
      </c>
      <c r="AE35" s="1">
        <f t="shared" si="7"/>
        <v>0</v>
      </c>
      <c r="AF35" s="1">
        <f>IF(C35="Orlov",Stamoplysninger!$E$15*7.4,0)</f>
        <v>0</v>
      </c>
      <c r="AG35">
        <f>IF(AND(C35="Skema 1",B35="ma"),Arbejdstidsoversigt!$E$72,"")</f>
        <v>0</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8"/>
        <v>0</v>
      </c>
      <c r="BB35" s="226">
        <f t="shared" si="9"/>
        <v>0</v>
      </c>
      <c r="BC35" s="1">
        <f t="shared" si="24"/>
        <v>0</v>
      </c>
      <c r="BD35" s="1">
        <f t="shared" si="10"/>
        <v>0</v>
      </c>
      <c r="BE35" s="1">
        <f t="shared" si="11"/>
        <v>0</v>
      </c>
      <c r="BF35" s="1">
        <f t="shared" si="12"/>
        <v>0</v>
      </c>
      <c r="BG35" s="209">
        <f>IF(AND(C35="Skema 1",B35="ma"),Skemaoplysninger!$E$30,"")</f>
        <v>0</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3"/>
        <v>0</v>
      </c>
      <c r="CC35" s="1">
        <f t="shared" si="14"/>
        <v>0</v>
      </c>
      <c r="CD35" s="209">
        <f>IF(AND(C35="Skema 1",B35="ma"),Skemaoplysninger!$E$31,"")</f>
        <v>0</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5"/>
        <v/>
      </c>
      <c r="DL35" t="str">
        <f t="shared" si="15"/>
        <v/>
      </c>
      <c r="DM35" t="str">
        <f t="shared" si="30"/>
        <v/>
      </c>
      <c r="DN35" t="str">
        <f t="shared" si="31"/>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6"/>
        <v>0</v>
      </c>
      <c r="FT35" s="649">
        <f t="shared" si="17"/>
        <v>0</v>
      </c>
      <c r="FU35">
        <f>IF(AND(C35="weekend",I35="X"),K35,0)</f>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9"/>
        <v>27</v>
      </c>
      <c r="B36" s="127" t="str">
        <f t="shared" si="0"/>
        <v>ti</v>
      </c>
      <c r="C36" s="128" t="s">
        <v>206</v>
      </c>
      <c r="D36" s="129" t="str">
        <f t="shared" si="1"/>
        <v/>
      </c>
      <c r="E36" s="932"/>
      <c r="F36" s="933"/>
      <c r="G36" s="934"/>
      <c r="H36" s="294"/>
      <c r="I36" s="519"/>
      <c r="J36" s="407"/>
      <c r="K36" s="374"/>
      <c r="L36" s="374"/>
      <c r="M36" s="374"/>
      <c r="N36" s="313">
        <f t="shared" si="20"/>
        <v>0</v>
      </c>
      <c r="O36" s="313">
        <f t="shared" si="21"/>
        <v>0</v>
      </c>
      <c r="P36" s="313">
        <f>IF(Stamoplysninger!$H$29="JA",August!DG36,CX36)</f>
        <v>0</v>
      </c>
      <c r="Q36" s="313">
        <f t="shared" si="22"/>
        <v>0</v>
      </c>
      <c r="R36" s="406"/>
      <c r="S36" s="319"/>
      <c r="T36" s="320"/>
      <c r="U36" s="320"/>
      <c r="V36" s="429"/>
      <c r="W36" s="406"/>
      <c r="X36" s="633"/>
      <c r="Y36">
        <f t="shared" si="23"/>
        <v>0</v>
      </c>
      <c r="Z36">
        <f t="shared" si="2"/>
        <v>0</v>
      </c>
      <c r="AA36" s="1">
        <f t="shared" si="3"/>
        <v>0</v>
      </c>
      <c r="AB36" s="1">
        <f t="shared" si="4"/>
        <v>0</v>
      </c>
      <c r="AC36" s="1">
        <f t="shared" si="5"/>
        <v>0</v>
      </c>
      <c r="AD36" s="1">
        <f t="shared" si="6"/>
        <v>0</v>
      </c>
      <c r="AE36" s="1">
        <f t="shared" si="7"/>
        <v>0</v>
      </c>
      <c r="AF36" s="1">
        <f>IF(C36="Orlov",Stamoplysninger!$E$15*7.4,0)</f>
        <v>0</v>
      </c>
      <c r="AG36" t="str">
        <f>IF(AND(C36="Skema 1",B36="ma"),Arbejdstidsoversigt!$E$72,"")</f>
        <v/>
      </c>
      <c r="AH36">
        <f>IF(AND(C36="Skema 1",B36="ti"),Arbejdstidsoversigt!$E$73,"")</f>
        <v>0</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8"/>
        <v>0</v>
      </c>
      <c r="BB36" s="226">
        <f t="shared" si="9"/>
        <v>0</v>
      </c>
      <c r="BC36" s="1">
        <f t="shared" si="24"/>
        <v>0</v>
      </c>
      <c r="BD36" s="1">
        <f t="shared" si="10"/>
        <v>0</v>
      </c>
      <c r="BE36" s="1">
        <f t="shared" si="11"/>
        <v>0</v>
      </c>
      <c r="BF36" s="1">
        <f t="shared" si="12"/>
        <v>0</v>
      </c>
      <c r="BG36" s="209" t="str">
        <f>IF(AND(C36="Skema 1",B36="ma"),Skemaoplysninger!$E$30,"")</f>
        <v/>
      </c>
      <c r="BH36" s="209">
        <f>IF(AND(C36="Skema 1",B36="ti"),Skemaoplysninger!$G$30,"")</f>
        <v>0</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3"/>
        <v>0</v>
      </c>
      <c r="CC36" s="1">
        <f t="shared" si="14"/>
        <v>0</v>
      </c>
      <c r="CD36" s="209" t="str">
        <f>IF(AND(C36="Skema 1",B36="ma"),Skemaoplysninger!$E$31,"")</f>
        <v/>
      </c>
      <c r="CE36" s="209">
        <f>IF(AND(C36="Skema 1",B36="ti"),Skemaoplysninger!$G$31,"")</f>
        <v>0</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5"/>
        <v/>
      </c>
      <c r="DL36" t="str">
        <f t="shared" si="15"/>
        <v/>
      </c>
      <c r="DM36" t="str">
        <f t="shared" si="30"/>
        <v/>
      </c>
      <c r="DN36" t="str">
        <f t="shared" si="31"/>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6"/>
        <v>0</v>
      </c>
      <c r="FT36" s="649">
        <f t="shared" si="17"/>
        <v>0</v>
      </c>
      <c r="FU36">
        <f t="shared" si="32"/>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 t="shared" si="19"/>
        <v>28</v>
      </c>
      <c r="B37" s="127" t="str">
        <f t="shared" si="0"/>
        <v>on</v>
      </c>
      <c r="C37" s="128" t="s">
        <v>206</v>
      </c>
      <c r="D37" s="129" t="str">
        <f t="shared" si="1"/>
        <v/>
      </c>
      <c r="E37" s="932"/>
      <c r="F37" s="933"/>
      <c r="G37" s="934"/>
      <c r="H37" s="294"/>
      <c r="I37" s="519"/>
      <c r="J37" s="407"/>
      <c r="K37" s="374"/>
      <c r="L37" s="374"/>
      <c r="M37" s="374"/>
      <c r="N37" s="313">
        <f t="shared" si="20"/>
        <v>0</v>
      </c>
      <c r="O37" s="313">
        <f t="shared" si="21"/>
        <v>0</v>
      </c>
      <c r="P37" s="313">
        <f>IF(Stamoplysninger!$H$29="JA",August!DG37,CX37)</f>
        <v>0</v>
      </c>
      <c r="Q37" s="313">
        <f t="shared" si="22"/>
        <v>0</v>
      </c>
      <c r="R37" s="406"/>
      <c r="S37" s="319"/>
      <c r="T37" s="320"/>
      <c r="U37" s="320"/>
      <c r="V37" s="429"/>
      <c r="W37" s="406"/>
      <c r="X37" s="633"/>
      <c r="Y37">
        <f t="shared" si="23"/>
        <v>0</v>
      </c>
      <c r="Z37">
        <f t="shared" si="2"/>
        <v>0</v>
      </c>
      <c r="AA37" s="1">
        <f t="shared" si="3"/>
        <v>0</v>
      </c>
      <c r="AB37" s="1">
        <f t="shared" si="4"/>
        <v>0</v>
      </c>
      <c r="AC37" s="1">
        <f t="shared" si="5"/>
        <v>0</v>
      </c>
      <c r="AD37" s="1">
        <f t="shared" si="6"/>
        <v>0</v>
      </c>
      <c r="AE37" s="1">
        <f t="shared" si="7"/>
        <v>0</v>
      </c>
      <c r="AF37" s="1">
        <f>IF(C37="Orlov",Stamoplysninger!$E$15*7.4,0)</f>
        <v>0</v>
      </c>
      <c r="AG37" t="str">
        <f>IF(AND(C37="Skema 1",B37="ma"),Arbejdstidsoversigt!$E$72,"")</f>
        <v/>
      </c>
      <c r="AH37" t="str">
        <f>IF(AND(C37="Skema 1",B37="ti"),Arbejdstidsoversigt!$E$73,"")</f>
        <v/>
      </c>
      <c r="AI37">
        <f>IF(AND(C37="Skema 1",B37="on"),Arbejdstidsoversigt!$E$74,"")</f>
        <v>0</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8"/>
        <v>0</v>
      </c>
      <c r="BB37" s="226">
        <f t="shared" si="9"/>
        <v>0</v>
      </c>
      <c r="BC37" s="1">
        <f t="shared" si="24"/>
        <v>0</v>
      </c>
      <c r="BD37" s="1">
        <f t="shared" si="10"/>
        <v>0</v>
      </c>
      <c r="BE37" s="1">
        <f t="shared" si="11"/>
        <v>0</v>
      </c>
      <c r="BF37" s="1">
        <f t="shared" si="12"/>
        <v>0</v>
      </c>
      <c r="BG37" s="209" t="str">
        <f>IF(AND(C37="Skema 1",B37="ma"),Skemaoplysninger!$E$30,"")</f>
        <v/>
      </c>
      <c r="BH37" s="209" t="str">
        <f>IF(AND(C37="Skema 1",B37="ti"),Skemaoplysninger!$G$30,"")</f>
        <v/>
      </c>
      <c r="BI37" s="209">
        <f>IF(AND(C37="Skema 1",B37="on"),Skemaoplysninger!$I$30,"")</f>
        <v>0</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5"/>
        <v>0</v>
      </c>
      <c r="CB37" s="1">
        <f t="shared" si="13"/>
        <v>0</v>
      </c>
      <c r="CC37" s="1">
        <f t="shared" si="14"/>
        <v>0</v>
      </c>
      <c r="CD37" s="209" t="str">
        <f>IF(AND(C37="Skema 1",B37="ma"),Skemaoplysninger!$E$31,"")</f>
        <v/>
      </c>
      <c r="CE37" s="209" t="str">
        <f>IF(AND(C37="Skema 1",B37="ti"),Skemaoplysninger!$G$31,"")</f>
        <v/>
      </c>
      <c r="CF37" s="209">
        <f>IF(AND(C37="Skema 1",B37="on"),Skemaoplysninger!$I$31,"")</f>
        <v>0</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6"/>
        <v>0</v>
      </c>
      <c r="DH37" t="str">
        <f t="shared" si="27"/>
        <v/>
      </c>
      <c r="DI37">
        <f t="shared" si="28"/>
        <v>0</v>
      </c>
      <c r="DJ37">
        <f t="shared" si="29"/>
        <v>0</v>
      </c>
      <c r="DK37" t="str">
        <f t="shared" si="15"/>
        <v/>
      </c>
      <c r="DL37" t="str">
        <f t="shared" si="15"/>
        <v/>
      </c>
      <c r="DM37" t="str">
        <f t="shared" si="30"/>
        <v/>
      </c>
      <c r="DN37" t="str">
        <f t="shared" si="31"/>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relevant",S37="X"))),V37/4,0)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40" si="33">IF(AND(I37="X",S37="X"),V37,0)</f>
        <v>0</v>
      </c>
      <c r="FT37" s="649">
        <f t="shared" ref="FT37:FT40" si="34">IF(AND(AND(C37="ikke relevant",I37="X",S37="X")),V37,0)</f>
        <v>0</v>
      </c>
      <c r="FU37">
        <f t="shared" ref="FU37:FU40" si="35">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IF(ISNUMBER(A37),A37+1,1)</f>
        <v>29</v>
      </c>
      <c r="B38" s="127" t="str">
        <f t="shared" si="0"/>
        <v>to</v>
      </c>
      <c r="C38" s="128" t="s">
        <v>206</v>
      </c>
      <c r="D38" s="129" t="str">
        <f t="shared" si="1"/>
        <v/>
      </c>
      <c r="E38" s="932"/>
      <c r="F38" s="933"/>
      <c r="G38" s="934"/>
      <c r="H38" s="294"/>
      <c r="I38" s="519"/>
      <c r="J38" s="407"/>
      <c r="K38" s="374"/>
      <c r="L38" s="374"/>
      <c r="M38" s="374"/>
      <c r="N38" s="313">
        <f t="shared" si="20"/>
        <v>0</v>
      </c>
      <c r="O38" s="313">
        <f t="shared" si="21"/>
        <v>0</v>
      </c>
      <c r="P38" s="313">
        <f>IF(Stamoplysninger!$H$29="JA",August!DG38,CX38)</f>
        <v>0</v>
      </c>
      <c r="Q38" s="313">
        <f t="shared" si="22"/>
        <v>0</v>
      </c>
      <c r="R38" s="406"/>
      <c r="S38" s="319"/>
      <c r="T38" s="320"/>
      <c r="U38" s="320"/>
      <c r="V38" s="429"/>
      <c r="W38" s="406"/>
      <c r="X38" s="633"/>
      <c r="Y38">
        <f t="shared" si="23"/>
        <v>0</v>
      </c>
      <c r="Z38">
        <f t="shared" si="2"/>
        <v>0</v>
      </c>
      <c r="AA38" s="1">
        <f t="shared" si="3"/>
        <v>0</v>
      </c>
      <c r="AB38" s="1">
        <f t="shared" si="4"/>
        <v>0</v>
      </c>
      <c r="AC38" s="1">
        <f t="shared" si="5"/>
        <v>0</v>
      </c>
      <c r="AD38" s="1">
        <f t="shared" si="6"/>
        <v>0</v>
      </c>
      <c r="AE38" s="1">
        <f t="shared" si="7"/>
        <v>0</v>
      </c>
      <c r="AF38" s="1">
        <f>IF(C38="Orlov",Stamoplysninger!$E$15*7.4,0)</f>
        <v>0</v>
      </c>
      <c r="AG38" t="str">
        <f>IF(AND(C38="Skema 1",B38="ma"),Arbejdstidsoversigt!$E$72,"")</f>
        <v/>
      </c>
      <c r="AH38" t="str">
        <f>IF(AND(C38="Skema 1",B38="ti"),Arbejdstidsoversigt!$E$73,"")</f>
        <v/>
      </c>
      <c r="AI38" t="str">
        <f>IF(AND(C38="Skema 1",B38="on"),Arbejdstidsoversigt!$E$74,"")</f>
        <v/>
      </c>
      <c r="AJ38">
        <f>IF(AND(C38="Skema 1",B38="to"),Arbejdstidsoversigt!$E$75,"")</f>
        <v>0</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8"/>
        <v>0</v>
      </c>
      <c r="BB38" s="226">
        <f t="shared" si="9"/>
        <v>0</v>
      </c>
      <c r="BC38" s="1">
        <f t="shared" si="24"/>
        <v>0</v>
      </c>
      <c r="BD38" s="1">
        <f t="shared" si="10"/>
        <v>0</v>
      </c>
      <c r="BE38" s="1">
        <f t="shared" si="11"/>
        <v>0</v>
      </c>
      <c r="BF38" s="1">
        <f t="shared" si="12"/>
        <v>0</v>
      </c>
      <c r="BG38" s="209" t="str">
        <f>IF(AND(C38="Skema 1",B38="ma"),Skemaoplysninger!$E$30,"")</f>
        <v/>
      </c>
      <c r="BH38" s="209" t="str">
        <f>IF(AND(C38="Skema 1",B38="ti"),Skemaoplysninger!$G$30,"")</f>
        <v/>
      </c>
      <c r="BI38" s="209" t="str">
        <f>IF(AND(C38="Skema 1",B38="on"),Skemaoplysninger!$I$30,"")</f>
        <v/>
      </c>
      <c r="BJ38" s="209">
        <f>IF(AND(C38="Skema 1",B38="to"),Skemaoplysninger!$K$30,"")</f>
        <v>0</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5"/>
        <v>0</v>
      </c>
      <c r="CB38" s="1">
        <f t="shared" si="13"/>
        <v>0</v>
      </c>
      <c r="CC38" s="1">
        <f t="shared" si="14"/>
        <v>0</v>
      </c>
      <c r="CD38" s="209" t="str">
        <f>IF(AND(C38="Skema 1",B38="ma"),Skemaoplysninger!$E$31,"")</f>
        <v/>
      </c>
      <c r="CE38" s="209" t="str">
        <f>IF(AND(C38="Skema 1",B38="ti"),Skemaoplysninger!$G$31,"")</f>
        <v/>
      </c>
      <c r="CF38" s="209" t="str">
        <f>IF(AND(C38="Skema 1",B38="on"),Skemaoplysninger!$I$31,"")</f>
        <v/>
      </c>
      <c r="CG38" s="209">
        <f>IF(AND(C38="Skema 1",B38="to"),Skemaoplysninger!$K$31,"")</f>
        <v>0</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6"/>
        <v>0</v>
      </c>
      <c r="DH38" t="str">
        <f t="shared" si="27"/>
        <v/>
      </c>
      <c r="DI38">
        <f t="shared" si="28"/>
        <v>0</v>
      </c>
      <c r="DJ38">
        <f t="shared" si="29"/>
        <v>0</v>
      </c>
      <c r="DK38" t="str">
        <f t="shared" si="15"/>
        <v/>
      </c>
      <c r="DL38" t="str">
        <f t="shared" si="15"/>
        <v/>
      </c>
      <c r="DM38" t="str">
        <f t="shared" si="30"/>
        <v/>
      </c>
      <c r="DN38" t="str">
        <f t="shared" si="31"/>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3"/>
        <v>0</v>
      </c>
      <c r="FT38" s="649">
        <f t="shared" si="34"/>
        <v>0</v>
      </c>
      <c r="FU38">
        <f t="shared" si="35"/>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c r="A39" s="241">
        <f t="shared" si="19"/>
        <v>30</v>
      </c>
      <c r="B39" s="127" t="str">
        <f t="shared" si="0"/>
        <v>fr</v>
      </c>
      <c r="C39" s="128" t="s">
        <v>206</v>
      </c>
      <c r="D39" s="129" t="str">
        <f t="shared" si="1"/>
        <v/>
      </c>
      <c r="E39" s="932"/>
      <c r="F39" s="933"/>
      <c r="G39" s="934"/>
      <c r="H39" s="294"/>
      <c r="I39" s="519"/>
      <c r="J39" s="407"/>
      <c r="K39" s="374"/>
      <c r="L39" s="374"/>
      <c r="M39" s="374"/>
      <c r="N39" s="313">
        <f t="shared" si="20"/>
        <v>0</v>
      </c>
      <c r="O39" s="313">
        <f t="shared" si="21"/>
        <v>0</v>
      </c>
      <c r="P39" s="313">
        <f>IF(Stamoplysninger!$H$29="JA",August!DG39,CX39)</f>
        <v>0</v>
      </c>
      <c r="Q39" s="313">
        <f t="shared" si="22"/>
        <v>0</v>
      </c>
      <c r="R39" s="406"/>
      <c r="S39" s="319"/>
      <c r="T39" s="320"/>
      <c r="U39" s="435"/>
      <c r="V39" s="429"/>
      <c r="W39" s="406"/>
      <c r="X39" s="633"/>
      <c r="Y39">
        <f t="shared" si="23"/>
        <v>0</v>
      </c>
      <c r="Z39">
        <f t="shared" si="2"/>
        <v>0</v>
      </c>
      <c r="AA39" s="1">
        <f t="shared" si="3"/>
        <v>0</v>
      </c>
      <c r="AB39" s="1">
        <f t="shared" si="4"/>
        <v>0</v>
      </c>
      <c r="AC39" s="1">
        <f t="shared" si="5"/>
        <v>0</v>
      </c>
      <c r="AD39" s="1">
        <f t="shared" si="6"/>
        <v>0</v>
      </c>
      <c r="AE39" s="1">
        <f t="shared" si="7"/>
        <v>0</v>
      </c>
      <c r="AF39" s="1">
        <f>IF(C39="Orlov",Stamoplysninger!$E$15*7.4,0)</f>
        <v>0</v>
      </c>
      <c r="AG39" t="str">
        <f>IF(AND(C39="Skema 1",B39="ma"),Arbejdstidsoversigt!$E$72,"")</f>
        <v/>
      </c>
      <c r="AH39" t="str">
        <f>IF(AND(C39="Skema 1",B39="ti"),Arbejdstidsoversigt!$E$73,"")</f>
        <v/>
      </c>
      <c r="AI39" t="str">
        <f>IF(AND(C39="Skema 1",B39="on"),Arbejdstidsoversigt!$E$74,"")</f>
        <v/>
      </c>
      <c r="AJ39" t="str">
        <f>IF(AND(C39="Skema 1",B39="to"),Arbejdstidsoversigt!$E$75,"")</f>
        <v/>
      </c>
      <c r="AK39">
        <f>IF(AND(C39="Skema 1",B39="fr"),Arbejdstidsoversigt!$E$76,"")</f>
        <v>0</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8"/>
        <v>0</v>
      </c>
      <c r="BB39" s="226">
        <f t="shared" si="9"/>
        <v>0</v>
      </c>
      <c r="BC39" s="1">
        <f t="shared" si="24"/>
        <v>0</v>
      </c>
      <c r="BD39" s="1">
        <f t="shared" si="10"/>
        <v>0</v>
      </c>
      <c r="BE39" s="1">
        <f t="shared" si="11"/>
        <v>0</v>
      </c>
      <c r="BF39" s="1">
        <f t="shared" si="12"/>
        <v>0</v>
      </c>
      <c r="BG39" s="209" t="str">
        <f>IF(AND(C39="Skema 1",B39="ma"),Skemaoplysninger!$E$30,"")</f>
        <v/>
      </c>
      <c r="BH39" s="209" t="str">
        <f>IF(AND(C39="Skema 1",B39="ti"),Skemaoplysninger!$G$30,"")</f>
        <v/>
      </c>
      <c r="BI39" s="209" t="str">
        <f>IF(AND(C39="Skema 1",B39="on"),Skemaoplysninger!$I$30,"")</f>
        <v/>
      </c>
      <c r="BJ39" s="209" t="str">
        <f>IF(AND(C39="Skema 1",B39="to"),Skemaoplysninger!$K$30,"")</f>
        <v/>
      </c>
      <c r="BK39" s="209">
        <f>IF(AND(C39="Skema 1",B39="fr"),Skemaoplysninger!$M$30,"")</f>
        <v>0</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25"/>
        <v>0</v>
      </c>
      <c r="CB39" s="1">
        <f t="shared" si="13"/>
        <v>0</v>
      </c>
      <c r="CC39" s="1">
        <f t="shared" si="14"/>
        <v>0</v>
      </c>
      <c r="CD39" s="209" t="str">
        <f>IF(AND(C39="Skema 1",B39="ma"),Skemaoplysninger!$E$31,"")</f>
        <v/>
      </c>
      <c r="CE39" s="209" t="str">
        <f>IF(AND(C39="Skema 1",B39="ti"),Skemaoplysninger!$G$31,"")</f>
        <v/>
      </c>
      <c r="CF39" s="209" t="str">
        <f>IF(AND(C39="Skema 1",B39="on"),Skemaoplysninger!$I$31,"")</f>
        <v/>
      </c>
      <c r="CG39" s="209" t="str">
        <f>IF(AND(C39="Skema 1",B39="to"),Skemaoplysninger!$K$31,"")</f>
        <v/>
      </c>
      <c r="CH39" s="209">
        <f>IF(AND(C39="Skema 1",B39="fr"),Skemaoplysninger!$M$31,"")</f>
        <v>0</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26"/>
        <v>0</v>
      </c>
      <c r="DH39" t="str">
        <f t="shared" si="27"/>
        <v/>
      </c>
      <c r="DI39">
        <f t="shared" si="28"/>
        <v>0</v>
      </c>
      <c r="DJ39">
        <f t="shared" si="29"/>
        <v>0</v>
      </c>
      <c r="DK39" t="str">
        <f t="shared" si="15"/>
        <v/>
      </c>
      <c r="DL39" t="str">
        <f t="shared" si="15"/>
        <v/>
      </c>
      <c r="DM39" t="str">
        <f t="shared" si="30"/>
        <v/>
      </c>
      <c r="DN39" t="str">
        <f t="shared" si="31"/>
        <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relevant",U39="X"))),X39/4,0)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33"/>
        <v>0</v>
      </c>
      <c r="FT39" s="649">
        <f t="shared" si="34"/>
        <v>0</v>
      </c>
      <c r="FU39">
        <f t="shared" si="35"/>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241">
        <f>IF(ISNUMBER(A39),A39+1,1)</f>
        <v>31</v>
      </c>
      <c r="B40" s="127" t="str">
        <f t="shared" si="0"/>
        <v>lø</v>
      </c>
      <c r="C40" s="128" t="s">
        <v>120</v>
      </c>
      <c r="D40" s="129" t="str">
        <f t="shared" si="1"/>
        <v/>
      </c>
      <c r="E40" s="964"/>
      <c r="F40" s="965"/>
      <c r="G40" s="966"/>
      <c r="H40" s="293"/>
      <c r="I40" s="407"/>
      <c r="J40" s="407"/>
      <c r="K40" s="374"/>
      <c r="L40" s="374"/>
      <c r="M40" s="374"/>
      <c r="N40" s="313">
        <f t="shared" si="20"/>
        <v>0</v>
      </c>
      <c r="O40" s="313">
        <f t="shared" si="21"/>
        <v>0</v>
      </c>
      <c r="P40" s="313">
        <f>IF(Stamoplysninger!$H$29="JA",August!DG40,CX40)</f>
        <v>0</v>
      </c>
      <c r="Q40" s="313">
        <f t="shared" si="22"/>
        <v>0</v>
      </c>
      <c r="R40" s="406"/>
      <c r="S40" s="319"/>
      <c r="T40" s="320"/>
      <c r="U40" s="213"/>
      <c r="V40" s="429"/>
      <c r="W40" s="406"/>
      <c r="X40" s="634"/>
      <c r="Y40">
        <f t="shared" si="23"/>
        <v>0</v>
      </c>
      <c r="Z40">
        <f t="shared" si="2"/>
        <v>0</v>
      </c>
      <c r="AA40" s="1">
        <f t="shared" si="3"/>
        <v>0</v>
      </c>
      <c r="AB40" s="1">
        <f t="shared" si="4"/>
        <v>0</v>
      </c>
      <c r="AC40" s="1">
        <f t="shared" si="5"/>
        <v>0</v>
      </c>
      <c r="AD40" s="1">
        <f t="shared" si="6"/>
        <v>0</v>
      </c>
      <c r="AE40" s="1">
        <f t="shared" si="7"/>
        <v>0</v>
      </c>
      <c r="AF40" s="1">
        <f>IF(C40="Orlov",Stamoplysninger!$E$15*7.4,0)</f>
        <v>0</v>
      </c>
      <c r="AG40" t="str">
        <f>IF(AND(C40="Skema 1",B40="ma"),Arbejdstidsoversigt!$E$72,"")</f>
        <v/>
      </c>
      <c r="AH40" t="str">
        <f>IF(AND(C40="Skema 1",B40="ti"),Arbejdstidsoversigt!$E$73,"")</f>
        <v/>
      </c>
      <c r="AI40" t="str">
        <f>IF(AND(C40="Skema 1",B40="on"),Arbejdstidsoversigt!$E$74,"")</f>
        <v/>
      </c>
      <c r="AJ40" t="str">
        <f>IF(AND(C40="Skema 1",B40="to"),Arbejdstidsoversigt!$E$75,"")</f>
        <v/>
      </c>
      <c r="AK40" t="str">
        <f>IF(AND(C40="Skema 1",B40="fr"),Arbejdstidsoversigt!$E$76,"")</f>
        <v/>
      </c>
      <c r="AL40" t="str">
        <f>IF(AND(C40="Skema 2",B40="ma"),Arbejdstidsoversigt!$E$81,"")</f>
        <v/>
      </c>
      <c r="AM40" t="str">
        <f>IF(AND(C40="Skema 2",B40="ti"),Arbejdstidsoversigt!$E$82,"")</f>
        <v/>
      </c>
      <c r="AN40" t="str">
        <f>IF(AND(C40="Skema 2",B40="on"),Arbejdstidsoversigt!$E$83,"")</f>
        <v/>
      </c>
      <c r="AO40" t="str">
        <f>IF(AND(C40="Skema 2",B40="to"),Arbejdstidsoversigt!$E$84,"")</f>
        <v/>
      </c>
      <c r="AP40" t="str">
        <f>IF(AND(C40="Skema 2",B40="fr"),Arbejdstidsoversigt!$E$85,"")</f>
        <v/>
      </c>
      <c r="AQ40" t="str">
        <f>IF(AND(C40="Skema 3",B40="ma"),Arbejdstidsoversigt!$E$90,"")</f>
        <v/>
      </c>
      <c r="AR40" t="str">
        <f>IF(AND(C40="Skema 3",B40="ti"),Arbejdstidsoversigt!$E$91,"")</f>
        <v/>
      </c>
      <c r="AS40" t="str">
        <f>IF(AND(C40="Skema 3",B40="on"),Arbejdstidsoversigt!$E$92,"")</f>
        <v/>
      </c>
      <c r="AT40" t="str">
        <f>IF(AND(C40="Skema 3",B40="to"),Arbejdstidsoversigt!$E$93,"")</f>
        <v/>
      </c>
      <c r="AU40" t="str">
        <f>IF(AND(C40="Skema 3",B40="fr"),Arbejdstidsoversigt!$E$94,"")</f>
        <v/>
      </c>
      <c r="AV40" t="str">
        <f>IF(AND(C40="Skema 4",B40="ma"),Arbejdstidsoversigt!$E$99,"")</f>
        <v/>
      </c>
      <c r="AW40" t="str">
        <f>IF(AND(C40="Skema 4",B40="ti"),Arbejdstidsoversigt!$E$100,"")</f>
        <v/>
      </c>
      <c r="AX40" t="str">
        <f>IF(AND(C40="Skema 4",B40="on"),Arbejdstidsoversigt!$E$101,"")</f>
        <v/>
      </c>
      <c r="AY40" t="str">
        <f>IF(AND(C40="Skema 4",B40="to"),Arbejdstidsoversigt!$E$102,"")</f>
        <v/>
      </c>
      <c r="AZ40" t="str">
        <f>IF(AND(C40="Skema 4",B40="fr"),Arbejdstidsoversigt!$E$103,"")</f>
        <v/>
      </c>
      <c r="BA40" s="1">
        <f t="shared" si="8"/>
        <v>0</v>
      </c>
      <c r="BB40" s="226">
        <f t="shared" si="9"/>
        <v>0</v>
      </c>
      <c r="BC40" s="1">
        <f t="shared" si="24"/>
        <v>0</v>
      </c>
      <c r="BD40" s="1">
        <f t="shared" si="10"/>
        <v>0</v>
      </c>
      <c r="BE40" s="1">
        <f t="shared" si="11"/>
        <v>0</v>
      </c>
      <c r="BF40" s="1">
        <f t="shared" si="12"/>
        <v>0</v>
      </c>
      <c r="BG40" s="209" t="str">
        <f>IF(AND(C40="Skema 1",B40="ma"),Skemaoplysninger!$E$30,"")</f>
        <v/>
      </c>
      <c r="BH40" s="209" t="str">
        <f>IF(AND(C40="Skema 1",B40="ti"),Skemaoplysninger!$G$30,"")</f>
        <v/>
      </c>
      <c r="BI40" s="209" t="str">
        <f>IF(AND(C40="Skema 1",B40="on"),Skemaoplysninger!$I$30,"")</f>
        <v/>
      </c>
      <c r="BJ40" s="209" t="str">
        <f>IF(AND(C40="Skema 1",B40="to"),Skemaoplysninger!$K$30,"")</f>
        <v/>
      </c>
      <c r="BK40" s="209" t="str">
        <f>IF(AND(C40="Skema 1",B40="fr"),Skemaoplysninger!$M$30,"")</f>
        <v/>
      </c>
      <c r="BL40" s="209" t="str">
        <f>IF(AND(C40="Skema 2",B40="ma"),Skemaoplysninger!$S$30,"")</f>
        <v/>
      </c>
      <c r="BM40" s="209" t="str">
        <f>IF(AND(C40="Skema 2",B40="ti"),Skemaoplysninger!$U$30,"")</f>
        <v/>
      </c>
      <c r="BN40" s="209" t="str">
        <f>IF(AND(C40="Skema 2",B40="on"),Skemaoplysninger!$W$30,"")</f>
        <v/>
      </c>
      <c r="BO40" s="209" t="str">
        <f>IF(AND(C40="Skema 2",B40="to"),Skemaoplysninger!$Y$30,"")</f>
        <v/>
      </c>
      <c r="BP40" s="209" t="str">
        <f>IF(AND(C40="Skema 2",B40="fr"),Skemaoplysninger!$AA$30,"")</f>
        <v/>
      </c>
      <c r="BQ40" s="209" t="str">
        <f>IF(AND(C40="Skema 3",B40="ma"),Skemaoplysninger!$AG$30,"")</f>
        <v/>
      </c>
      <c r="BR40" s="209" t="str">
        <f>IF(AND(C40="Skema 3",B40="ti"),Skemaoplysninger!$AI$30,"")</f>
        <v/>
      </c>
      <c r="BS40" s="209" t="str">
        <f>IF(AND(C40="Skema 3",B40="on"),Skemaoplysninger!$AK$30,"")</f>
        <v/>
      </c>
      <c r="BT40" s="209" t="str">
        <f>IF(AND(C40="Skema 3",B40="to"),Skemaoplysninger!$AM$30,"")</f>
        <v/>
      </c>
      <c r="BU40" s="209" t="str">
        <f>IF(AND(C40="Skema 3",B40="fr"),Skemaoplysninger!$AO$30,"")</f>
        <v/>
      </c>
      <c r="BV40" s="209" t="str">
        <f>IF(AND(C40="Skema 4",B40="ma"),Skemaoplysninger!$AU$30,"")</f>
        <v/>
      </c>
      <c r="BW40" s="209" t="str">
        <f>IF(AND(C40="Skema 4",B40="ti"),Skemaoplysninger!$AW$30,"")</f>
        <v/>
      </c>
      <c r="BX40" s="209" t="str">
        <f>IF(AND(C40="Skema 4",B40="on"),Skemaoplysninger!$AY$30,"")</f>
        <v/>
      </c>
      <c r="BY40" s="209" t="str">
        <f>IF(AND(C40="Skema 4",B40="to"),Skemaoplysninger!$BA$30,"")</f>
        <v/>
      </c>
      <c r="BZ40" s="209" t="str">
        <f>IF(AND(C40="Skema 4",B40="fr"),Skemaoplysninger!$BC$30,"")</f>
        <v/>
      </c>
      <c r="CA40" s="1">
        <f t="shared" si="25"/>
        <v>0</v>
      </c>
      <c r="CB40" s="1">
        <f t="shared" si="13"/>
        <v>0</v>
      </c>
      <c r="CC40" s="1">
        <f t="shared" si="14"/>
        <v>0</v>
      </c>
      <c r="CD40" s="209" t="str">
        <f>IF(AND(C40="Skema 1",B40="ma"),Skemaoplysninger!$E$31,"")</f>
        <v/>
      </c>
      <c r="CE40" s="209" t="str">
        <f>IF(AND(C40="Skema 1",B40="ti"),Skemaoplysninger!$G$31,"")</f>
        <v/>
      </c>
      <c r="CF40" s="209" t="str">
        <f>IF(AND(C40="Skema 1",B40="on"),Skemaoplysninger!$I$31,"")</f>
        <v/>
      </c>
      <c r="CG40" s="209" t="str">
        <f>IF(AND(C40="Skema 1",B40="to"),Skemaoplysninger!$K$31,"")</f>
        <v/>
      </c>
      <c r="CH40" s="209" t="str">
        <f>IF(AND(C40="Skema 1",B40="fr"),Skemaoplysninger!$M$31,"")</f>
        <v/>
      </c>
      <c r="CI40" s="209" t="str">
        <f>IF(AND(C40="Skema 2",B40="ma"),Skemaoplysninger!$S$31,"")</f>
        <v/>
      </c>
      <c r="CJ40" s="209" t="str">
        <f>IF(AND(C40="Skema 2",B40="ti"),Skemaoplysninger!$U$31,"")</f>
        <v/>
      </c>
      <c r="CK40" s="209" t="str">
        <f>IF(AND(C40="Skema 2",B40="on"),Skemaoplysninger!$W$31,"")</f>
        <v/>
      </c>
      <c r="CL40" s="209" t="str">
        <f>IF(AND(C40="Skema 2",B40="to"),Skemaoplysninger!$Y$31,"")</f>
        <v/>
      </c>
      <c r="CM40" s="209" t="str">
        <f>IF(AND(C40="Skema 2",B40="fr"),Skemaoplysninger!$AA$31,"")</f>
        <v/>
      </c>
      <c r="CN40" s="209" t="str">
        <f>IF(AND(C40="Skema 3",B40="ma"),Skemaoplysninger!$AG$31,"")</f>
        <v/>
      </c>
      <c r="CO40" s="209" t="str">
        <f>IF(AND(C40="Skema 3",B40="ti"),Skemaoplysninger!$AI$31,"")</f>
        <v/>
      </c>
      <c r="CP40" s="209" t="str">
        <f>IF(AND(C40="Skema 3",B40="on"),Skemaoplysninger!$AK$31,"")</f>
        <v/>
      </c>
      <c r="CQ40" s="209" t="str">
        <f>IF(AND(C40="Skema 3",B40="to"),Skemaoplysninger!$AM$31,"")</f>
        <v/>
      </c>
      <c r="CR40" s="209" t="str">
        <f>IF(AND(C40="Skema 3",B40="fr"),Skemaoplysninger!$AO$31,"")</f>
        <v/>
      </c>
      <c r="CS40" s="209" t="str">
        <f>IF(AND(C40="Skema 4",B40="ma"),Skemaoplysninger!$AU$31,"")</f>
        <v/>
      </c>
      <c r="CT40" s="209" t="str">
        <f>IF(AND(C40="Skema 4",B40="ti"),Skemaoplysninger!$AW$31,"")</f>
        <v/>
      </c>
      <c r="CU40" s="209" t="str">
        <f>IF(AND(C40="Skema 4",B40="on"),Skemaoplysninger!$AY$31,"")</f>
        <v/>
      </c>
      <c r="CV40" s="209" t="str">
        <f>IF(AND(C40="Skema 4",B40="to"),Skemaoplysninger!$BA$31,"")</f>
        <v/>
      </c>
      <c r="CW40" s="209" t="str">
        <f>IF(AND(C40="Skema 4",B40="fr"),Skemaoplysninger!$BC$31,"")</f>
        <v/>
      </c>
      <c r="CX40" s="245">
        <f>IF(Stamoplysninger!$H$29="NEJ",SUM(CD40:CW40)*24+CB40+CC40,0)</f>
        <v>0</v>
      </c>
      <c r="CY40" s="245">
        <f>IF(C40="Skema 1",Stamoplysninger!$H$30/200,0)</f>
        <v>0</v>
      </c>
      <c r="CZ40" s="245">
        <f>IF(C40="Skema 2",Stamoplysninger!$H$30/200,0)</f>
        <v>0</v>
      </c>
      <c r="DA40" s="245">
        <f>IF(C40="Skema 3",Stamoplysninger!$H$30/200,0)</f>
        <v>0</v>
      </c>
      <c r="DB40" s="245">
        <f>IF(C40="Skema 4",Stamoplysninger!$H$30/200,0)</f>
        <v>0</v>
      </c>
      <c r="DC40" s="245">
        <f>IF(C40="fagdag",Stamoplysninger!$H$30/200,0)</f>
        <v>0</v>
      </c>
      <c r="DD40" s="245">
        <f>IF(C40="emnedag",Stamoplysninger!$H$30/200,0)</f>
        <v>0</v>
      </c>
      <c r="DE40" s="245">
        <f>IF(C40="lejrskole",Stamoplysninger!$H$30/200,0)</f>
        <v>0</v>
      </c>
      <c r="DF40" s="245">
        <f>IF(C40="ekskursion",Stamoplysninger!$H$30/200,0)</f>
        <v>0</v>
      </c>
      <c r="DG40" s="245">
        <f t="shared" si="26"/>
        <v>0</v>
      </c>
      <c r="DH40" t="str">
        <f t="shared" si="27"/>
        <v/>
      </c>
      <c r="DI40">
        <f t="shared" si="28"/>
        <v>0</v>
      </c>
      <c r="DJ40">
        <f t="shared" si="29"/>
        <v>0</v>
      </c>
      <c r="DK40" t="str">
        <f t="shared" si="15"/>
        <v/>
      </c>
      <c r="DL40" t="str">
        <f t="shared" si="15"/>
        <v/>
      </c>
      <c r="DM40" t="str">
        <f t="shared" si="30"/>
        <v/>
      </c>
      <c r="DN40" t="str">
        <f t="shared" si="31"/>
        <v/>
      </c>
      <c r="DO40" s="643">
        <f>IF(AND(Stamoplysninger!$B$22="Ulempetillæg udbetales med 25% af nettotimelønnen.",H40&gt;0),(R40/4),0)</f>
        <v>0</v>
      </c>
      <c r="DP40">
        <f>IF(AND(Stamoplysninger!$B$22="Ulempetillæg udbetales med 25% af nettotimelønnen.",I40="X"),K40/4,0)</f>
        <v>0</v>
      </c>
      <c r="DQ40">
        <f>IF(AND(Stamoplysninger!$B$22="Ulempetillæg udbetales med 25% af nettotimelønnen.",U40="X"),(X40/4),0)</f>
        <v>0</v>
      </c>
      <c r="DR40">
        <f>IF(AND(AND(Stamoplysninger!$B$22="Ulempetillæg udbetales med 25% af nettotimelønnen.",S40="X",I40="X")),V40/4,0)</f>
        <v>0</v>
      </c>
      <c r="DS40" s="662">
        <f>IF(AND(Stamoplysninger!$B$22="Ulempetillæg udbetales med 25% af nettotimelønnen.",C40="ikke relevant"),(R40)/4,0)</f>
        <v>0</v>
      </c>
      <c r="DT40" s="662">
        <f>IF(AND(AND(Stamoplysninger!$B$22="Ulempetillæg udbetales med 25% af nettotimelønnen.",I40="X",C40="Ikke relevant")),K40/4,0)</f>
        <v>0</v>
      </c>
      <c r="DU40" s="662">
        <f>IF(AND(AND(Stamoplysninger!$B$22="Ulempetillæg udbetales med 25% af nettotimelønnen.",C40="ikke relevant",U40="X")),(X40/4),0)</f>
        <v>0</v>
      </c>
      <c r="DV40" s="663">
        <f>IF(AND(AND(AND(Stamoplysninger!$B$22="Ulempetillæg udbetales med 25% af nettotimelønnen.",I40="X",C40="Ikke relevant",U40="X"))),X40/4,0)</f>
        <v>0</v>
      </c>
      <c r="DW40" s="643"/>
      <c r="DZ40" s="662"/>
      <c r="EA40" s="662"/>
      <c r="EB40" s="663"/>
      <c r="EC40" s="643">
        <f>IF(AND(Stamoplysninger!$B$22="Ulempetillæg afspadseres med 25%(Kræver en aftale imellem ledelsen og den ansatte)",H40&gt;0),R40/4,0)</f>
        <v>0</v>
      </c>
      <c r="ED40">
        <f>IF(AND(Stamoplysninger!$B$22="Ulempetillæg afspadseres med 25%(Kræver en aftale imellem ledelsen og den ansatte)",I40="X"),K40/4,0)</f>
        <v>0</v>
      </c>
      <c r="EE40">
        <f>IF(AND(Stamoplysninger!$B$22="Ulempetillæg afspadseres med 25%(Kræver en aftale imellem ledelsen og den ansatte)",U40="X"),X40/4,0)</f>
        <v>0</v>
      </c>
      <c r="EF40">
        <f>IF(AND(AND(Stamoplysninger!$B$22="Ulempetillæg afspadseres med 25%(Kræver en aftale imellem ledelsen og den ansatte)",I40="X",S40="X")),V40/4,0)</f>
        <v>0</v>
      </c>
      <c r="EG40" s="662">
        <f>IF(AND(Stamoplysninger!$B$22="Ulempetillæg afspadseres med 25%(Kræver en aftale imellem ledelsen og den ansatte)",C40="ikke relevant"),(R40)/4,0)</f>
        <v>0</v>
      </c>
      <c r="EH40" s="662">
        <f>IF(AND(AND(Stamoplysninger!$B$22="Ulempetillæg afspadseres med 25%(Kræver en aftale imellem ledelsen og den ansatte)",I40="X",C40="Ikke relevant")),K40/4,0)</f>
        <v>0</v>
      </c>
      <c r="EI40" s="662">
        <f>IF(AND(AND(Stamoplysninger!$B$22="Ulempetillæg afspadseres med 25%(Kræver en aftale imellem ledelsen og den ansatte)",U40="X",C40="Ikke relevant")),X40/4,0)</f>
        <v>0</v>
      </c>
      <c r="EJ40" s="662">
        <f>IF(AND(AND(AND(Stamoplysninger!$B$22="Ulempetillæg afspadseres med 25%(Kræver en aftale imellem ledelsen og den ansatte)",I40="X",C40="Ikke relevant",S40="X"))),V40/4,0)</f>
        <v>0</v>
      </c>
      <c r="EK40" s="279">
        <f>IF(AND(Stamoplysninger!$B$26="Weekendtimer og weekendtillæg afspadseres.",I40="X"),K40*1.5,0)</f>
        <v>0</v>
      </c>
      <c r="EL40" s="247">
        <f>IF(AND(AND(Stamoplysninger!$B$26="Weekendtimer og weekendtillæg afspadseres.",I40="X",S40="X")),V40*1.5,0)</f>
        <v>0</v>
      </c>
      <c r="EM40" s="665">
        <f>IF(AND(AND(Stamoplysninger!$B$26="Weekendtimer og weekendtillæg afspadseres.",I40="X",C40="ikke relevant")),K40*1.5,0)</f>
        <v>0</v>
      </c>
      <c r="EN40" s="666">
        <f>IF(AND(AND(AND(Stamoplysninger!$B$26="Weekendtimer og weekendtillæg afspadseres.",I40="X",C40="ikke relevant",S40="X"))),(V40*1.5),0)</f>
        <v>0</v>
      </c>
      <c r="EO40" s="279">
        <f>IF(AND(Stamoplysninger!$B$26="Weekendtimer og weekendtillæg udbetales.",I40="X"),K40*1.5,0)</f>
        <v>0</v>
      </c>
      <c r="EP40" s="247">
        <f>IF(AND(AND(Stamoplysninger!$B$26="Weekendtimer og weekendtillæg udbetales.",I40="X",S40="X")),V40*1.5,0)</f>
        <v>0</v>
      </c>
      <c r="EQ40" s="665">
        <f>IF(AND(AND(Stamoplysninger!$B$26="Weekendtimer og weekendtillæg udbetales.",I40="X",C40="ikke relevant")),K40*1.5,0)</f>
        <v>0</v>
      </c>
      <c r="ER40" s="666">
        <f>IF(AND(AND(AND(Stamoplysninger!$B$26="Weekendtimer og weekendtillæg udbetales.",I40="X",C40="ikke relevant",S40="X"))),(V40*1.5),0)</f>
        <v>0</v>
      </c>
      <c r="ES40" s="279">
        <f>IF(AND(Stamoplysninger!$B$26="Der er indgået lokalaftale omkring weekendtimer.(Kræver aftale med TR/FSL) Weekendtillæg afspadseres.",I40="X"),K40*0.5,0)</f>
        <v>0</v>
      </c>
      <c r="ET40" s="247">
        <f>IF(AND(AND(Stamoplysninger!$B$26="Der er indgået lokalaftale omkring weekendtimer.(Kræver aftale med TR/FSL) Weekendtillæg afspadseres.",I40="X",S40="X")),V40*0.5,0)</f>
        <v>0</v>
      </c>
      <c r="EU40" s="665">
        <f>IF(AND(AND(Stamoplysninger!$B$26="Der er indgået lokalaftale omkring weekendtimer.(Kræver aftale med TR/FSL) Weekendtillæg afspadseres.",I40="X",C40="ikke relevant")),K40*0.5,0)</f>
        <v>0</v>
      </c>
      <c r="EV40" s="666">
        <f>IF(AND(AND(AND(Stamoplysninger!$B$26="Der er indgået lokalaftale omkring weekendtimer.(Kræver aftale med TR/FSL) Weekendtillæg afspadseres.",I40="X",C40="ikke relevant",S40="X"))),(V40*0.5),0)</f>
        <v>0</v>
      </c>
      <c r="EW40" s="279">
        <f>IF(AND(Stamoplysninger!$B$26="Der er indgået lokalaftale omkring weekendtimer(Kræver aftale med TR/FSL). Weekendtillæg udbetales.",I40="X"),K40*0.5,0)</f>
        <v>0</v>
      </c>
      <c r="EX40" s="247">
        <f>IF(AND(AND(Stamoplysninger!$B$26="Der er indgået lokalaftale omkring weekendtimer(Kræver aftale med TR/FSL). Weekendtillæg udbetales.",I40="X",S40="X")),V40*0.5,0)</f>
        <v>0</v>
      </c>
      <c r="EY40" s="665">
        <f>IF(AND(AND(Stamoplysninger!$B$26="Der er indgået lokalaftale omkring weekendtimer(Kræver aftale med TR/FSL). Weekendtillæg udbetales.",I40="X",C40="ikke relevant")),K40*0.5,0)</f>
        <v>0</v>
      </c>
      <c r="EZ40" s="666">
        <f>IF(AND(AND(AND(Stamoplysninger!$B$26="Der er indgået lokalaftale omkring weekendtimer(Kræver aftale med TR/FSL). Weekendtillæg udbetales.",I40="X",C40="ikke relevant",S40="X"))),(V40*0.5),0)</f>
        <v>0</v>
      </c>
      <c r="FA40" s="279">
        <f>IF(AND(Stamoplysninger!$B$26="Der er indgået lokalaftale omkring weekendtillæg(Kræver aftale med TR/FSL). Weekendtimerne afspadseres.",I40="X"),K40,0)</f>
        <v>0</v>
      </c>
      <c r="FB40" s="247">
        <f>IF(AND(AND(Stamoplysninger!$B$26="Der er indgået lokalaftale omkring weekendtillæg(Kræver aftale med TR/FSL). Weekendtimerne afspadseres.",I40="X",S40="X")),V40,0)</f>
        <v>0</v>
      </c>
      <c r="FC40" s="665">
        <f>IF(AND(AND(Stamoplysninger!$B$26="Der er indgået lokalaftale omkring weekendtillæg(Kræver aftale med TR/FSL). Weekendtimerne afspadseres..",I40="X",C40="ikke relevant")),K40,0)</f>
        <v>0</v>
      </c>
      <c r="FD40" s="666">
        <f>IF(AND(AND(AND(Stamoplysninger!$B$26="Der er indgået lokalaftale omkring weekendtillæg(Kræver aftale med TR/FSL). Weekendtimerne afspadseres.",I40="X",C40="ikke relevant",S40="X"))),(V40),0)</f>
        <v>0</v>
      </c>
      <c r="FE40" s="279">
        <f>IF(AND(Stamoplysninger!$B$26="Der er indgået lokalaftale omkring weekendtillæg(Kræver aftale med TR/FSL). Weekendtimerne udbetales.",I40="X"),K40,0)</f>
        <v>0</v>
      </c>
      <c r="FF40" s="247">
        <f>IF(AND(AND(Stamoplysninger!$B$26="Der er indgået lokalaftale omkring weekendtillæg(Kræver aftale med TR/FSL). Weekendtimerne udbetales.",I40="X",S40="X")),V40,0)</f>
        <v>0</v>
      </c>
      <c r="FG40" s="665">
        <f>IF(AND(AND(Stamoplysninger!$B$26="Der er indgået lokalaftale omkring weekendtillæg(Kræver aftale med TR/FSL). Weekendtimerne udbetales.",I40="X",C40="ikke relevant")),K40,0)</f>
        <v>0</v>
      </c>
      <c r="FH40" s="666">
        <f>IF(AND(AND(AND(Stamoplysninger!$B$26="Der er indgået lokalaftale omkring weekendtillæg(Kræver aftale med TR/FSL). Weekendtimerne udbetales.",I40="X",C40="ikke relevant",S40="X"))),(V40),0)</f>
        <v>0</v>
      </c>
      <c r="FI40" s="279">
        <f>IF(AND(Stamoplysninger!$B$26="Weekendtimer og weekendtillæg afspadseres.",I40="X"),K40,0)</f>
        <v>0</v>
      </c>
      <c r="FJ40" s="247">
        <f>IF(AND(Stamoplysninger!$B$26="Weekendtimer og weekendtillæg afspadseres.",Y40="X"),(AA40+AL40)/2,0)</f>
        <v>0</v>
      </c>
      <c r="FK40" s="665">
        <f>IF(AND(AND(Stamoplysninger!$B$26="Weekendtimer og weekendtillæg afspadseres.",I40="X",C40="ikke relevant")),K40,0)</f>
        <v>0</v>
      </c>
      <c r="FL40" s="666">
        <f>IF(AND(AND(Stamoplysninger!$B$26="Weekendtimer og weekendtillæg afspadseres.",Y40="X",S40="ikke relevant")),(AA40+AL40)/2,0)</f>
        <v>0</v>
      </c>
      <c r="FM40" s="279">
        <f>IF(AND(Stamoplysninger!$B$26="Der er indgået lokalaftale omkring weekendtillæg(Kræver aftale med TR/FSL). Weekendtimerne afspadseres.",I40="X"),K40,0)</f>
        <v>0</v>
      </c>
      <c r="FN40" s="665">
        <f>IF(AND(AND(Stamoplysninger!$B$26="Der er indgået lokalaftale omkring weekendtillæg(Kræver aftale med TR/FSL). Weekendtimerne afspadseres.",I40="X",C40="ikke relevant")),K40,0)</f>
        <v>0</v>
      </c>
      <c r="FO40" s="279">
        <f>IF(AND(Stamoplysninger!$B$26="Weekendtimer og weekendtillæg udbetales.",I40="X"),K40,0)</f>
        <v>0</v>
      </c>
      <c r="FP40" s="247">
        <f>IF(AND(Stamoplysninger!$B$26="Weekendtimer og weekendtillæg udbetales.",AA40="X"),(AC40+AN40)/2,0)</f>
        <v>0</v>
      </c>
      <c r="FQ40" s="665">
        <f>IF(AND(AND(Stamoplysninger!$B$26="Weekendtimer og weekendtillæg udbetales.",I40="X",C40="ikke relevant")),K40,0)</f>
        <v>0</v>
      </c>
      <c r="FR40" s="679">
        <f>IF(AND(AND(Stamoplysninger!$B$26="Weekendtimer og weekendtillæg udbetales.",AA40="X",U40="ikke relevant")),(AC40+AN40)/2,0)</f>
        <v>0</v>
      </c>
      <c r="FS40" s="279">
        <f t="shared" si="33"/>
        <v>0</v>
      </c>
      <c r="FT40" s="649">
        <f t="shared" si="34"/>
        <v>0</v>
      </c>
      <c r="FU40">
        <f t="shared" si="35"/>
        <v>0</v>
      </c>
      <c r="FV40" s="279">
        <f>IF(AND(Stamoplysninger!$B$26="Der er indgået lokalaftale omkring weekendtimer.(Kræver aftale med TR/FSL) Weekendtillæg afspadseres.",I40="X"),K40,0)</f>
        <v>0</v>
      </c>
      <c r="FW40" s="665">
        <f>IF(AND(AND(Stamoplysninger!$B$26="Der er indgået lokalaftale omkring weekendtimer.(Kræver aftale med TR/FSL) Weekendtillæg afspadseres.",I40="X",C40="ikke relevant")),K40,0)</f>
        <v>0</v>
      </c>
      <c r="FX40" s="279">
        <f>IF(AND(Stamoplysninger!$B$26="Der er indgået lokalaftale omkring weekendtimer(Kræver aftale med TR/FSL). Weekendtillæg udbetales.",I40="X"),K40,0)</f>
        <v>0</v>
      </c>
      <c r="FY40" s="665">
        <f>IF(AND(AND(Stamoplysninger!$B$26="Der er indgået lokalaftale omkring weekendtimer(Kræver aftale med TR/FSL). Weekendtillæg udbetales.",I40="X",C40="ikke relevant")),K40,0)</f>
        <v>0</v>
      </c>
      <c r="FZ40" s="279">
        <f>IF(AND(Stamoplysninger!$B$26="Der er indgået lokalaftale omkring weekendtillæg(Kræver aftale med TR/FSL). Weekendtimerne udbetales.",I40="X"),K40,0)</f>
        <v>0</v>
      </c>
      <c r="GA40" s="665">
        <f>IF(AND(AND(Stamoplysninger!$B$26="Der er indgået lokalaftale omkring weekendtillæg(Kræver aftale med TR/FSL). Weekendtimerne udbetales.",I40="X",C40="ikke relevant")),K40,0)</f>
        <v>0</v>
      </c>
      <c r="GB40" s="279">
        <f>IF(AND(Stamoplysninger!$B$26="Der er indgået lokalaftale omkring weekendtimer og weekendtillæg.(Kræver aftale med TR/FSL).",I40="X"),K40,0)</f>
        <v>0</v>
      </c>
      <c r="GC40" s="665">
        <f>IF(AND(AND(Stamoplysninger!$B$26="Der er indgået lokalaftale omkring weekendtimer og weekendtillæg.(Kræver aftale med TR/FSL).",I40="X",C40="ikke relevant")),K40,0)</f>
        <v>0</v>
      </c>
    </row>
    <row r="41" spans="1:185" ht="17" thickBot="1">
      <c r="A41" s="987" t="s">
        <v>260</v>
      </c>
      <c r="B41" s="988"/>
      <c r="C41" s="988"/>
      <c r="D41" s="988"/>
      <c r="E41" s="988"/>
      <c r="F41" s="988"/>
      <c r="G41" s="988"/>
      <c r="H41" s="988"/>
      <c r="I41" s="989"/>
      <c r="J41" s="308"/>
      <c r="K41" s="317"/>
      <c r="L41" s="317"/>
      <c r="M41" s="317"/>
      <c r="N41" s="317">
        <f>SUM(N10:N40)</f>
        <v>0</v>
      </c>
      <c r="O41" s="317">
        <f>SUM(O10:O40)</f>
        <v>0</v>
      </c>
      <c r="P41" s="317">
        <f>SUM(P10:P40)</f>
        <v>0</v>
      </c>
      <c r="Q41" s="317">
        <f>SUM(Q10:Q40)</f>
        <v>0</v>
      </c>
      <c r="R41" s="331">
        <f>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f>
        <v>0</v>
      </c>
      <c r="S41" s="426"/>
      <c r="T41" s="427"/>
      <c r="U41" s="427"/>
      <c r="V41" s="427">
        <f>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IF(S40="x",V40,0)</f>
        <v>0</v>
      </c>
      <c r="W41" s="427">
        <f>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f>
        <v>0</v>
      </c>
      <c r="X41" s="428">
        <f>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f>
        <v>0</v>
      </c>
      <c r="Y41" s="210">
        <f>SUM(Y10:Y40)</f>
        <v>0</v>
      </c>
      <c r="Z41" s="392">
        <f>Z10+Z11+Z12+Z13+Z14+Z15+Z16+Z17+Z18+Z19+Z20+Z21+Z22+Z23+Z24+Z25+Z26+Z27+Z28+Z29+Z30+Z31+Z32+Z33+Z34+Z35+Z36+Z37+Z38+Z39+Z40</f>
        <v>0</v>
      </c>
      <c r="AA41" s="231">
        <f t="shared" ref="AA41:AF41" si="36">SUM(AA10:AA40)</f>
        <v>0</v>
      </c>
      <c r="AB41" s="231">
        <f t="shared" si="36"/>
        <v>0</v>
      </c>
      <c r="AC41" s="231">
        <f t="shared" si="36"/>
        <v>0</v>
      </c>
      <c r="AD41" s="231">
        <f t="shared" si="36"/>
        <v>0</v>
      </c>
      <c r="AE41" s="231">
        <f t="shared" si="36"/>
        <v>0</v>
      </c>
      <c r="AF41" s="231">
        <f t="shared" si="36"/>
        <v>0</v>
      </c>
      <c r="BA41" s="1">
        <f>SUM(BA10:BA40)</f>
        <v>0</v>
      </c>
      <c r="BB41" s="111"/>
      <c r="BC41" s="231">
        <f>SUM(BC10:BC40)</f>
        <v>0</v>
      </c>
      <c r="BD41" s="231">
        <f>SUM(BD10:BD40)</f>
        <v>0</v>
      </c>
      <c r="BE41" s="231">
        <f>SUM(BE10:BE40)</f>
        <v>0</v>
      </c>
      <c r="BF41" s="231">
        <f>SUM(BF10:BF40)</f>
        <v>0</v>
      </c>
      <c r="CA41" s="231">
        <f>SUM(CA10:CA40)</f>
        <v>0</v>
      </c>
      <c r="CB41" s="231">
        <f>SUM(CB10:CB40)</f>
        <v>0</v>
      </c>
      <c r="CC41" s="231">
        <f>SUM(CC10:CC40)</f>
        <v>0</v>
      </c>
      <c r="CX41" s="245"/>
      <c r="CY41" s="245">
        <f t="shared" ref="CY41:DG41" si="37">SUM(CY10:CY40)</f>
        <v>0</v>
      </c>
      <c r="CZ41" s="245">
        <f t="shared" si="37"/>
        <v>0</v>
      </c>
      <c r="DA41" s="245">
        <f t="shared" si="37"/>
        <v>0</v>
      </c>
      <c r="DB41" s="245">
        <f t="shared" si="37"/>
        <v>0</v>
      </c>
      <c r="DC41" s="245">
        <f t="shared" si="37"/>
        <v>0</v>
      </c>
      <c r="DD41" s="245">
        <f t="shared" si="37"/>
        <v>0</v>
      </c>
      <c r="DE41" s="245">
        <f t="shared" si="37"/>
        <v>0</v>
      </c>
      <c r="DF41" s="245">
        <f t="shared" si="37"/>
        <v>0</v>
      </c>
      <c r="DG41" s="245">
        <f t="shared" si="37"/>
        <v>0</v>
      </c>
      <c r="DL41" t="str">
        <f t="shared" si="15"/>
        <v/>
      </c>
      <c r="DM41" t="str">
        <f t="shared" si="30"/>
        <v/>
      </c>
      <c r="DN41" t="str">
        <f>DK41&amp;" "&amp;DL41&amp;" "&amp;DM41</f>
        <v xml:space="preserve">  </v>
      </c>
      <c r="DO41" s="660">
        <f>SUM(DO10:DO40)</f>
        <v>0</v>
      </c>
      <c r="DP41" s="661">
        <f t="shared" ref="DP41:GC41" si="38">SUM(DP10:DP40)</f>
        <v>0</v>
      </c>
      <c r="DQ41" s="661">
        <f t="shared" si="38"/>
        <v>0</v>
      </c>
      <c r="DR41" s="661">
        <f t="shared" si="38"/>
        <v>0</v>
      </c>
      <c r="DS41" s="664">
        <f t="shared" si="38"/>
        <v>0</v>
      </c>
      <c r="DT41" s="664">
        <f t="shared" si="38"/>
        <v>0</v>
      </c>
      <c r="DU41" s="661">
        <f t="shared" si="38"/>
        <v>0</v>
      </c>
      <c r="DV41" s="664">
        <f t="shared" si="38"/>
        <v>0</v>
      </c>
      <c r="DW41" s="660">
        <f t="shared" ref="DW41:EB41" si="39">SUM(DW10:DW40)</f>
        <v>0</v>
      </c>
      <c r="DX41" s="661">
        <f t="shared" si="39"/>
        <v>0</v>
      </c>
      <c r="DY41" s="661">
        <f t="shared" si="39"/>
        <v>0</v>
      </c>
      <c r="DZ41" s="664">
        <f t="shared" si="39"/>
        <v>0</v>
      </c>
      <c r="EA41" s="664">
        <f t="shared" si="39"/>
        <v>0</v>
      </c>
      <c r="EB41" s="664">
        <f t="shared" si="39"/>
        <v>0</v>
      </c>
      <c r="EC41" s="661">
        <f t="shared" si="38"/>
        <v>0</v>
      </c>
      <c r="ED41" s="661">
        <f t="shared" si="38"/>
        <v>0</v>
      </c>
      <c r="EE41" s="661">
        <f t="shared" si="38"/>
        <v>0</v>
      </c>
      <c r="EF41" s="661">
        <f t="shared" si="38"/>
        <v>0</v>
      </c>
      <c r="EG41" s="664">
        <f t="shared" si="38"/>
        <v>0</v>
      </c>
      <c r="EH41" s="664">
        <f t="shared" si="38"/>
        <v>0</v>
      </c>
      <c r="EI41" s="664">
        <f t="shared" si="38"/>
        <v>0</v>
      </c>
      <c r="EJ41" s="664">
        <f t="shared" si="38"/>
        <v>0</v>
      </c>
      <c r="EK41" s="661">
        <f t="shared" si="38"/>
        <v>0</v>
      </c>
      <c r="EL41" s="661">
        <f t="shared" si="38"/>
        <v>0</v>
      </c>
      <c r="EM41" s="664">
        <f t="shared" si="38"/>
        <v>0</v>
      </c>
      <c r="EN41" s="664">
        <f t="shared" si="38"/>
        <v>0</v>
      </c>
      <c r="EO41" s="661">
        <f t="shared" si="38"/>
        <v>0</v>
      </c>
      <c r="EP41" s="661">
        <f t="shared" si="38"/>
        <v>0</v>
      </c>
      <c r="EQ41" s="664">
        <f t="shared" si="38"/>
        <v>0</v>
      </c>
      <c r="ER41" s="667">
        <f t="shared" si="38"/>
        <v>0</v>
      </c>
      <c r="ES41" s="661">
        <f t="shared" si="38"/>
        <v>0</v>
      </c>
      <c r="ET41" s="661">
        <f t="shared" si="38"/>
        <v>0</v>
      </c>
      <c r="EU41" s="664">
        <f t="shared" si="38"/>
        <v>0</v>
      </c>
      <c r="EV41" s="667">
        <f t="shared" si="38"/>
        <v>0</v>
      </c>
      <c r="EW41" s="661">
        <f t="shared" si="38"/>
        <v>0</v>
      </c>
      <c r="EX41" s="661">
        <f t="shared" si="38"/>
        <v>0</v>
      </c>
      <c r="EY41" s="664">
        <f t="shared" si="38"/>
        <v>0</v>
      </c>
      <c r="EZ41" s="667">
        <f t="shared" si="38"/>
        <v>0</v>
      </c>
      <c r="FA41" s="661">
        <f t="shared" si="38"/>
        <v>0</v>
      </c>
      <c r="FB41" s="661">
        <f t="shared" si="38"/>
        <v>0</v>
      </c>
      <c r="FC41" s="664">
        <f t="shared" si="38"/>
        <v>0</v>
      </c>
      <c r="FD41" s="667">
        <f t="shared" si="38"/>
        <v>0</v>
      </c>
      <c r="FE41" s="661">
        <f t="shared" si="38"/>
        <v>0</v>
      </c>
      <c r="FF41" s="661">
        <f t="shared" si="38"/>
        <v>0</v>
      </c>
      <c r="FG41" s="664">
        <f t="shared" si="38"/>
        <v>0</v>
      </c>
      <c r="FH41" s="667">
        <f t="shared" si="38"/>
        <v>0</v>
      </c>
      <c r="FI41" s="676">
        <f t="shared" si="38"/>
        <v>0</v>
      </c>
      <c r="FJ41" s="661">
        <f t="shared" si="38"/>
        <v>0</v>
      </c>
      <c r="FK41" s="676">
        <f t="shared" si="38"/>
        <v>0</v>
      </c>
      <c r="FL41" s="664">
        <f t="shared" si="38"/>
        <v>0</v>
      </c>
      <c r="FM41" s="676">
        <f t="shared" si="38"/>
        <v>0</v>
      </c>
      <c r="FN41" s="676">
        <f t="shared" si="38"/>
        <v>0</v>
      </c>
      <c r="FO41" s="676">
        <f t="shared" si="38"/>
        <v>0</v>
      </c>
      <c r="FP41" s="661">
        <f t="shared" si="38"/>
        <v>0</v>
      </c>
      <c r="FQ41" s="676">
        <f t="shared" si="38"/>
        <v>0</v>
      </c>
      <c r="FR41" s="667">
        <f t="shared" si="38"/>
        <v>0</v>
      </c>
      <c r="FS41" s="680">
        <f t="shared" si="38"/>
        <v>0</v>
      </c>
      <c r="FT41" s="681">
        <f t="shared" si="38"/>
        <v>0</v>
      </c>
      <c r="FU41" s="681">
        <f t="shared" si="38"/>
        <v>0</v>
      </c>
      <c r="FV41" s="680">
        <f>SUM(FV10:FV40)</f>
        <v>0</v>
      </c>
      <c r="FW41" s="681">
        <f t="shared" si="38"/>
        <v>0</v>
      </c>
      <c r="FX41" s="680">
        <f t="shared" si="38"/>
        <v>0</v>
      </c>
      <c r="FY41" s="681">
        <f t="shared" si="38"/>
        <v>0</v>
      </c>
      <c r="FZ41" s="676">
        <f t="shared" si="38"/>
        <v>0</v>
      </c>
      <c r="GA41" s="676">
        <f t="shared" si="38"/>
        <v>0</v>
      </c>
      <c r="GB41" s="676">
        <f t="shared" si="38"/>
        <v>0</v>
      </c>
      <c r="GC41" s="676">
        <f t="shared" si="38"/>
        <v>0</v>
      </c>
    </row>
    <row r="42" spans="1:185" ht="17" thickBot="1">
      <c r="A42" s="229"/>
      <c r="B42" s="229"/>
      <c r="C42" s="229"/>
      <c r="D42" s="229"/>
      <c r="E42" s="229"/>
      <c r="F42" s="229"/>
      <c r="G42" s="229"/>
      <c r="H42" s="229"/>
      <c r="I42" s="229"/>
      <c r="J42" s="229"/>
      <c r="K42" s="235"/>
      <c r="L42" s="235"/>
      <c r="M42" s="235"/>
      <c r="N42" s="235"/>
      <c r="O42" s="235"/>
      <c r="P42" s="235"/>
      <c r="Q42" s="235"/>
      <c r="R42" s="235"/>
      <c r="S42" s="235"/>
      <c r="T42" s="235"/>
      <c r="U42" s="235"/>
      <c r="V42" s="235"/>
      <c r="W42" s="235"/>
      <c r="X42" s="436"/>
      <c r="Y42" s="243"/>
      <c r="Z42" s="210"/>
      <c r="AA42" s="231"/>
      <c r="AB42" s="210"/>
      <c r="AC42" s="210"/>
      <c r="AD42" s="231"/>
      <c r="AE42" s="231"/>
      <c r="AF42" s="231"/>
      <c r="AG42" s="231"/>
      <c r="BC42" s="231"/>
      <c r="BD42" s="231"/>
      <c r="BE42" s="231"/>
      <c r="BF42" s="231"/>
      <c r="BG42" s="111"/>
      <c r="CB42" s="231"/>
      <c r="CC42" s="231"/>
      <c r="CD42" s="111"/>
      <c r="CX42" s="244"/>
      <c r="CZ42"/>
    </row>
    <row r="43" spans="1:185" ht="70" customHeight="1">
      <c r="A43" s="973" t="str">
        <f>"Arbejdstid for "&amp;A8&amp;" måned:"</f>
        <v>Arbejdstid for August måned:</v>
      </c>
      <c r="B43" s="974"/>
      <c r="C43" s="974"/>
      <c r="D43" s="974"/>
      <c r="E43" s="974"/>
      <c r="F43" s="974"/>
      <c r="G43" s="974"/>
      <c r="H43" s="325" t="s">
        <v>255</v>
      </c>
      <c r="I43" s="974" t="s">
        <v>221</v>
      </c>
      <c r="J43" s="975"/>
      <c r="K43" s="976"/>
      <c r="L43" s="258"/>
      <c r="M43" s="1026" t="str">
        <f>"Ulempetimer og weekendtimer i "&amp;A6&amp;""</f>
        <v>Ulempetimer og weekendtimer i August måneds kalender for: . Måneden vedr. normperioden:  - .</v>
      </c>
      <c r="N43" s="1004"/>
      <c r="O43" s="1004"/>
      <c r="P43" s="1004"/>
      <c r="Q43" s="1004"/>
      <c r="R43" s="1004"/>
      <c r="S43" s="1004"/>
      <c r="T43" s="1004"/>
      <c r="U43" s="1004"/>
      <c r="V43" s="1004"/>
      <c r="W43" s="1004"/>
      <c r="X43" s="1005"/>
      <c r="Y43" s="212"/>
      <c r="Z43" s="235"/>
      <c r="AA43" s="235"/>
      <c r="AB43" s="235"/>
      <c r="AG43" s="89"/>
      <c r="AH43" s="89"/>
      <c r="BO43" s="1"/>
      <c r="CL43" s="1"/>
      <c r="CW43" s="244"/>
      <c r="CX43" s="244"/>
      <c r="CY43"/>
      <c r="CZ43"/>
    </row>
    <row r="44" spans="1:185">
      <c r="A44" s="977" t="s">
        <v>528</v>
      </c>
      <c r="B44" s="978"/>
      <c r="C44" s="978"/>
      <c r="D44" s="978"/>
      <c r="E44" s="978"/>
      <c r="F44" s="978"/>
      <c r="G44" s="978"/>
      <c r="H44" s="252">
        <f>D78</f>
        <v>22</v>
      </c>
      <c r="I44" s="990">
        <f>IF(Stamoplysninger!$E$12="Ja",1924/Arbejdstidsoversigt!$K$9*Stamoplysninger!$E$15*$H$44,August!$H$44*7.4*Stamoplysninger!$E$15)</f>
        <v>162.17624521072798</v>
      </c>
      <c r="J44" s="991"/>
      <c r="K44" s="992"/>
      <c r="L44" s="254"/>
      <c r="M44" s="1027" t="s">
        <v>496</v>
      </c>
      <c r="N44" s="1028"/>
      <c r="O44" s="1028"/>
      <c r="P44" s="1028"/>
      <c r="Q44" s="1028"/>
      <c r="R44" s="1028"/>
      <c r="S44" s="1028"/>
      <c r="T44" s="1028"/>
      <c r="U44" s="1029"/>
      <c r="V44" s="1030">
        <f>P65+P69+P72+P74</f>
        <v>0</v>
      </c>
      <c r="W44" s="1031"/>
      <c r="X44" s="1032"/>
      <c r="Y44" s="235"/>
      <c r="Z44" s="235"/>
      <c r="AA44" s="235"/>
      <c r="AB44" s="235"/>
      <c r="AG44" s="89"/>
      <c r="AH44" s="89"/>
      <c r="BO44" s="1"/>
      <c r="CL44" s="1"/>
      <c r="CW44" s="244"/>
      <c r="CX44" s="244"/>
      <c r="CY44"/>
      <c r="CZ44"/>
    </row>
    <row r="45" spans="1:185">
      <c r="A45" s="977" t="str">
        <f>"Ferie "&amp;A8&amp;" måned"</f>
        <v>Ferie August måned</v>
      </c>
      <c r="B45" s="978"/>
      <c r="C45" s="978"/>
      <c r="D45" s="978"/>
      <c r="E45" s="978"/>
      <c r="F45" s="978"/>
      <c r="G45" s="978"/>
      <c r="H45" s="253">
        <f>IF(D73&gt;0,$D$73,"0")</f>
        <v>2</v>
      </c>
      <c r="I45" s="979">
        <f>H45*7.4*Stamoplysninger!$E$15</f>
        <v>14.8</v>
      </c>
      <c r="J45" s="980"/>
      <c r="K45" s="981"/>
      <c r="L45" s="254"/>
      <c r="M45" s="1033" t="s">
        <v>259</v>
      </c>
      <c r="N45" s="1034"/>
      <c r="O45" s="1034"/>
      <c r="P45" s="1034"/>
      <c r="Q45" s="1034"/>
      <c r="R45" s="1034"/>
      <c r="S45" s="1034"/>
      <c r="T45" s="1034"/>
      <c r="U45" s="1035"/>
      <c r="V45" s="1036">
        <f>Q66+Q68+Q71+Q73</f>
        <v>0</v>
      </c>
      <c r="W45" s="1037"/>
      <c r="X45" s="1038"/>
      <c r="Y45" s="235"/>
      <c r="Z45" s="235"/>
      <c r="AA45" s="235"/>
      <c r="AB45" s="235"/>
      <c r="AG45" s="89"/>
      <c r="AH45" s="89"/>
      <c r="BO45" s="1"/>
      <c r="CL45" s="1"/>
      <c r="CW45" s="244"/>
      <c r="CX45" s="244"/>
      <c r="CY45"/>
      <c r="CZ45"/>
    </row>
    <row r="46" spans="1:185">
      <c r="A46" s="977" t="str">
        <f>"Søgnehelligdage i "&amp;A8&amp;" måned"</f>
        <v>Søgnehelligdage i August måned</v>
      </c>
      <c r="B46" s="978"/>
      <c r="C46" s="978"/>
      <c r="D46" s="978"/>
      <c r="E46" s="978"/>
      <c r="F46" s="978"/>
      <c r="G46" s="978"/>
      <c r="H46" s="253">
        <f>IF(D72&gt;0,D72,0)</f>
        <v>0</v>
      </c>
      <c r="I46" s="979">
        <f>H46*7.4*Stamoplysninger!$E$15</f>
        <v>0</v>
      </c>
      <c r="J46" s="980"/>
      <c r="K46" s="981"/>
      <c r="L46" s="381"/>
      <c r="M46" s="1039" t="s">
        <v>448</v>
      </c>
      <c r="N46" s="1040"/>
      <c r="O46" s="1040"/>
      <c r="P46" s="1040"/>
      <c r="Q46" s="1040"/>
      <c r="R46" s="1040"/>
      <c r="S46" s="1040"/>
      <c r="T46" s="1040"/>
      <c r="U46" s="1040"/>
      <c r="V46" s="1006"/>
      <c r="W46" s="1006"/>
      <c r="X46" s="1007"/>
      <c r="Y46" s="235"/>
      <c r="Z46" s="235"/>
      <c r="AA46" s="235"/>
      <c r="AB46" s="235"/>
      <c r="AG46" s="89"/>
      <c r="AH46" s="89"/>
      <c r="BO46" s="1"/>
      <c r="CL46" s="1"/>
      <c r="CW46" s="244"/>
      <c r="CX46" s="244"/>
      <c r="CY46"/>
      <c r="CZ46"/>
    </row>
    <row r="47" spans="1:185">
      <c r="A47" s="977" t="str">
        <f>"Nettoarbejdstid ialt i "&amp;A8&amp;" måned"</f>
        <v>Nettoarbejdstid ialt i August måned</v>
      </c>
      <c r="B47" s="978"/>
      <c r="C47" s="978"/>
      <c r="D47" s="978"/>
      <c r="E47" s="978"/>
      <c r="F47" s="978"/>
      <c r="G47" s="978"/>
      <c r="H47" s="256">
        <f>H44-H45-H46</f>
        <v>20</v>
      </c>
      <c r="I47" s="979">
        <f>I44-I45-I46</f>
        <v>147.37624521072797</v>
      </c>
      <c r="J47" s="980"/>
      <c r="K47" s="981"/>
      <c r="L47" s="381"/>
      <c r="M47" s="1041" t="s">
        <v>301</v>
      </c>
      <c r="N47" s="1042"/>
      <c r="O47" s="1042"/>
      <c r="P47" s="1042"/>
      <c r="Q47" s="1042"/>
      <c r="R47" s="1042"/>
      <c r="S47" s="1042"/>
      <c r="T47" s="1042"/>
      <c r="U47" s="1043"/>
      <c r="V47" s="1044">
        <f>V45+V46</f>
        <v>0</v>
      </c>
      <c r="W47" s="1045"/>
      <c r="X47" s="1046"/>
      <c r="Y47" s="235"/>
      <c r="Z47" s="235"/>
      <c r="AA47" s="235"/>
      <c r="AB47" s="235"/>
      <c r="AG47" s="89"/>
      <c r="AH47" s="89"/>
      <c r="BO47" s="1"/>
      <c r="CL47" s="1"/>
      <c r="CW47" s="244"/>
      <c r="CX47" s="244"/>
      <c r="CY47"/>
      <c r="CZ47"/>
    </row>
    <row r="48" spans="1:185">
      <c r="A48" s="993" t="str">
        <f>"Planlagt arbejdstid efter ovennstående "&amp;A8&amp;" måned kalender"</f>
        <v>Planlagt arbejdstid efter ovennstående August måned kalender</v>
      </c>
      <c r="B48" s="994"/>
      <c r="C48" s="994"/>
      <c r="D48" s="994"/>
      <c r="E48" s="994"/>
      <c r="F48" s="994"/>
      <c r="G48" s="994"/>
      <c r="H48" s="468">
        <f>D64+D65+D66+D67+D68+D69+D70</f>
        <v>15</v>
      </c>
      <c r="I48" s="995">
        <f>N41+R41+V106</f>
        <v>0</v>
      </c>
      <c r="J48" s="996"/>
      <c r="K48" s="997"/>
      <c r="L48" s="381"/>
      <c r="M48" s="1053" t="s">
        <v>293</v>
      </c>
      <c r="N48" s="1054"/>
      <c r="O48" s="1054"/>
      <c r="P48" s="1054"/>
      <c r="Q48" s="1054"/>
      <c r="R48" s="1054"/>
      <c r="S48" s="1054"/>
      <c r="T48" s="1054"/>
      <c r="U48" s="1054"/>
      <c r="V48" s="1054"/>
      <c r="W48" s="1054"/>
      <c r="X48" s="1055"/>
      <c r="Y48" s="235"/>
      <c r="Z48" s="235"/>
      <c r="AA48" s="235"/>
      <c r="AB48" s="235"/>
      <c r="AG48" s="89"/>
      <c r="AH48" s="89"/>
      <c r="BO48" s="1"/>
      <c r="CL48" s="1"/>
      <c r="CW48" s="244"/>
      <c r="CX48" s="244"/>
      <c r="CY48"/>
      <c r="CZ48"/>
    </row>
    <row r="49" spans="1:111">
      <c r="A49" s="1001" t="s">
        <v>451</v>
      </c>
      <c r="B49" s="1002"/>
      <c r="C49" s="1002"/>
      <c r="D49" s="1002"/>
      <c r="E49" s="1002"/>
      <c r="F49" s="1002"/>
      <c r="G49" s="1002"/>
      <c r="H49" s="1003"/>
      <c r="I49" s="998">
        <f>(FI41+FM41+FO41+FV41+FX41+FZ41+GB41)*-1+FK41+FN41+FQ41+FW41+FY41+GA41+GC41+FU41</f>
        <v>0</v>
      </c>
      <c r="J49" s="999"/>
      <c r="K49" s="1000"/>
      <c r="L49" s="381"/>
      <c r="M49" s="1056" t="s">
        <v>462</v>
      </c>
      <c r="N49" s="1057"/>
      <c r="O49" s="1057"/>
      <c r="P49" s="1057"/>
      <c r="Q49" s="1057"/>
      <c r="R49" s="1057"/>
      <c r="S49" s="1057"/>
      <c r="T49" s="1057"/>
      <c r="U49" s="1058"/>
      <c r="V49" s="1059" t="s">
        <v>221</v>
      </c>
      <c r="W49" s="1060"/>
      <c r="X49" s="1061"/>
      <c r="Y49" s="235"/>
      <c r="Z49" s="235"/>
      <c r="AA49" s="235"/>
      <c r="AB49" s="235"/>
      <c r="AG49" s="89"/>
      <c r="AH49" s="89"/>
      <c r="BO49" s="1"/>
      <c r="CL49" s="1"/>
      <c r="CW49" s="244"/>
      <c r="CX49" s="244"/>
      <c r="CY49"/>
      <c r="CZ49"/>
    </row>
    <row r="50" spans="1:111">
      <c r="A50" s="1020" t="str">
        <f>"Arbejde særligt planlagt for "&amp;A8&amp;" måned efter fanen skemaoplysninger"</f>
        <v>Arbejde særligt planlagt for August måned efter fanen skemaoplysninger</v>
      </c>
      <c r="B50" s="1021"/>
      <c r="C50" s="1021"/>
      <c r="D50" s="1021"/>
      <c r="E50" s="1021"/>
      <c r="F50" s="1021"/>
      <c r="G50" s="1021"/>
      <c r="H50" s="1022"/>
      <c r="I50" s="996">
        <f>Skemaoplysninger!K91</f>
        <v>0</v>
      </c>
      <c r="J50" s="1018"/>
      <c r="K50" s="1019"/>
      <c r="L50" s="382"/>
      <c r="M50" s="882"/>
      <c r="N50" s="883"/>
      <c r="O50" s="883"/>
      <c r="P50" s="883"/>
      <c r="Q50" s="883"/>
      <c r="R50" s="883"/>
      <c r="S50" s="883"/>
      <c r="T50" s="883"/>
      <c r="U50" s="884"/>
      <c r="V50" s="1062"/>
      <c r="W50" s="1062"/>
      <c r="X50" s="1063"/>
      <c r="Y50" s="235"/>
      <c r="Z50" s="235"/>
      <c r="AA50" s="235"/>
      <c r="AB50" s="235"/>
      <c r="AG50" s="89"/>
      <c r="AH50" s="89"/>
      <c r="BO50" s="1"/>
      <c r="CL50" s="1"/>
      <c r="CW50" s="244"/>
      <c r="CX50" s="244"/>
      <c r="CY50"/>
      <c r="CZ50"/>
    </row>
    <row r="51" spans="1:111">
      <c r="A51" s="982" t="s">
        <v>450</v>
      </c>
      <c r="B51" s="983"/>
      <c r="C51" s="983"/>
      <c r="D51" s="983"/>
      <c r="E51" s="983"/>
      <c r="F51" s="983"/>
      <c r="G51" s="983"/>
      <c r="H51" s="983"/>
      <c r="I51" s="984">
        <f>V41+X41-FA41+R106</f>
        <v>0</v>
      </c>
      <c r="J51" s="985"/>
      <c r="K51" s="986"/>
      <c r="L51" s="383"/>
      <c r="M51" s="882"/>
      <c r="N51" s="883"/>
      <c r="O51" s="883"/>
      <c r="P51" s="883"/>
      <c r="Q51" s="883"/>
      <c r="R51" s="883"/>
      <c r="S51" s="883"/>
      <c r="T51" s="883"/>
      <c r="U51" s="884"/>
      <c r="V51" s="885"/>
      <c r="W51" s="886"/>
      <c r="X51" s="887"/>
      <c r="Y51" s="243"/>
      <c r="Z51" s="235"/>
      <c r="AB51" s="235"/>
      <c r="AC51" s="235"/>
      <c r="AI51" s="89"/>
      <c r="AJ51" s="89"/>
      <c r="BC51" s="235"/>
      <c r="BQ51" s="1"/>
      <c r="CN51" s="1"/>
      <c r="CX51" s="244"/>
      <c r="CZ51"/>
    </row>
    <row r="52" spans="1:111" ht="17" thickBot="1">
      <c r="A52" s="257" t="str">
        <f>"Faktisk arbejdstid ialt i "&amp;A8&amp;" måned"</f>
        <v>Faktisk arbejdstid ialt i August måned</v>
      </c>
      <c r="B52" s="309"/>
      <c r="C52" s="310"/>
      <c r="D52" s="310"/>
      <c r="E52" s="310"/>
      <c r="F52" s="310"/>
      <c r="G52" s="310"/>
      <c r="H52" s="311"/>
      <c r="I52" s="1023">
        <f>I48+I51+I50+I49</f>
        <v>0</v>
      </c>
      <c r="J52" s="1024"/>
      <c r="K52" s="1025"/>
      <c r="L52" s="237"/>
      <c r="M52" s="882"/>
      <c r="N52" s="883"/>
      <c r="O52" s="883"/>
      <c r="P52" s="883"/>
      <c r="Q52" s="883"/>
      <c r="R52" s="883"/>
      <c r="S52" s="883"/>
      <c r="T52" s="883"/>
      <c r="U52" s="884"/>
      <c r="V52" s="885"/>
      <c r="W52" s="886"/>
      <c r="X52" s="887"/>
      <c r="Y52" s="243"/>
      <c r="Z52" s="235"/>
      <c r="AB52" s="235"/>
      <c r="AC52" s="235"/>
      <c r="AH52" s="89"/>
      <c r="AI52" s="89"/>
      <c r="BP52" s="1"/>
      <c r="CM52" s="1"/>
      <c r="CX52" s="244"/>
      <c r="CZ52"/>
    </row>
    <row r="53" spans="1:111" ht="17" thickBot="1">
      <c r="A53" s="251"/>
      <c r="B53" s="251"/>
      <c r="C53" s="251"/>
      <c r="D53" s="251"/>
      <c r="E53" s="251"/>
      <c r="F53" s="251"/>
      <c r="G53" s="251"/>
      <c r="H53" s="251"/>
      <c r="I53" s="514"/>
      <c r="J53" s="514"/>
      <c r="K53" s="514"/>
      <c r="L53" s="492"/>
      <c r="M53" s="882"/>
      <c r="N53" s="883"/>
      <c r="O53" s="883"/>
      <c r="P53" s="883"/>
      <c r="Q53" s="883"/>
      <c r="R53" s="883"/>
      <c r="S53" s="883"/>
      <c r="T53" s="883"/>
      <c r="U53" s="884"/>
      <c r="V53" s="885"/>
      <c r="W53" s="886"/>
      <c r="X53" s="887"/>
      <c r="Y53" s="235"/>
      <c r="Z53" s="235"/>
      <c r="AA53" s="235"/>
      <c r="AB53" s="235"/>
      <c r="AC53" s="213"/>
      <c r="AD53" s="243"/>
      <c r="AE53" s="243"/>
      <c r="AF53" s="243"/>
      <c r="AG53" s="243"/>
      <c r="AH53" s="235"/>
      <c r="AJ53" s="235"/>
      <c r="AK53" s="235"/>
      <c r="AO53" s="89"/>
      <c r="AP53" s="89"/>
      <c r="BW53" s="1"/>
      <c r="CT53" s="1"/>
      <c r="CY53"/>
      <c r="CZ53"/>
      <c r="DE53" s="244"/>
      <c r="DF53" s="244"/>
    </row>
    <row r="54" spans="1:111" ht="39" customHeight="1" thickBot="1">
      <c r="A54" s="973" t="s">
        <v>478</v>
      </c>
      <c r="B54" s="974"/>
      <c r="C54" s="974"/>
      <c r="D54" s="974"/>
      <c r="E54" s="974"/>
      <c r="F54" s="974"/>
      <c r="G54" s="974"/>
      <c r="H54" s="698" t="s">
        <v>669</v>
      </c>
      <c r="I54" s="1004" t="s">
        <v>484</v>
      </c>
      <c r="J54" s="1004"/>
      <c r="K54" s="1005"/>
      <c r="L54" s="492"/>
      <c r="M54" s="1047" t="s">
        <v>294</v>
      </c>
      <c r="N54" s="1048"/>
      <c r="O54" s="1048"/>
      <c r="P54" s="1048"/>
      <c r="Q54" s="1048"/>
      <c r="R54" s="1048"/>
      <c r="S54" s="1048"/>
      <c r="T54" s="1048"/>
      <c r="U54" s="1049"/>
      <c r="V54" s="1050">
        <f>V47-SUM(V50:X53)</f>
        <v>0</v>
      </c>
      <c r="W54" s="1051"/>
      <c r="X54" s="1052"/>
      <c r="Y54" s="235"/>
      <c r="Z54" s="235"/>
      <c r="AA54" s="235"/>
      <c r="AB54" s="235"/>
      <c r="AC54" s="213"/>
      <c r="AD54" s="243"/>
      <c r="AE54" s="243"/>
      <c r="AF54" s="243"/>
      <c r="AG54" s="243"/>
      <c r="AH54" s="235"/>
      <c r="AJ54" s="235"/>
      <c r="AK54" s="235"/>
      <c r="AO54" s="89"/>
      <c r="AP54" s="89"/>
      <c r="BW54" s="1"/>
      <c r="CT54" s="1"/>
      <c r="CY54"/>
      <c r="CZ54"/>
      <c r="DE54" s="244"/>
      <c r="DF54" s="244"/>
    </row>
    <row r="55" spans="1:111" ht="16" customHeight="1">
      <c r="A55" s="1008"/>
      <c r="B55" s="1009"/>
      <c r="C55" s="1009"/>
      <c r="D55" s="1009"/>
      <c r="E55" s="1009"/>
      <c r="F55" s="1009"/>
      <c r="G55" s="1009"/>
      <c r="H55" s="595"/>
      <c r="I55" s="1006"/>
      <c r="J55" s="1006"/>
      <c r="K55" s="1007"/>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1" ht="37" customHeight="1">
      <c r="A56" s="879" t="s">
        <v>670</v>
      </c>
      <c r="B56" s="880"/>
      <c r="C56" s="880"/>
      <c r="D56" s="880"/>
      <c r="E56" s="880"/>
      <c r="F56" s="880"/>
      <c r="G56" s="880"/>
      <c r="H56" s="880"/>
      <c r="I56" s="880"/>
      <c r="J56" s="880"/>
      <c r="K56" s="881"/>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1" ht="35" customHeight="1">
      <c r="A57" s="1010" t="s">
        <v>671</v>
      </c>
      <c r="B57" s="1011"/>
      <c r="C57" s="913" t="s">
        <v>509</v>
      </c>
      <c r="D57" s="914"/>
      <c r="E57" s="915" t="s">
        <v>510</v>
      </c>
      <c r="F57" s="880"/>
      <c r="G57" s="916"/>
      <c r="H57" s="925" t="s">
        <v>479</v>
      </c>
      <c r="I57" s="925"/>
      <c r="J57" s="925"/>
      <c r="K57" s="92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1">
      <c r="A58" s="917"/>
      <c r="B58" s="918"/>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1">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1">
      <c r="A60" s="919"/>
      <c r="B60" s="920"/>
      <c r="C60" s="921"/>
      <c r="D60" s="920"/>
      <c r="E60" s="922"/>
      <c r="F60" s="923"/>
      <c r="G60" s="924"/>
      <c r="H60" s="596"/>
      <c r="I60" s="911"/>
      <c r="J60" s="911"/>
      <c r="K60" s="912"/>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1">
      <c r="A61" s="919"/>
      <c r="B61" s="920"/>
      <c r="C61" s="921"/>
      <c r="D61" s="920"/>
      <c r="E61" s="922"/>
      <c r="F61" s="923"/>
      <c r="G61" s="924"/>
      <c r="H61" s="596"/>
      <c r="I61" s="911"/>
      <c r="J61" s="911"/>
      <c r="K61" s="912"/>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1" ht="17" thickBot="1">
      <c r="A62" s="908" t="s">
        <v>480</v>
      </c>
      <c r="B62" s="909"/>
      <c r="C62" s="910"/>
      <c r="D62" s="910"/>
      <c r="E62" s="910"/>
      <c r="F62" s="910"/>
      <c r="G62" s="910"/>
      <c r="H62" s="598">
        <f>H55-SUM(H58:H61)</f>
        <v>0</v>
      </c>
      <c r="I62" s="927">
        <f>I55-SUM(I58:K61)</f>
        <v>0</v>
      </c>
      <c r="J62" s="928"/>
      <c r="K62" s="9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1">
      <c r="A63" s="488"/>
      <c r="B63" s="488"/>
      <c r="C63" s="488"/>
      <c r="D63" s="488"/>
      <c r="E63" s="488"/>
      <c r="F63" s="488"/>
      <c r="G63" s="488"/>
      <c r="H63" s="489"/>
      <c r="I63" s="498"/>
      <c r="J63" s="498"/>
      <c r="K63" s="488"/>
      <c r="L63" s="650"/>
      <c r="M63" s="650"/>
      <c r="N63" s="650"/>
      <c r="O63" s="650"/>
      <c r="P63" s="650"/>
      <c r="Q63" s="516"/>
      <c r="R63" s="517"/>
      <c r="S63" s="517"/>
      <c r="T63" s="517"/>
      <c r="U63" s="517"/>
      <c r="V63" s="515"/>
      <c r="W63" s="518"/>
      <c r="X63" s="515"/>
      <c r="Y63" s="235"/>
      <c r="Z63" s="235"/>
      <c r="AA63" s="235"/>
      <c r="AB63" s="235"/>
      <c r="AC63" s="213"/>
      <c r="AD63" s="243"/>
      <c r="AE63" s="243"/>
      <c r="AF63" s="243"/>
      <c r="AG63" s="243"/>
      <c r="AH63" s="235"/>
      <c r="AJ63" s="235"/>
      <c r="AK63" s="235"/>
      <c r="AO63" s="89"/>
      <c r="AP63" s="89"/>
      <c r="BW63" s="1"/>
      <c r="CT63" s="1"/>
      <c r="CY63"/>
      <c r="CZ63"/>
      <c r="DE63" s="244"/>
      <c r="DF63" s="244"/>
    </row>
    <row r="64" spans="1:111" hidden="1">
      <c r="A64" s="498" t="s">
        <v>206</v>
      </c>
      <c r="B64" s="498"/>
      <c r="C64" s="498"/>
      <c r="D64" s="498">
        <f>COUNTIF([0]!AUGUST,"Skema 1")</f>
        <v>15</v>
      </c>
      <c r="E64" s="499"/>
      <c r="F64" s="498" t="s">
        <v>186</v>
      </c>
      <c r="G64" s="498">
        <f>COUNTIFS($B$10:$B$40,"ma",[0]!AUGUST,"Skema 1")</f>
        <v>3</v>
      </c>
      <c r="H64" s="490"/>
      <c r="I64" s="503"/>
      <c r="J64" s="650"/>
      <c r="K64" s="650"/>
      <c r="L64" s="503"/>
      <c r="M64" s="651"/>
      <c r="N64" s="650"/>
      <c r="O64" s="651"/>
      <c r="P64" s="669" t="s">
        <v>588</v>
      </c>
      <c r="Q64" s="671" t="s">
        <v>599</v>
      </c>
      <c r="R64" s="227"/>
      <c r="S64" s="227"/>
      <c r="T64" s="227"/>
      <c r="U64" s="227"/>
      <c r="V64" s="227"/>
      <c r="W64" s="117"/>
      <c r="X64" s="117"/>
      <c r="Y64" s="235"/>
      <c r="Z64" s="235"/>
      <c r="AA64" s="235"/>
      <c r="AB64" s="235"/>
      <c r="AC64" s="235"/>
      <c r="AD64" s="213"/>
      <c r="AE64" s="243"/>
      <c r="AF64" s="243"/>
      <c r="AG64" s="243"/>
      <c r="AH64" s="243"/>
      <c r="AI64" s="235"/>
      <c r="AK64" s="235"/>
      <c r="AL64" s="235"/>
      <c r="AP64" s="89"/>
      <c r="AQ64" s="89"/>
      <c r="BX64" s="1"/>
      <c r="CU64" s="1"/>
      <c r="CY64"/>
      <c r="CZ64"/>
      <c r="DF64" s="244"/>
      <c r="DG64" s="244"/>
    </row>
    <row r="65" spans="1:111" hidden="1">
      <c r="A65" s="972" t="s">
        <v>207</v>
      </c>
      <c r="B65" s="972"/>
      <c r="C65" s="972"/>
      <c r="D65" s="498">
        <f>COUNTIF([0]!AUGUST,"Skema 2")</f>
        <v>0</v>
      </c>
      <c r="E65" s="499"/>
      <c r="F65" s="498" t="s">
        <v>187</v>
      </c>
      <c r="G65" s="498">
        <f>COUNTIFS($B$10:$B$40,"ti",[0]!AUGUST,"Skema 1")</f>
        <v>3</v>
      </c>
      <c r="H65" s="490"/>
      <c r="I65" s="503" t="s">
        <v>589</v>
      </c>
      <c r="J65" s="650"/>
      <c r="K65" s="503"/>
      <c r="L65" s="653"/>
      <c r="M65" s="651"/>
      <c r="N65" s="651"/>
      <c r="O65" s="654"/>
      <c r="P65" s="669">
        <f>IF(Stamoplysninger!$B$22="Ulempetillæg udbetales med 25% af nettotimelønnen.",SUM(DO41:DR41)-SUM(DS41:DV41),0)</f>
        <v>0</v>
      </c>
      <c r="Q65" s="671"/>
      <c r="R65" s="227"/>
      <c r="S65" s="227"/>
      <c r="T65" s="227"/>
      <c r="U65" s="227"/>
      <c r="V65" s="227"/>
      <c r="W65" s="117"/>
      <c r="X65" s="117"/>
      <c r="Y65" s="235"/>
      <c r="Z65" s="235"/>
      <c r="AA65" s="235"/>
      <c r="AB65" s="235"/>
      <c r="AC65" s="235"/>
      <c r="AD65" s="213"/>
      <c r="AE65" s="243"/>
      <c r="AF65" s="243"/>
      <c r="AG65" s="243"/>
      <c r="AH65" s="243"/>
      <c r="AI65" s="235"/>
      <c r="AK65" s="235"/>
      <c r="AL65" s="235"/>
      <c r="AP65" s="89"/>
      <c r="AQ65" s="89"/>
      <c r="BX65" s="1"/>
      <c r="CU65" s="1"/>
      <c r="CY65"/>
      <c r="CZ65"/>
      <c r="DF65" s="244"/>
      <c r="DG65" s="244"/>
    </row>
    <row r="66" spans="1:111" hidden="1">
      <c r="A66" s="972" t="s">
        <v>208</v>
      </c>
      <c r="B66" s="972"/>
      <c r="C66" s="972"/>
      <c r="D66" s="498">
        <f>COUNTIF([0]!AUGUST,"Skema 3")</f>
        <v>0</v>
      </c>
      <c r="E66" s="499"/>
      <c r="F66" s="498" t="s">
        <v>188</v>
      </c>
      <c r="G66" s="498">
        <f>COUNTIFS($B$10:$B$40,"on",[0]!AUGUST,"Skema 1")</f>
        <v>3</v>
      </c>
      <c r="H66" s="490"/>
      <c r="I66" s="668" t="s">
        <v>590</v>
      </c>
      <c r="J66" s="650"/>
      <c r="K66" s="503"/>
      <c r="L66" s="653"/>
      <c r="M66" s="651"/>
      <c r="N66" s="651"/>
      <c r="O66" s="651"/>
      <c r="P66" s="669"/>
      <c r="Q66" s="671">
        <f>IF(Stamoplysninger!$B$22="Ulempetillæg afspadseres med 25%(Kræver en aftale imellem ledelsen og den ansatte)",EC41+ED41+EE41+EF41-EG41-EH41-EI41-EJ41,0)</f>
        <v>0</v>
      </c>
      <c r="R66" s="227"/>
      <c r="S66" s="227"/>
      <c r="T66" s="227"/>
      <c r="U66" s="227"/>
      <c r="V66" s="227"/>
      <c r="W66" s="117"/>
      <c r="X66" s="117"/>
      <c r="Y66" s="235"/>
      <c r="Z66" s="235"/>
      <c r="AA66" s="235"/>
      <c r="AB66" s="235"/>
      <c r="AC66" s="235"/>
      <c r="AD66" s="213"/>
      <c r="AE66" s="243"/>
      <c r="AF66" s="243"/>
      <c r="AG66" s="243"/>
      <c r="AH66" s="243"/>
      <c r="AI66" s="235"/>
      <c r="AK66" s="235"/>
      <c r="AL66" s="235"/>
      <c r="AP66" s="89"/>
      <c r="AQ66" s="89"/>
      <c r="BX66" s="1"/>
      <c r="CU66" s="1"/>
      <c r="CY66"/>
      <c r="CZ66"/>
      <c r="DF66" s="244"/>
      <c r="DG66" s="244"/>
    </row>
    <row r="67" spans="1:111" hidden="1">
      <c r="A67" s="972" t="s">
        <v>209</v>
      </c>
      <c r="B67" s="972"/>
      <c r="C67" s="972"/>
      <c r="D67" s="498">
        <f>COUNTIF([0]!AUGUST,"Skema 4")</f>
        <v>0</v>
      </c>
      <c r="E67" s="499"/>
      <c r="F67" s="498" t="s">
        <v>190</v>
      </c>
      <c r="G67" s="498">
        <f>COUNTIFS($B$10:$B$40,"to",[0]!AUGUST,"Skema 1")</f>
        <v>3</v>
      </c>
      <c r="H67" s="490"/>
      <c r="I67" s="668" t="s">
        <v>591</v>
      </c>
      <c r="J67" s="650"/>
      <c r="K67" s="503"/>
      <c r="L67" s="653"/>
      <c r="M67" s="656"/>
      <c r="N67" s="656"/>
      <c r="O67" s="4"/>
      <c r="P67" s="669"/>
      <c r="Q67" s="671"/>
      <c r="R67" s="227"/>
      <c r="S67" s="227"/>
      <c r="T67" s="227"/>
      <c r="U67" s="227"/>
      <c r="V67" s="227"/>
      <c r="W67" s="117"/>
      <c r="X67" s="117"/>
      <c r="Y67" s="235"/>
      <c r="Z67" s="235"/>
      <c r="AA67" s="235"/>
      <c r="AB67" s="235"/>
      <c r="AC67" s="235"/>
      <c r="AD67" s="213"/>
      <c r="AE67" s="243"/>
      <c r="AF67" s="243"/>
      <c r="AG67" s="243"/>
      <c r="AH67" s="243"/>
      <c r="AI67" s="235"/>
      <c r="AK67" s="235"/>
      <c r="AL67" s="235"/>
      <c r="AP67" s="89"/>
      <c r="AQ67" s="89"/>
      <c r="BX67" s="1"/>
      <c r="CU67" s="1"/>
      <c r="CY67"/>
      <c r="CZ67"/>
      <c r="DF67" s="244"/>
      <c r="DG67" s="244"/>
    </row>
    <row r="68" spans="1:111" hidden="1">
      <c r="A68" s="498" t="s">
        <v>112</v>
      </c>
      <c r="B68" s="498"/>
      <c r="C68" s="498"/>
      <c r="D68" s="498">
        <f>COUNTIF([0]!AUGUST,"Fagdag")+COUNTIF([0]!AUGUST,"emnedag")</f>
        <v>0</v>
      </c>
      <c r="E68" s="499"/>
      <c r="F68" s="498" t="s">
        <v>189</v>
      </c>
      <c r="G68" s="498">
        <f>COUNTIFS($B$10:$B$40,"fr",[0]!AUGUST,"Skema 1")</f>
        <v>3</v>
      </c>
      <c r="H68" s="490"/>
      <c r="I68" s="653" t="s">
        <v>592</v>
      </c>
      <c r="J68" s="650"/>
      <c r="K68" s="503"/>
      <c r="L68" s="653"/>
      <c r="M68" s="656"/>
      <c r="N68" s="656"/>
      <c r="O68" s="4"/>
      <c r="P68" s="669"/>
      <c r="Q68" s="671">
        <f>IF(Stamoplysninger!$B$26="Weekendtimer og weekendtillæg afspadseres.",EK41+EL41-EM41-EN41,0)</f>
        <v>0</v>
      </c>
      <c r="R68" s="227"/>
      <c r="S68" s="227"/>
      <c r="T68" s="227"/>
      <c r="U68" s="227"/>
      <c r="V68" s="227"/>
      <c r="W68" s="117"/>
      <c r="X68" s="117"/>
      <c r="Y68"/>
      <c r="Z68"/>
      <c r="AO68" s="1"/>
      <c r="BL68" s="1"/>
      <c r="BW68" s="244"/>
      <c r="BX68" s="244"/>
      <c r="CY68"/>
      <c r="CZ68"/>
    </row>
    <row r="69" spans="1:111" hidden="1">
      <c r="A69" s="500" t="s">
        <v>111</v>
      </c>
      <c r="B69" s="498"/>
      <c r="C69" s="498"/>
      <c r="D69" s="498">
        <f>COUNTIF([0]!AUGUST,"Lejrskole")+COUNTIF([0]!AUGUST,"Ekskursion")</f>
        <v>0</v>
      </c>
      <c r="E69" s="499"/>
      <c r="F69" s="498"/>
      <c r="G69" s="498"/>
      <c r="H69" s="490"/>
      <c r="I69" s="653" t="s">
        <v>593</v>
      </c>
      <c r="J69" s="653"/>
      <c r="K69" s="653"/>
      <c r="L69" s="653"/>
      <c r="M69" s="657"/>
      <c r="N69" s="657"/>
      <c r="O69" s="4"/>
      <c r="P69" s="670">
        <f>IF(Stamoplysninger!$B$26="Weekendtimer og weekendtillæg udbetales.",EO41+EP41-EQ41-ER41,0)</f>
        <v>0</v>
      </c>
      <c r="Q69" s="671"/>
      <c r="R69" s="227"/>
      <c r="S69" s="227"/>
      <c r="T69" s="227"/>
      <c r="U69" s="227"/>
      <c r="V69" s="227"/>
      <c r="W69" s="117"/>
      <c r="X69" s="117"/>
      <c r="Y69"/>
      <c r="Z69"/>
      <c r="AO69" s="1"/>
      <c r="BL69" s="1"/>
      <c r="BW69" s="244"/>
      <c r="BX69" s="244"/>
      <c r="CY69"/>
      <c r="CZ69"/>
    </row>
    <row r="70" spans="1:111" hidden="1">
      <c r="A70" s="498" t="s">
        <v>110</v>
      </c>
      <c r="B70" s="498"/>
      <c r="C70" s="498"/>
      <c r="D70" s="498">
        <f>COUNTIF([0]!AUGUST,"Pæd.dag")</f>
        <v>0</v>
      </c>
      <c r="E70" s="499"/>
      <c r="F70" s="498" t="s">
        <v>191</v>
      </c>
      <c r="G70" s="498">
        <f>COUNTIFS($B$10:$B$40,"ma",[0]!AUGUST,"Skema 2")</f>
        <v>0</v>
      </c>
      <c r="H70" s="490"/>
      <c r="I70" s="653" t="s">
        <v>594</v>
      </c>
      <c r="J70" s="653"/>
      <c r="K70" s="653"/>
      <c r="L70" s="653"/>
      <c r="M70" s="657"/>
      <c r="N70" s="657"/>
      <c r="O70" s="4"/>
      <c r="P70" s="669"/>
      <c r="Q70" s="671"/>
      <c r="R70" s="227"/>
      <c r="S70" s="227"/>
      <c r="T70" s="227"/>
      <c r="U70" s="227"/>
      <c r="V70" s="227"/>
      <c r="W70" s="117"/>
      <c r="X70" s="117"/>
      <c r="Y70"/>
      <c r="Z70"/>
      <c r="AO70" s="1"/>
      <c r="BL70" s="1"/>
      <c r="BW70" s="244"/>
      <c r="BX70" s="244"/>
      <c r="CY70"/>
      <c r="CZ70"/>
    </row>
    <row r="71" spans="1:111" hidden="1">
      <c r="A71" s="498" t="s">
        <v>120</v>
      </c>
      <c r="B71" s="498"/>
      <c r="C71" s="498"/>
      <c r="D71" s="498">
        <f>COUNTIF([0]!AUGUST,"Weekend")</f>
        <v>9</v>
      </c>
      <c r="E71" s="499"/>
      <c r="F71" s="498" t="s">
        <v>192</v>
      </c>
      <c r="G71" s="498">
        <f>COUNTIFS($B$10:$B$40,"ti",[0]!AUGUST,"Skema 2")</f>
        <v>0</v>
      </c>
      <c r="H71" s="490"/>
      <c r="I71" s="653" t="s">
        <v>595</v>
      </c>
      <c r="J71" s="653"/>
      <c r="K71" s="653"/>
      <c r="L71" s="653"/>
      <c r="M71" s="658"/>
      <c r="N71" s="658"/>
      <c r="O71" s="4"/>
      <c r="P71" s="669"/>
      <c r="Q71" s="672">
        <f>IF(Stamoplysninger!$B$26="Der er indgået lokalaftale omkring weekendtimer.(Kræver aftale med TR/FSL) Weekendtillæg afspadseres.",ES41+ET41-EU41-EV41,0)</f>
        <v>0</v>
      </c>
      <c r="R71" s="227"/>
      <c r="S71" s="227"/>
      <c r="T71" s="227"/>
      <c r="U71" s="227"/>
      <c r="V71" s="227"/>
      <c r="W71" s="117"/>
      <c r="X71" s="117"/>
      <c r="Y71"/>
      <c r="Z71"/>
      <c r="AO71" s="1"/>
      <c r="BL71" s="1"/>
      <c r="BW71" s="244"/>
      <c r="BX71" s="244"/>
      <c r="CY71"/>
      <c r="CZ71"/>
    </row>
    <row r="72" spans="1:111" hidden="1">
      <c r="A72" s="498" t="s">
        <v>127</v>
      </c>
      <c r="B72" s="498"/>
      <c r="C72" s="498"/>
      <c r="D72" s="498">
        <f>COUNTIF([0]!AUGUST,"SH-dag")</f>
        <v>0</v>
      </c>
      <c r="E72" s="499"/>
      <c r="F72" s="498" t="s">
        <v>193</v>
      </c>
      <c r="G72" s="498">
        <f>COUNTIFS($B$10:$B$40,"on",[0]!AUGUST,"Skema 2")</f>
        <v>0</v>
      </c>
      <c r="H72" s="490"/>
      <c r="I72" s="653" t="s">
        <v>596</v>
      </c>
      <c r="J72" s="653"/>
      <c r="K72" s="653"/>
      <c r="L72" s="653"/>
      <c r="M72" s="658"/>
      <c r="N72" s="658"/>
      <c r="O72" s="4"/>
      <c r="P72" s="669">
        <f>IF(Stamoplysninger!$B$26="Der er indgået lokalaftale omkring weekendtimer(Kræver aftale med TR/FSL). Weekendtillæg udbetales.",EW41+EX41-EY41-EZ41,0)</f>
        <v>0</v>
      </c>
      <c r="Q72" s="671"/>
      <c r="R72" s="227"/>
      <c r="S72" s="227"/>
      <c r="T72" s="227"/>
      <c r="U72" s="227"/>
      <c r="V72" s="227"/>
      <c r="W72" s="117"/>
      <c r="X72" s="117"/>
      <c r="Y72"/>
      <c r="Z72"/>
      <c r="AO72" s="1"/>
      <c r="BL72" s="1"/>
      <c r="BW72" s="244"/>
      <c r="BX72" s="244"/>
      <c r="CY72"/>
      <c r="CZ72"/>
    </row>
    <row r="73" spans="1:111" hidden="1">
      <c r="A73" s="498" t="s">
        <v>109</v>
      </c>
      <c r="B73" s="498"/>
      <c r="C73" s="498"/>
      <c r="D73" s="498">
        <f>COUNTIF([0]!AUGUST,"Feriedag")</f>
        <v>2</v>
      </c>
      <c r="E73" s="499"/>
      <c r="F73" s="498" t="s">
        <v>194</v>
      </c>
      <c r="G73" s="498">
        <f>COUNTIFS($B$10:$B$40,"to",[0]!AUGUST,"Skema 2")</f>
        <v>0</v>
      </c>
      <c r="H73" s="490"/>
      <c r="I73" s="653" t="s">
        <v>597</v>
      </c>
      <c r="J73" s="653"/>
      <c r="K73" s="653"/>
      <c r="L73" s="653"/>
      <c r="M73" s="658"/>
      <c r="N73" s="658"/>
      <c r="O73" s="4"/>
      <c r="P73" s="669"/>
      <c r="Q73" s="620">
        <f>IF(Stamoplysninger!$B$26="Der er indgået lokalaftale omkring weekendtillæg(Kræver aftale med TR/FSL). Weekendtimerne afspadseres.",FA41+FB41-FC41-FD41,0)</f>
        <v>0</v>
      </c>
      <c r="R73" s="40"/>
      <c r="S73" s="40"/>
      <c r="T73" s="40"/>
      <c r="Y73"/>
      <c r="Z73"/>
      <c r="AO73" s="1"/>
      <c r="BL73" s="1"/>
      <c r="BW73" s="244"/>
      <c r="BX73" s="244"/>
      <c r="CY73"/>
      <c r="CZ73"/>
    </row>
    <row r="74" spans="1:111" hidden="1">
      <c r="A74" s="498" t="s">
        <v>178</v>
      </c>
      <c r="B74" s="498"/>
      <c r="C74" s="498"/>
      <c r="D74" s="498">
        <f>COUNTIF([0]!AUGUST,"Nul-dag")</f>
        <v>5</v>
      </c>
      <c r="E74" s="499"/>
      <c r="F74" s="498" t="s">
        <v>195</v>
      </c>
      <c r="G74" s="498">
        <f>COUNTIFS($B$10:$B$40,"fr",[0]!AUGUST,"Skema 2")</f>
        <v>0</v>
      </c>
      <c r="H74" s="490"/>
      <c r="I74" s="653" t="s">
        <v>598</v>
      </c>
      <c r="J74" s="653"/>
      <c r="K74" s="653"/>
      <c r="L74" s="653"/>
      <c r="M74" s="658"/>
      <c r="N74" s="658"/>
      <c r="O74" s="4"/>
      <c r="P74" s="669">
        <f>IF(Stamoplysninger!$B$26="Der er indgået lokalaftale omkring weekendtillæg(Kræver aftale med TR/FSL). Weekendtimerne udbetales.",FE41+FF41-FG41-FH41,0)</f>
        <v>0</v>
      </c>
      <c r="Q74" s="620"/>
      <c r="V74" t="s">
        <v>676</v>
      </c>
      <c r="Y74"/>
      <c r="Z74"/>
      <c r="AO74" s="1"/>
      <c r="BL74" s="1"/>
      <c r="BW74" s="244"/>
      <c r="BX74" s="244"/>
      <c r="CY74"/>
      <c r="CZ74"/>
    </row>
    <row r="75" spans="1:111" hidden="1">
      <c r="A75" s="498" t="s">
        <v>160</v>
      </c>
      <c r="B75" s="498"/>
      <c r="C75" s="498"/>
      <c r="D75" s="498">
        <f>COUNTIF([0]!AUGUST,"Ikke relevant")</f>
        <v>0</v>
      </c>
      <c r="E75" s="499"/>
      <c r="F75" s="501"/>
      <c r="G75" s="501"/>
      <c r="H75" s="496"/>
      <c r="I75" s="653" t="s">
        <v>604</v>
      </c>
      <c r="J75" s="653"/>
      <c r="K75" s="653"/>
      <c r="L75" s="653"/>
      <c r="M75" s="659"/>
      <c r="N75" s="659"/>
      <c r="O75" s="4"/>
      <c r="P75" s="652"/>
      <c r="R75">
        <f>IF(C10="ikke relevant",V10*-1+X10*-1,0)</f>
        <v>0</v>
      </c>
      <c r="S75" t="s">
        <v>610</v>
      </c>
      <c r="V75">
        <f>IF(C10="ikke relevant",R10*-1,0)</f>
        <v>0</v>
      </c>
      <c r="Y75"/>
      <c r="Z75"/>
      <c r="AO75" s="1"/>
      <c r="BL75" s="1"/>
      <c r="BW75" s="244"/>
      <c r="BX75" s="244"/>
      <c r="CY75"/>
      <c r="CZ75"/>
    </row>
    <row r="76" spans="1:111" hidden="1">
      <c r="A76" s="495" t="s">
        <v>415</v>
      </c>
      <c r="B76" s="498"/>
      <c r="C76" s="498"/>
      <c r="D76" s="498">
        <f>COUNTIF([0]!AUGUST,"Orlov")</f>
        <v>0</v>
      </c>
      <c r="E76" s="499"/>
      <c r="F76" s="498" t="s">
        <v>196</v>
      </c>
      <c r="G76" s="498">
        <f>COUNTIFS($B$10:$B$40,"ma",[0]!AUGUST,"Skema 3")</f>
        <v>0</v>
      </c>
      <c r="H76" s="490"/>
      <c r="I76" s="653"/>
      <c r="J76" s="653"/>
      <c r="K76" s="653"/>
      <c r="L76" s="503"/>
      <c r="M76" s="659"/>
      <c r="N76" s="659"/>
      <c r="O76" s="4"/>
      <c r="P76" s="652"/>
      <c r="R76">
        <f>IF(C11="ikke relevant",V11*-1+X11*-1,0)</f>
        <v>0</v>
      </c>
      <c r="V76">
        <f>IF(C11="ikke relevant",R11*-1,0)</f>
        <v>0</v>
      </c>
      <c r="Y76"/>
      <c r="Z76"/>
      <c r="AO76" s="1"/>
      <c r="BL76" s="1"/>
      <c r="BW76" s="244"/>
      <c r="BX76" s="244"/>
      <c r="CY76"/>
      <c r="CZ76"/>
    </row>
    <row r="77" spans="1:111" hidden="1">
      <c r="A77" s="498" t="s">
        <v>108</v>
      </c>
      <c r="B77" s="498"/>
      <c r="C77" s="498"/>
      <c r="D77" s="498">
        <f>SUM(D64:D76)</f>
        <v>31</v>
      </c>
      <c r="E77" s="498"/>
      <c r="F77" s="498" t="s">
        <v>197</v>
      </c>
      <c r="G77" s="498">
        <f>COUNTIFS($B$10:$B$40,"ti",[0]!AUGUST,"Skema 3")</f>
        <v>0</v>
      </c>
      <c r="H77" s="490"/>
      <c r="I77" s="653"/>
      <c r="J77" s="653"/>
      <c r="K77" s="653"/>
      <c r="L77" s="503"/>
      <c r="M77" s="659"/>
      <c r="N77" s="659"/>
      <c r="O77" s="4"/>
      <c r="P77" s="652"/>
      <c r="R77">
        <f t="shared" ref="R77:R105" si="40">IF(C12="ikke relevant",V12*-1+X12*-1,0)</f>
        <v>0</v>
      </c>
      <c r="V77">
        <f t="shared" ref="V77:V105" si="41">IF(C12="ikke relevant",R12*-1,0)</f>
        <v>0</v>
      </c>
      <c r="Y77"/>
      <c r="Z77"/>
      <c r="AO77" s="1"/>
      <c r="BL77" s="1"/>
      <c r="BW77" s="244"/>
      <c r="BX77" s="244"/>
      <c r="CY77"/>
      <c r="CZ77"/>
    </row>
    <row r="78" spans="1:111" hidden="1">
      <c r="A78" s="498" t="s">
        <v>239</v>
      </c>
      <c r="B78" s="498"/>
      <c r="C78" s="498"/>
      <c r="D78" s="498">
        <f>D77-D71-A87-D75</f>
        <v>22</v>
      </c>
      <c r="E78" s="502"/>
      <c r="F78" s="498" t="s">
        <v>198</v>
      </c>
      <c r="G78" s="498">
        <f>COUNTIFS($B$10:$B$40,"on",[0]!AUGUST,"Skema 3")</f>
        <v>0</v>
      </c>
      <c r="H78" s="490"/>
      <c r="I78" s="653"/>
      <c r="J78" s="653"/>
      <c r="K78" s="653"/>
      <c r="L78" s="503"/>
      <c r="M78" s="659"/>
      <c r="N78" s="659"/>
      <c r="O78" s="4"/>
      <c r="P78" s="652"/>
      <c r="R78">
        <f t="shared" si="40"/>
        <v>0</v>
      </c>
      <c r="V78">
        <f t="shared" si="41"/>
        <v>0</v>
      </c>
      <c r="Y78"/>
      <c r="Z78"/>
      <c r="AO78" s="1"/>
      <c r="BL78" s="1"/>
      <c r="BW78" s="244"/>
      <c r="BX78" s="244"/>
      <c r="CY78"/>
      <c r="CZ78"/>
    </row>
    <row r="79" spans="1:111" hidden="1">
      <c r="A79" s="498"/>
      <c r="B79" s="498"/>
      <c r="C79" s="498"/>
      <c r="D79" s="498"/>
      <c r="E79" s="498"/>
      <c r="F79" s="498" t="s">
        <v>199</v>
      </c>
      <c r="G79" s="498">
        <f>COUNTIFS($B$10:$B$40,"to",[0]!AUGUST,"Skema 3")</f>
        <v>0</v>
      </c>
      <c r="H79" s="490"/>
      <c r="I79" s="655"/>
      <c r="J79" s="653"/>
      <c r="K79" s="653"/>
      <c r="L79" s="503"/>
      <c r="M79" s="651"/>
      <c r="N79" s="651"/>
      <c r="O79" s="4"/>
      <c r="P79" s="652"/>
      <c r="R79">
        <f t="shared" si="40"/>
        <v>0</v>
      </c>
      <c r="V79">
        <f t="shared" si="41"/>
        <v>0</v>
      </c>
      <c r="Y79"/>
      <c r="Z79"/>
      <c r="AO79" s="1"/>
      <c r="BL79" s="1"/>
      <c r="BW79" s="244"/>
      <c r="BX79" s="244"/>
      <c r="CY79"/>
      <c r="CZ79"/>
    </row>
    <row r="80" spans="1:111" hidden="1">
      <c r="A80" s="498"/>
      <c r="B80" s="498"/>
      <c r="C80" s="498"/>
      <c r="D80" s="498"/>
      <c r="E80" s="498"/>
      <c r="F80" s="498" t="s">
        <v>200</v>
      </c>
      <c r="G80" s="498">
        <f>COUNTIFS($B$10:$B$40,"fr",[0]!AUGUST,"Skema 3")</f>
        <v>0</v>
      </c>
      <c r="H80" s="490"/>
      <c r="I80" s="498"/>
      <c r="J80" s="503"/>
      <c r="K80" s="503"/>
      <c r="L80" s="503"/>
      <c r="M80" s="4"/>
      <c r="N80" s="4"/>
      <c r="O80" s="4"/>
      <c r="P80" s="4"/>
      <c r="R80">
        <f t="shared" si="40"/>
        <v>0</v>
      </c>
      <c r="V80">
        <f t="shared" si="41"/>
        <v>0</v>
      </c>
      <c r="Y80"/>
      <c r="Z80"/>
      <c r="AO80" s="1"/>
      <c r="BL80" s="1"/>
      <c r="BW80" s="244"/>
      <c r="BX80" s="244"/>
      <c r="CY80"/>
      <c r="CZ80"/>
    </row>
    <row r="81" spans="1:111" hidden="1">
      <c r="A81" s="498" t="s">
        <v>292</v>
      </c>
      <c r="B81" s="498"/>
      <c r="C81" s="498"/>
      <c r="D81" s="498"/>
      <c r="E81" s="498"/>
      <c r="F81" s="498"/>
      <c r="G81" s="498"/>
      <c r="H81" s="490"/>
      <c r="I81" s="498"/>
      <c r="J81" s="503"/>
      <c r="K81" s="503"/>
      <c r="L81" s="503"/>
      <c r="M81" s="4"/>
      <c r="N81" s="4"/>
      <c r="O81" s="4"/>
      <c r="P81" s="4"/>
      <c r="R81">
        <f t="shared" si="40"/>
        <v>0</v>
      </c>
      <c r="V81">
        <f t="shared" si="41"/>
        <v>0</v>
      </c>
      <c r="Y81"/>
      <c r="Z81"/>
      <c r="AO81" s="1"/>
      <c r="BL81" s="1"/>
      <c r="BW81" s="244"/>
      <c r="BX81" s="244"/>
      <c r="CY81"/>
      <c r="CZ81"/>
    </row>
    <row r="82" spans="1:111" hidden="1">
      <c r="A82" s="498">
        <f>COUNTIF($C$12:$C$13,"Skema 1")+COUNTIF($C$12:$C$13,"Skema 2")+COUNTIF($C$12:$C$13,"Skema 3")+COUNTIF($C$12:$C$13,"Skema 4")+COUNTIF($C$12:$C$13,"Fagdag")+COUNTIF($C$12:$C$13,"Emnedag")+COUNTIF($C$12:$C$13,"Lejrskole")+COUNTIF($C$12:$C$13,"Ekskursion")+COUNTIF($C$12:$C$13,"Pæd.dag")</f>
        <v>0</v>
      </c>
      <c r="B82" s="498"/>
      <c r="C82" s="498"/>
      <c r="D82" s="498"/>
      <c r="E82" s="498"/>
      <c r="F82" s="498" t="s">
        <v>201</v>
      </c>
      <c r="G82" s="498">
        <f>COUNTIFS($B$10:$B$40,"ma",[0]!AUGUST,"Skema 4")</f>
        <v>0</v>
      </c>
      <c r="H82" s="490"/>
      <c r="I82" s="498"/>
      <c r="J82" s="503"/>
      <c r="K82" s="503"/>
      <c r="L82" s="503"/>
      <c r="M82" s="4"/>
      <c r="N82" s="4"/>
      <c r="O82" s="4"/>
      <c r="P82" s="4"/>
      <c r="R82">
        <f t="shared" si="40"/>
        <v>0</v>
      </c>
      <c r="V82">
        <f t="shared" si="41"/>
        <v>0</v>
      </c>
      <c r="Y82"/>
      <c r="Z82"/>
      <c r="AO82" s="1">
        <f>SUM(N82:AN82)</f>
        <v>0</v>
      </c>
      <c r="BL82" s="1">
        <f>SUM(AI82:BK82)</f>
        <v>0</v>
      </c>
      <c r="BW82" s="244"/>
      <c r="BX82" s="244"/>
      <c r="CY82"/>
      <c r="CZ82"/>
    </row>
    <row r="83" spans="1:111" hidden="1">
      <c r="A83" s="498">
        <f>COUNTIF($C$19:$C$20,"Skema 1")+COUNTIF($C$19:$C$20,"Skema 2")+COUNTIF($C$19:$C$20,"Skema 3")+COUNTIF($C$19:$C$20,"Skema 4")+COUNTIF($C$19:$C$20,"Fagdag")+COUNTIF($C$19:$C$20,"Emnedag")+COUNTIF($C$19:$C$20,"Lejrskole")+COUNTIF($C$19:$C$20,"Ekskursion")+COUNTIF($C$19:$C$20,"Pæd.dag")</f>
        <v>0</v>
      </c>
      <c r="B83" s="498"/>
      <c r="C83" s="498"/>
      <c r="D83" s="498"/>
      <c r="E83" s="498"/>
      <c r="F83" s="498" t="s">
        <v>202</v>
      </c>
      <c r="G83" s="498">
        <f>COUNTIFS($B$10:$B$40,"ti",[0]!AUGUST,"Skema 4")</f>
        <v>0</v>
      </c>
      <c r="H83" s="490"/>
      <c r="I83" s="498"/>
      <c r="J83" s="503"/>
      <c r="K83" s="503"/>
      <c r="L83" s="503"/>
      <c r="M83" s="4"/>
      <c r="N83" s="4"/>
      <c r="O83" s="4"/>
      <c r="P83" s="4"/>
      <c r="R83">
        <f t="shared" si="40"/>
        <v>0</v>
      </c>
      <c r="V83">
        <f t="shared" si="41"/>
        <v>0</v>
      </c>
      <c r="Y83"/>
      <c r="Z83"/>
      <c r="AO83" s="1">
        <f>SUM(N83:AN83)</f>
        <v>0</v>
      </c>
      <c r="BL83" s="1">
        <f>SUM(AI83:BK83)</f>
        <v>0</v>
      </c>
      <c r="BW83" s="244"/>
      <c r="BX83" s="244"/>
      <c r="CY83"/>
      <c r="CZ83"/>
    </row>
    <row r="84" spans="1:111" hidden="1">
      <c r="A84" s="498">
        <f>COUNTIF($C$26:$C$27,"Skema 1")+COUNTIF($C$26:$C$27,"Skema 2")+COUNTIF($C$26:$C$27,"Skema 3")+COUNTIF($C$26:$C$27,"Skema 4")+COUNTIF($C$26:$C$27,"Fagdag")+COUNTIF($C$26:$C$27,"Emnedag")+COUNTIF($C$26:$C$27,"Lejrskole")+COUNTIF($C$26:$C$27,"Ekskursion")+COUNTIF($C$26:$C$27,"Pæd.dag")</f>
        <v>0</v>
      </c>
      <c r="B84" s="498"/>
      <c r="C84" s="498"/>
      <c r="D84" s="498"/>
      <c r="E84" s="498"/>
      <c r="F84" s="498" t="s">
        <v>203</v>
      </c>
      <c r="G84" s="498">
        <f>COUNTIFS($B$10:$B$40,"on",[0]!AUGUST,"Skema 4")</f>
        <v>0</v>
      </c>
      <c r="H84" s="490"/>
      <c r="I84" s="498"/>
      <c r="J84" s="503"/>
      <c r="K84" s="503"/>
      <c r="L84" s="503"/>
      <c r="M84" s="4"/>
      <c r="N84" s="4"/>
      <c r="O84" s="4"/>
      <c r="P84" s="4"/>
      <c r="R84">
        <f t="shared" si="40"/>
        <v>0</v>
      </c>
      <c r="V84">
        <f t="shared" si="41"/>
        <v>0</v>
      </c>
      <c r="Y84"/>
      <c r="Z84"/>
      <c r="AO84" s="1">
        <f>SUM(N84:AN84)</f>
        <v>0</v>
      </c>
      <c r="BL84" s="1">
        <f>SUM(AI84:BK84)</f>
        <v>0</v>
      </c>
      <c r="BW84" s="244"/>
      <c r="BX84" s="244"/>
      <c r="CY84"/>
      <c r="CZ84"/>
    </row>
    <row r="85" spans="1:111" hidden="1">
      <c r="A85" s="498">
        <f>COUNTIF($C$33:$C$34,"Skema 1")+COUNTIF($C$33:$C$34,"Skema 2")+COUNTIF($C$33:$C$34,"Skema 3")+COUNTIF($C$33:$C$34,"Skema 4")+COUNTIF($C$33:$C$34,"Fagdag")+COUNTIF($C$33:$C$34,"Emnedag")+COUNTIF($C$33:$C$34,"Lejrskole")+COUNTIF($C$33:$C$34,"Ekskursion")+COUNTIF($C$33:$C$34,"Pæd.dag")</f>
        <v>0</v>
      </c>
      <c r="B85" s="498"/>
      <c r="C85" s="498"/>
      <c r="D85" s="498"/>
      <c r="E85" s="498"/>
      <c r="F85" s="498" t="s">
        <v>204</v>
      </c>
      <c r="G85" s="498">
        <f>COUNTIFS($B$10:$B$40,"to",[0]!AUGUST,"Skema 4")</f>
        <v>0</v>
      </c>
      <c r="H85" s="490"/>
      <c r="I85" s="498"/>
      <c r="J85" s="503"/>
      <c r="K85" s="503"/>
      <c r="L85" s="503"/>
      <c r="M85" s="4"/>
      <c r="N85" s="4"/>
      <c r="O85" s="4"/>
      <c r="P85" s="4"/>
      <c r="R85">
        <f t="shared" si="40"/>
        <v>0</v>
      </c>
      <c r="V85">
        <f t="shared" si="41"/>
        <v>0</v>
      </c>
      <c r="Y85"/>
      <c r="Z85"/>
      <c r="AO85" s="1">
        <f>SUM(N85:AN85)</f>
        <v>0</v>
      </c>
      <c r="BL85" s="1">
        <f>SUM(AI85:BK85)</f>
        <v>0</v>
      </c>
      <c r="BW85" s="244"/>
      <c r="BX85" s="244"/>
      <c r="CY85"/>
      <c r="CZ85"/>
    </row>
    <row r="86" spans="1:111" hidden="1">
      <c r="A86" s="498">
        <f>COUNTIF($C$40,"Skema 1")+COUNTIF($C$40,"Skema 2")+COUNTIF($C$40,"Skema 3")+COUNTIF($C$40,"Skema 4")+COUNTIF($C$40,"Fagdag")+COUNTIF($C$40,"Emnedag")+COUNTIF($C$40,"Lejrskole")+COUNTIF($C$40,"Ekskursion")+COUNTIF($C$40,"Pæd.dag")</f>
        <v>0</v>
      </c>
      <c r="B86" s="498"/>
      <c r="C86" s="498"/>
      <c r="D86" s="498"/>
      <c r="E86" s="498"/>
      <c r="F86" s="498" t="s">
        <v>205</v>
      </c>
      <c r="G86" s="498">
        <f>COUNTIFS($B$10:$B$40,"fr",[0]!AUGUST,"Skema 4")</f>
        <v>0</v>
      </c>
      <c r="H86" s="490"/>
      <c r="I86" s="490"/>
      <c r="J86" s="493"/>
      <c r="K86" s="493"/>
      <c r="L86" s="40"/>
      <c r="R86">
        <f t="shared" si="40"/>
        <v>0</v>
      </c>
      <c r="V86">
        <f t="shared" si="41"/>
        <v>0</v>
      </c>
      <c r="Y86"/>
      <c r="Z86"/>
      <c r="BW86" s="244"/>
      <c r="BX86" s="244"/>
      <c r="CY86"/>
      <c r="CZ86"/>
    </row>
    <row r="87" spans="1:111" hidden="1">
      <c r="A87" s="498">
        <f>SUM(A82:A86)</f>
        <v>0</v>
      </c>
      <c r="B87" s="498"/>
      <c r="C87" s="498"/>
      <c r="D87" s="498"/>
      <c r="E87" s="498"/>
      <c r="F87" s="498"/>
      <c r="G87" s="498">
        <f>SUM(G64:G86)</f>
        <v>15</v>
      </c>
      <c r="H87" s="493"/>
      <c r="I87" s="490"/>
      <c r="J87" s="493"/>
      <c r="K87" s="493"/>
      <c r="L87" s="40"/>
      <c r="R87">
        <f t="shared" si="40"/>
        <v>0</v>
      </c>
      <c r="V87">
        <f t="shared" si="41"/>
        <v>0</v>
      </c>
      <c r="Y87"/>
      <c r="Z87"/>
      <c r="BW87" s="244"/>
      <c r="BX87" s="244"/>
      <c r="CY87"/>
      <c r="CZ87"/>
    </row>
    <row r="88" spans="1:111" hidden="1">
      <c r="A88" s="503"/>
      <c r="B88" s="503"/>
      <c r="C88" s="503"/>
      <c r="D88" s="503"/>
      <c r="E88" s="498"/>
      <c r="F88" s="498"/>
      <c r="G88" s="498"/>
      <c r="H88" s="493"/>
      <c r="I88" s="493"/>
      <c r="J88" s="493"/>
      <c r="K88" s="493"/>
      <c r="L88" s="40"/>
      <c r="R88">
        <f t="shared" si="40"/>
        <v>0</v>
      </c>
      <c r="V88">
        <f t="shared" si="41"/>
        <v>0</v>
      </c>
      <c r="Y88"/>
      <c r="Z88"/>
      <c r="BW88" s="244"/>
      <c r="BX88" s="244"/>
      <c r="CY88"/>
      <c r="CZ88"/>
    </row>
    <row r="89" spans="1:111" hidden="1">
      <c r="A89" s="504" t="s">
        <v>206</v>
      </c>
      <c r="B89" s="503"/>
      <c r="C89" s="503"/>
      <c r="D89" s="503"/>
      <c r="E89" s="498"/>
      <c r="F89" s="498"/>
      <c r="G89" s="498"/>
      <c r="H89" s="493"/>
      <c r="I89" s="40"/>
      <c r="J89" s="493"/>
      <c r="K89" s="493"/>
      <c r="L89" s="40"/>
      <c r="R89">
        <f t="shared" si="40"/>
        <v>0</v>
      </c>
      <c r="V89">
        <f t="shared" si="41"/>
        <v>0</v>
      </c>
      <c r="Y89"/>
      <c r="Z89"/>
      <c r="BW89" s="244"/>
      <c r="BX89" s="244"/>
      <c r="CY89"/>
      <c r="CZ89"/>
    </row>
    <row r="90" spans="1:111" hidden="1">
      <c r="A90" s="505" t="s">
        <v>207</v>
      </c>
      <c r="B90" s="503"/>
      <c r="C90" s="503"/>
      <c r="D90" s="503"/>
      <c r="E90" s="490"/>
      <c r="F90" s="490"/>
      <c r="G90" s="490"/>
      <c r="H90" s="493"/>
      <c r="I90" s="40"/>
      <c r="J90" s="40"/>
      <c r="K90" s="40"/>
      <c r="L90" s="40"/>
      <c r="R90">
        <f t="shared" si="40"/>
        <v>0</v>
      </c>
      <c r="V90">
        <f t="shared" si="41"/>
        <v>0</v>
      </c>
      <c r="Y90"/>
      <c r="Z90"/>
      <c r="BW90" s="244"/>
      <c r="BX90" s="244"/>
      <c r="CY90"/>
      <c r="CZ90"/>
    </row>
    <row r="91" spans="1:111" hidden="1">
      <c r="A91" s="506" t="s">
        <v>208</v>
      </c>
      <c r="B91" s="493"/>
      <c r="C91" s="493"/>
      <c r="D91" s="493"/>
      <c r="E91" s="490"/>
      <c r="F91" s="490"/>
      <c r="G91" s="490"/>
      <c r="H91" s="493"/>
      <c r="I91" s="40"/>
      <c r="J91" s="40"/>
      <c r="K91" s="40"/>
      <c r="L91" s="40"/>
      <c r="R91">
        <f t="shared" si="40"/>
        <v>0</v>
      </c>
      <c r="V91">
        <f t="shared" si="41"/>
        <v>0</v>
      </c>
      <c r="Y91"/>
      <c r="Z91"/>
      <c r="AD91" s="4"/>
      <c r="AE91" s="228"/>
      <c r="AF91" s="228"/>
      <c r="AG91" s="228"/>
      <c r="AH91" s="228"/>
      <c r="CY91"/>
      <c r="CZ91"/>
      <c r="DF91" s="244"/>
      <c r="DG91" s="244"/>
    </row>
    <row r="92" spans="1:111" hidden="1">
      <c r="A92" s="490" t="s">
        <v>209</v>
      </c>
      <c r="B92" s="493"/>
      <c r="C92" s="493"/>
      <c r="D92" s="493"/>
      <c r="E92" s="490"/>
      <c r="F92" s="490"/>
      <c r="G92" s="490"/>
      <c r="H92" s="493"/>
      <c r="I92" s="40"/>
      <c r="J92" s="40"/>
      <c r="K92" s="40"/>
      <c r="L92" s="40"/>
      <c r="R92">
        <f t="shared" si="40"/>
        <v>0</v>
      </c>
      <c r="V92">
        <f t="shared" si="41"/>
        <v>0</v>
      </c>
      <c r="Y92"/>
      <c r="Z92"/>
      <c r="AD92" s="4"/>
      <c r="AE92" s="228"/>
      <c r="AF92" s="228"/>
      <c r="AG92" s="228"/>
      <c r="AH92" s="228"/>
      <c r="CY92"/>
      <c r="CZ92"/>
      <c r="DF92" s="244"/>
      <c r="DG92" s="244"/>
    </row>
    <row r="93" spans="1:111" hidden="1">
      <c r="A93" s="122" t="s">
        <v>136</v>
      </c>
      <c r="B93" s="40"/>
      <c r="C93" s="40"/>
      <c r="D93" s="40"/>
      <c r="E93" s="122"/>
      <c r="F93" s="122"/>
      <c r="G93" s="122"/>
      <c r="H93" s="40"/>
      <c r="I93" s="40"/>
      <c r="J93" s="40"/>
      <c r="K93" s="40"/>
      <c r="L93" s="40"/>
      <c r="R93">
        <f t="shared" si="40"/>
        <v>0</v>
      </c>
      <c r="V93">
        <f t="shared" si="41"/>
        <v>0</v>
      </c>
    </row>
    <row r="94" spans="1:111" hidden="1">
      <c r="A94" s="122" t="s">
        <v>211</v>
      </c>
      <c r="B94" s="40"/>
      <c r="C94" s="40"/>
      <c r="D94" s="40"/>
      <c r="E94" s="122"/>
      <c r="F94" s="122"/>
      <c r="G94" s="122"/>
      <c r="H94" s="40"/>
      <c r="I94" s="40"/>
      <c r="J94" s="40"/>
      <c r="K94" s="40"/>
      <c r="L94" s="40"/>
      <c r="R94">
        <f t="shared" si="40"/>
        <v>0</v>
      </c>
      <c r="V94">
        <f t="shared" si="41"/>
        <v>0</v>
      </c>
    </row>
    <row r="95" spans="1:111" hidden="1">
      <c r="A95" s="122" t="s">
        <v>137</v>
      </c>
      <c r="B95" s="40"/>
      <c r="C95" s="40"/>
      <c r="D95" s="40"/>
      <c r="E95" s="122"/>
      <c r="F95" s="122"/>
      <c r="G95" s="122"/>
      <c r="H95" s="40"/>
      <c r="I95" s="40"/>
      <c r="J95" s="40"/>
      <c r="K95" s="40"/>
      <c r="L95" s="40"/>
      <c r="R95">
        <f t="shared" si="40"/>
        <v>0</v>
      </c>
      <c r="V95">
        <f t="shared" si="41"/>
        <v>0</v>
      </c>
    </row>
    <row r="96" spans="1:111" hidden="1">
      <c r="A96" s="469" t="s">
        <v>138</v>
      </c>
      <c r="B96" s="40"/>
      <c r="C96" s="40"/>
      <c r="D96" s="40"/>
      <c r="E96" s="122"/>
      <c r="F96" s="122"/>
      <c r="G96" s="122"/>
      <c r="H96" s="40"/>
      <c r="I96" s="40"/>
      <c r="J96" s="40"/>
      <c r="K96" s="40"/>
      <c r="L96" s="40"/>
      <c r="R96">
        <f t="shared" si="40"/>
        <v>0</v>
      </c>
      <c r="V96">
        <f t="shared" si="41"/>
        <v>0</v>
      </c>
    </row>
    <row r="97" spans="1:22" hidden="1">
      <c r="A97" s="470" t="s">
        <v>139</v>
      </c>
      <c r="B97" s="40"/>
      <c r="C97" s="40"/>
      <c r="D97" s="40"/>
      <c r="E97" s="122"/>
      <c r="F97" s="122"/>
      <c r="G97" s="122"/>
      <c r="H97" s="40"/>
      <c r="I97" s="40"/>
      <c r="J97" s="40"/>
      <c r="K97" s="40"/>
      <c r="L97" s="40"/>
      <c r="R97">
        <f t="shared" si="40"/>
        <v>0</v>
      </c>
      <c r="V97">
        <f t="shared" si="41"/>
        <v>0</v>
      </c>
    </row>
    <row r="98" spans="1:22" hidden="1">
      <c r="A98" s="471" t="s">
        <v>128</v>
      </c>
      <c r="B98" s="40"/>
      <c r="C98" s="40"/>
      <c r="D98" s="40"/>
      <c r="E98" s="40"/>
      <c r="F98" s="40"/>
      <c r="G98" s="40"/>
      <c r="H98" s="40"/>
      <c r="I98" s="40"/>
      <c r="J98" s="40"/>
      <c r="K98" s="40"/>
      <c r="L98" s="40"/>
      <c r="R98">
        <f t="shared" si="40"/>
        <v>0</v>
      </c>
      <c r="V98">
        <f t="shared" si="41"/>
        <v>0</v>
      </c>
    </row>
    <row r="99" spans="1:22" hidden="1">
      <c r="A99" s="472" t="s">
        <v>120</v>
      </c>
      <c r="B99" s="40"/>
      <c r="C99" s="40"/>
      <c r="D99" s="40"/>
      <c r="E99" s="40"/>
      <c r="F99" s="40"/>
      <c r="G99" s="40"/>
      <c r="H99" s="40"/>
      <c r="I99" s="40"/>
      <c r="J99" s="40"/>
      <c r="K99" s="40"/>
      <c r="L99" s="40"/>
      <c r="R99">
        <f t="shared" si="40"/>
        <v>0</v>
      </c>
      <c r="V99">
        <f t="shared" si="41"/>
        <v>0</v>
      </c>
    </row>
    <row r="100" spans="1:22" hidden="1">
      <c r="A100" s="473" t="s">
        <v>210</v>
      </c>
      <c r="B100" s="40"/>
      <c r="C100" s="40"/>
      <c r="D100" s="40"/>
      <c r="E100" s="40"/>
      <c r="F100" s="40"/>
      <c r="G100" s="40"/>
      <c r="H100" s="40"/>
      <c r="I100" s="40"/>
      <c r="J100" s="40"/>
      <c r="K100" s="40"/>
      <c r="L100" s="439"/>
      <c r="R100">
        <f t="shared" si="40"/>
        <v>0</v>
      </c>
      <c r="V100">
        <f t="shared" si="41"/>
        <v>0</v>
      </c>
    </row>
    <row r="101" spans="1:22" hidden="1">
      <c r="A101" s="474" t="s">
        <v>119</v>
      </c>
      <c r="B101" s="40"/>
      <c r="C101" s="40"/>
      <c r="D101" s="40"/>
      <c r="E101" s="40"/>
      <c r="F101" s="40"/>
      <c r="G101" s="40"/>
      <c r="H101" s="40"/>
      <c r="I101" s="40"/>
      <c r="J101" s="40"/>
      <c r="K101" s="40"/>
      <c r="L101" s="439"/>
      <c r="R101">
        <f t="shared" si="40"/>
        <v>0</v>
      </c>
      <c r="V101">
        <f t="shared" si="41"/>
        <v>0</v>
      </c>
    </row>
    <row r="102" spans="1:22" hidden="1">
      <c r="A102" s="474" t="s">
        <v>415</v>
      </c>
      <c r="B102" s="40"/>
      <c r="C102" s="40"/>
      <c r="D102" s="40"/>
      <c r="E102" s="40"/>
      <c r="F102" s="40"/>
      <c r="G102" s="40"/>
      <c r="H102" s="40"/>
      <c r="I102" s="40"/>
      <c r="J102" s="40"/>
      <c r="K102" s="40"/>
      <c r="L102" s="439"/>
      <c r="R102">
        <f t="shared" si="40"/>
        <v>0</v>
      </c>
      <c r="V102">
        <f t="shared" si="41"/>
        <v>0</v>
      </c>
    </row>
    <row r="103" spans="1:22" hidden="1">
      <c r="A103" s="176" t="s">
        <v>160</v>
      </c>
      <c r="B103" s="40"/>
      <c r="C103" s="40"/>
      <c r="D103" s="40"/>
      <c r="E103" s="40"/>
      <c r="F103" s="40"/>
      <c r="G103" s="40"/>
      <c r="H103" s="40"/>
      <c r="I103" s="439"/>
      <c r="J103" s="40"/>
      <c r="K103" s="40"/>
      <c r="L103" s="439"/>
      <c r="R103">
        <f t="shared" si="40"/>
        <v>0</v>
      </c>
      <c r="V103">
        <f t="shared" si="41"/>
        <v>0</v>
      </c>
    </row>
    <row r="104" spans="1:22" hidden="1">
      <c r="A104" s="40"/>
      <c r="B104" s="40"/>
      <c r="C104" s="40"/>
      <c r="D104" s="40"/>
      <c r="E104" s="40"/>
      <c r="F104" s="40"/>
      <c r="G104" s="40"/>
      <c r="H104" s="40"/>
      <c r="I104" s="439"/>
      <c r="J104" s="439"/>
      <c r="K104" s="439"/>
      <c r="L104" s="439"/>
      <c r="R104">
        <f t="shared" si="40"/>
        <v>0</v>
      </c>
      <c r="V104">
        <f t="shared" si="41"/>
        <v>0</v>
      </c>
    </row>
    <row r="105" spans="1:22" ht="17" hidden="1" thickBot="1">
      <c r="A105" s="40"/>
      <c r="B105" s="40"/>
      <c r="C105" s="40"/>
      <c r="D105" s="40"/>
      <c r="E105" s="40"/>
      <c r="F105" s="40"/>
      <c r="G105" s="40"/>
      <c r="H105" s="40"/>
      <c r="I105" s="439"/>
      <c r="J105" s="439"/>
      <c r="K105" s="439"/>
      <c r="L105" s="439"/>
      <c r="R105">
        <f t="shared" si="40"/>
        <v>0</v>
      </c>
      <c r="V105">
        <f t="shared" si="41"/>
        <v>0</v>
      </c>
    </row>
    <row r="106" spans="1:22" ht="17" hidden="1" thickBot="1">
      <c r="A106" s="40"/>
      <c r="B106" s="40"/>
      <c r="C106" s="40"/>
      <c r="D106" s="40"/>
      <c r="E106" s="40"/>
      <c r="F106" s="40"/>
      <c r="G106" s="40"/>
      <c r="H106" s="40"/>
      <c r="I106" s="439"/>
      <c r="J106" s="439"/>
      <c r="K106" s="439"/>
      <c r="L106" s="439"/>
      <c r="R106" s="684">
        <f>SUM(R75:R105)+FB41</f>
        <v>0</v>
      </c>
      <c r="V106">
        <f>SUM(V75:V105)</f>
        <v>0</v>
      </c>
    </row>
    <row r="107" spans="1:22" hidden="1">
      <c r="A107" s="439"/>
      <c r="B107" s="439"/>
      <c r="C107" s="439"/>
      <c r="D107" s="439"/>
      <c r="E107" s="439"/>
      <c r="F107" s="439"/>
      <c r="G107" s="439"/>
      <c r="H107" s="439"/>
      <c r="I107" s="439"/>
      <c r="J107" s="439"/>
      <c r="K107" s="439"/>
      <c r="L107" s="439"/>
    </row>
    <row r="108" spans="1:22" ht="18" customHeight="1">
      <c r="A108" s="439"/>
      <c r="B108" s="439"/>
      <c r="C108" s="439"/>
      <c r="D108" s="439"/>
      <c r="E108" s="439"/>
      <c r="F108" s="439"/>
      <c r="G108" s="439"/>
      <c r="H108" s="439"/>
      <c r="I108" s="439"/>
      <c r="J108" s="439"/>
      <c r="K108" s="439"/>
      <c r="L108" s="439"/>
    </row>
    <row r="109" spans="1:22">
      <c r="A109" s="439"/>
      <c r="B109" s="439"/>
      <c r="C109" s="439"/>
      <c r="D109" s="439"/>
      <c r="E109" s="439"/>
      <c r="F109" s="439"/>
      <c r="G109" s="439"/>
      <c r="H109" s="439"/>
      <c r="I109" s="439"/>
      <c r="J109" s="439"/>
      <c r="K109" s="439"/>
      <c r="L109" s="439"/>
    </row>
    <row r="110" spans="1:22">
      <c r="A110" s="439"/>
      <c r="B110" s="439"/>
      <c r="C110" s="439"/>
      <c r="D110" s="439"/>
      <c r="E110" s="439"/>
      <c r="F110" s="439"/>
      <c r="G110" s="439"/>
      <c r="H110" s="439"/>
      <c r="I110" s="439"/>
      <c r="J110" s="439"/>
      <c r="K110" s="439"/>
      <c r="L110" s="439"/>
    </row>
    <row r="111" spans="1:22">
      <c r="A111" s="439"/>
      <c r="B111" s="439"/>
      <c r="C111" s="439"/>
      <c r="D111" s="439"/>
      <c r="E111" s="439"/>
      <c r="F111" s="439"/>
      <c r="G111" s="439"/>
      <c r="H111" s="439"/>
      <c r="I111" s="439"/>
      <c r="J111" s="439"/>
      <c r="K111" s="439"/>
      <c r="L111" s="439"/>
    </row>
    <row r="112" spans="1:22">
      <c r="A112" s="439"/>
      <c r="B112" s="439"/>
      <c r="C112" s="439"/>
      <c r="D112" s="439"/>
      <c r="E112" s="439"/>
      <c r="F112" s="439"/>
      <c r="G112" s="439"/>
      <c r="H112" s="439"/>
      <c r="I112" s="439"/>
      <c r="J112" s="439"/>
      <c r="K112" s="439"/>
      <c r="L112" s="439"/>
    </row>
    <row r="113" spans="1:12">
      <c r="A113" s="439"/>
      <c r="B113" s="439"/>
      <c r="C113" s="439"/>
      <c r="D113" s="439"/>
      <c r="E113" s="439"/>
      <c r="F113" s="439"/>
      <c r="G113" s="439"/>
      <c r="H113" s="439"/>
      <c r="I113" s="439"/>
      <c r="J113" s="439"/>
      <c r="K113" s="439"/>
      <c r="L113" s="439"/>
    </row>
    <row r="114" spans="1:12">
      <c r="A114" s="439"/>
      <c r="B114" s="439"/>
      <c r="C114" s="439"/>
      <c r="D114" s="439"/>
      <c r="E114" s="439"/>
      <c r="F114" s="439"/>
      <c r="G114" s="439"/>
      <c r="H114" s="439"/>
      <c r="I114" s="439"/>
      <c r="J114" s="439"/>
      <c r="K114" s="439"/>
      <c r="L114" s="439"/>
    </row>
    <row r="115" spans="1:12">
      <c r="A115" s="439"/>
      <c r="B115" s="439"/>
      <c r="C115" s="439"/>
      <c r="D115" s="439"/>
      <c r="E115" s="439"/>
      <c r="F115" s="439"/>
      <c r="G115" s="439"/>
      <c r="H115" s="439"/>
      <c r="I115" s="439"/>
      <c r="J115" s="439"/>
      <c r="K115" s="439"/>
      <c r="L115" s="439"/>
    </row>
    <row r="116" spans="1:12">
      <c r="A116" s="439"/>
      <c r="B116" s="439"/>
      <c r="C116" s="439"/>
      <c r="D116" s="439"/>
      <c r="E116" s="439"/>
      <c r="F116" s="439"/>
      <c r="G116" s="439"/>
      <c r="H116" s="439"/>
      <c r="I116" s="439"/>
      <c r="J116" s="439"/>
      <c r="K116" s="439"/>
      <c r="L116" s="439"/>
    </row>
    <row r="117" spans="1:12">
      <c r="A117" s="439"/>
      <c r="B117" s="439"/>
      <c r="C117" s="439"/>
      <c r="D117" s="439"/>
      <c r="E117" s="439"/>
      <c r="F117" s="439"/>
      <c r="G117" s="439"/>
      <c r="H117" s="439"/>
      <c r="I117" s="439"/>
      <c r="J117" s="439"/>
      <c r="K117" s="439"/>
      <c r="L117" s="439"/>
    </row>
    <row r="118" spans="1:12">
      <c r="A118" s="439"/>
      <c r="B118" s="439"/>
      <c r="C118" s="439"/>
      <c r="D118" s="439"/>
      <c r="E118" s="439"/>
      <c r="F118" s="439"/>
      <c r="G118" s="439"/>
      <c r="H118" s="439"/>
      <c r="I118" s="439"/>
      <c r="J118" s="439"/>
      <c r="K118" s="439"/>
      <c r="L118" s="439"/>
    </row>
    <row r="119" spans="1:12">
      <c r="A119" s="439"/>
      <c r="B119" s="439"/>
      <c r="C119" s="439"/>
      <c r="D119" s="439"/>
      <c r="E119" s="439"/>
      <c r="F119" s="439"/>
      <c r="G119" s="439"/>
      <c r="H119" s="439"/>
      <c r="I119" s="439"/>
      <c r="J119" s="439"/>
      <c r="K119" s="439"/>
      <c r="L119" s="439"/>
    </row>
    <row r="120" spans="1:12">
      <c r="A120" s="439"/>
      <c r="B120" s="439"/>
      <c r="C120" s="439"/>
      <c r="D120" s="439"/>
      <c r="E120" s="439"/>
      <c r="F120" s="439"/>
      <c r="G120" s="439"/>
      <c r="H120" s="439"/>
      <c r="I120" s="439"/>
      <c r="J120" s="439"/>
      <c r="K120" s="439"/>
      <c r="L120" s="439"/>
    </row>
    <row r="121" spans="1:12">
      <c r="A121" s="439"/>
      <c r="B121" s="439"/>
      <c r="C121" s="439"/>
      <c r="D121" s="439"/>
      <c r="E121" s="439"/>
      <c r="F121" s="439"/>
      <c r="G121" s="439"/>
      <c r="H121" s="439"/>
      <c r="I121" s="439"/>
      <c r="J121" s="439"/>
      <c r="K121" s="439"/>
      <c r="L121" s="439"/>
    </row>
    <row r="122" spans="1:12">
      <c r="A122" s="439"/>
      <c r="B122" s="439"/>
      <c r="C122" s="439"/>
      <c r="D122" s="439"/>
      <c r="E122" s="439"/>
      <c r="F122" s="439"/>
      <c r="G122" s="439"/>
      <c r="H122" s="439"/>
      <c r="I122" s="439"/>
      <c r="J122" s="439"/>
      <c r="K122" s="439"/>
      <c r="L122" s="439"/>
    </row>
    <row r="123" spans="1:12">
      <c r="A123" s="439"/>
      <c r="B123" s="439"/>
      <c r="C123" s="439"/>
      <c r="D123" s="439"/>
      <c r="E123" s="439"/>
      <c r="F123" s="439"/>
      <c r="G123" s="439"/>
      <c r="H123" s="439"/>
      <c r="I123" s="439"/>
      <c r="J123" s="439"/>
      <c r="K123" s="439"/>
      <c r="L123" s="439"/>
    </row>
    <row r="124" spans="1:12">
      <c r="A124" s="439"/>
      <c r="B124" s="439"/>
      <c r="C124" s="439"/>
      <c r="D124" s="439"/>
      <c r="E124" s="439"/>
      <c r="F124" s="439"/>
      <c r="G124" s="439"/>
      <c r="H124" s="439"/>
      <c r="I124" s="439"/>
      <c r="J124" s="439"/>
      <c r="K124" s="439"/>
      <c r="L124" s="439"/>
    </row>
    <row r="125" spans="1:12">
      <c r="A125" s="439"/>
      <c r="B125" s="439"/>
      <c r="C125" s="439"/>
      <c r="D125" s="439"/>
      <c r="E125" s="439"/>
      <c r="F125" s="439"/>
      <c r="G125" s="439"/>
      <c r="H125" s="439"/>
      <c r="I125" s="439"/>
      <c r="J125" s="439"/>
      <c r="K125" s="439"/>
      <c r="L125" s="439"/>
    </row>
    <row r="126" spans="1:12">
      <c r="A126" s="439"/>
      <c r="B126" s="439"/>
      <c r="C126" s="439"/>
      <c r="D126" s="439"/>
      <c r="E126" s="439"/>
      <c r="F126" s="439"/>
      <c r="G126" s="439"/>
      <c r="H126" s="439"/>
      <c r="I126" s="439"/>
      <c r="J126" s="439"/>
      <c r="K126" s="439"/>
      <c r="L126" s="439"/>
    </row>
    <row r="127" spans="1:12">
      <c r="A127" s="439"/>
      <c r="B127" s="439"/>
      <c r="C127" s="439"/>
      <c r="D127" s="439"/>
      <c r="E127" s="439"/>
      <c r="F127" s="439"/>
      <c r="G127" s="439"/>
      <c r="H127" s="439"/>
      <c r="I127" s="439"/>
      <c r="J127" s="439"/>
      <c r="K127" s="439"/>
      <c r="L127" s="439"/>
    </row>
    <row r="128" spans="1:12">
      <c r="A128" s="439"/>
      <c r="B128" s="439"/>
      <c r="C128" s="439"/>
      <c r="D128" s="439"/>
      <c r="E128" s="439"/>
      <c r="F128" s="439"/>
      <c r="G128" s="439"/>
      <c r="H128" s="439"/>
      <c r="I128" s="439"/>
      <c r="J128" s="439"/>
      <c r="K128" s="439"/>
      <c r="L128" s="439"/>
    </row>
    <row r="129" spans="1:12">
      <c r="A129" s="439"/>
      <c r="B129" s="439"/>
      <c r="C129" s="439"/>
      <c r="D129" s="439"/>
      <c r="E129" s="439"/>
      <c r="F129" s="439"/>
      <c r="G129" s="439"/>
      <c r="H129" s="439"/>
      <c r="I129" s="439"/>
      <c r="J129" s="439"/>
      <c r="K129" s="439"/>
      <c r="L129" s="439"/>
    </row>
    <row r="130" spans="1:12">
      <c r="A130" s="439"/>
      <c r="B130" s="439"/>
      <c r="C130" s="439"/>
      <c r="D130" s="439"/>
      <c r="E130" s="439"/>
      <c r="F130" s="439"/>
      <c r="G130" s="439"/>
      <c r="H130" s="439"/>
      <c r="I130" s="439"/>
      <c r="J130" s="439"/>
      <c r="K130" s="439"/>
      <c r="L130" s="439"/>
    </row>
    <row r="131" spans="1:12">
      <c r="A131" s="439"/>
      <c r="B131" s="439"/>
      <c r="C131" s="439"/>
      <c r="D131" s="439"/>
      <c r="E131" s="439"/>
      <c r="F131" s="439"/>
      <c r="G131" s="439"/>
      <c r="H131" s="439"/>
      <c r="I131" s="439"/>
      <c r="J131" s="439"/>
      <c r="K131" s="439"/>
      <c r="L131" s="439"/>
    </row>
    <row r="132" spans="1:12">
      <c r="A132" s="439"/>
      <c r="B132" s="439"/>
      <c r="C132" s="439"/>
      <c r="D132" s="439"/>
      <c r="E132" s="439"/>
      <c r="F132" s="439"/>
      <c r="G132" s="439"/>
      <c r="H132" s="439"/>
      <c r="I132" s="439"/>
      <c r="J132" s="439"/>
      <c r="K132" s="439"/>
      <c r="L132" s="439"/>
    </row>
    <row r="133" spans="1:12">
      <c r="A133" s="439"/>
      <c r="B133" s="439"/>
      <c r="C133" s="439"/>
      <c r="D133" s="439"/>
      <c r="E133" s="439"/>
      <c r="F133" s="439"/>
      <c r="G133" s="439"/>
      <c r="H133" s="439"/>
      <c r="I133" s="439"/>
      <c r="J133" s="439"/>
      <c r="K133" s="439"/>
      <c r="L133" s="439"/>
    </row>
    <row r="134" spans="1:12">
      <c r="A134" s="439"/>
      <c r="B134" s="439"/>
      <c r="C134" s="439"/>
      <c r="D134" s="439"/>
      <c r="E134" s="439"/>
      <c r="F134" s="439"/>
      <c r="G134" s="439"/>
      <c r="H134" s="439"/>
      <c r="I134" s="439"/>
      <c r="J134" s="439"/>
      <c r="K134" s="439"/>
      <c r="L134" s="439"/>
    </row>
    <row r="135" spans="1:12">
      <c r="A135" s="439"/>
      <c r="B135" s="439"/>
      <c r="C135" s="439"/>
      <c r="D135" s="439"/>
      <c r="E135" s="439"/>
      <c r="F135" s="439"/>
      <c r="G135" s="439"/>
      <c r="H135" s="439"/>
      <c r="I135" s="439"/>
      <c r="J135" s="439"/>
      <c r="K135" s="439"/>
      <c r="L135" s="439"/>
    </row>
    <row r="136" spans="1:12">
      <c r="A136" s="439"/>
      <c r="B136" s="439"/>
      <c r="C136" s="439"/>
      <c r="D136" s="439"/>
      <c r="E136" s="439"/>
      <c r="F136" s="439"/>
      <c r="G136" s="439"/>
      <c r="H136" s="439"/>
      <c r="I136" s="439"/>
      <c r="J136" s="439"/>
      <c r="K136" s="439"/>
    </row>
    <row r="137" spans="1:12">
      <c r="A137" s="439"/>
      <c r="B137" s="439"/>
      <c r="C137" s="439"/>
      <c r="D137" s="439"/>
      <c r="E137" s="439"/>
      <c r="F137" s="439"/>
      <c r="G137" s="439"/>
      <c r="H137" s="439"/>
      <c r="I137" s="439"/>
      <c r="J137" s="439"/>
      <c r="K137" s="439"/>
    </row>
    <row r="138" spans="1:12">
      <c r="I138" s="439"/>
      <c r="J138" s="439"/>
      <c r="K138" s="439"/>
    </row>
    <row r="139" spans="1:12">
      <c r="J139" s="439"/>
      <c r="K139" s="439"/>
    </row>
  </sheetData>
  <sheetProtection sheet="1" objects="1" scenarios="1"/>
  <mergeCells count="174">
    <mergeCell ref="FQ9:FR9"/>
    <mergeCell ref="DS9:DV9"/>
    <mergeCell ref="DZ9:EB9"/>
    <mergeCell ref="EG9:EI9"/>
    <mergeCell ref="EM9:EN9"/>
    <mergeCell ref="EQ9:ER9"/>
    <mergeCell ref="EU9:EV9"/>
    <mergeCell ref="FC9:FD9"/>
    <mergeCell ref="FG9:FH9"/>
    <mergeCell ref="FK9:FL9"/>
    <mergeCell ref="DO7:DV7"/>
    <mergeCell ref="DW7:EB7"/>
    <mergeCell ref="EC7:EJ7"/>
    <mergeCell ref="EK7:EN7"/>
    <mergeCell ref="EO7:ER7"/>
    <mergeCell ref="ES7:EV7"/>
    <mergeCell ref="FA7:FD7"/>
    <mergeCell ref="FE7:FH7"/>
    <mergeCell ref="FI7:FL7"/>
    <mergeCell ref="M54:U54"/>
    <mergeCell ref="V54:X54"/>
    <mergeCell ref="M48:X48"/>
    <mergeCell ref="M49:U49"/>
    <mergeCell ref="V49:X49"/>
    <mergeCell ref="M50:U50"/>
    <mergeCell ref="V50:X50"/>
    <mergeCell ref="M51:U51"/>
    <mergeCell ref="V51:X51"/>
    <mergeCell ref="M52:U52"/>
    <mergeCell ref="V52:X52"/>
    <mergeCell ref="A8:D9"/>
    <mergeCell ref="I50:K50"/>
    <mergeCell ref="A50:H50"/>
    <mergeCell ref="I52:K52"/>
    <mergeCell ref="M43:X43"/>
    <mergeCell ref="M44:U44"/>
    <mergeCell ref="V44:X44"/>
    <mergeCell ref="M45:U45"/>
    <mergeCell ref="V45:X45"/>
    <mergeCell ref="M46:U46"/>
    <mergeCell ref="V46:X46"/>
    <mergeCell ref="M47:U47"/>
    <mergeCell ref="V47:X47"/>
    <mergeCell ref="E33:G33"/>
    <mergeCell ref="E30:G30"/>
    <mergeCell ref="E19:G19"/>
    <mergeCell ref="E20:G20"/>
    <mergeCell ref="E21:G21"/>
    <mergeCell ref="E22:G22"/>
    <mergeCell ref="E23:G23"/>
    <mergeCell ref="E24:G24"/>
    <mergeCell ref="E13:G13"/>
    <mergeCell ref="E14:G14"/>
    <mergeCell ref="E39:G39"/>
    <mergeCell ref="A67:C67"/>
    <mergeCell ref="A43:G43"/>
    <mergeCell ref="I43:K43"/>
    <mergeCell ref="A45:G45"/>
    <mergeCell ref="I45:K45"/>
    <mergeCell ref="A47:G47"/>
    <mergeCell ref="A51:H51"/>
    <mergeCell ref="I51:K51"/>
    <mergeCell ref="A41:I41"/>
    <mergeCell ref="A66:C66"/>
    <mergeCell ref="A44:G44"/>
    <mergeCell ref="I44:K44"/>
    <mergeCell ref="A65:C65"/>
    <mergeCell ref="I47:K47"/>
    <mergeCell ref="A48:G48"/>
    <mergeCell ref="I48:K48"/>
    <mergeCell ref="A46:G46"/>
    <mergeCell ref="I46:K46"/>
    <mergeCell ref="I49:K49"/>
    <mergeCell ref="A49:H49"/>
    <mergeCell ref="I54:K54"/>
    <mergeCell ref="I55:K55"/>
    <mergeCell ref="A54:G55"/>
    <mergeCell ref="A57:B57"/>
    <mergeCell ref="E7:G9"/>
    <mergeCell ref="E40:G40"/>
    <mergeCell ref="BG7:BK7"/>
    <mergeCell ref="BL7:BP7"/>
    <mergeCell ref="BQ7:BU7"/>
    <mergeCell ref="BV7:BZ7"/>
    <mergeCell ref="E37:G37"/>
    <mergeCell ref="E38:G38"/>
    <mergeCell ref="E31:G31"/>
    <mergeCell ref="E32:G32"/>
    <mergeCell ref="E34:G34"/>
    <mergeCell ref="E35:G35"/>
    <mergeCell ref="E36:G36"/>
    <mergeCell ref="E25:G25"/>
    <mergeCell ref="E26:G26"/>
    <mergeCell ref="E27:G27"/>
    <mergeCell ref="E28:G28"/>
    <mergeCell ref="AA7:AE7"/>
    <mergeCell ref="BC7:BF7"/>
    <mergeCell ref="H8:H9"/>
    <mergeCell ref="O7:O8"/>
    <mergeCell ref="S7:X7"/>
    <mergeCell ref="S9:U9"/>
    <mergeCell ref="E29:G29"/>
    <mergeCell ref="I62:K62"/>
    <mergeCell ref="A5:D5"/>
    <mergeCell ref="E2:O2"/>
    <mergeCell ref="E16:G16"/>
    <mergeCell ref="E17:G17"/>
    <mergeCell ref="E18:G18"/>
    <mergeCell ref="E5:G5"/>
    <mergeCell ref="E10:G10"/>
    <mergeCell ref="E11:G11"/>
    <mergeCell ref="E12:G12"/>
    <mergeCell ref="N7:N8"/>
    <mergeCell ref="E3:O3"/>
    <mergeCell ref="A2:D3"/>
    <mergeCell ref="A4:X4"/>
    <mergeCell ref="S6:X6"/>
    <mergeCell ref="V9:X9"/>
    <mergeCell ref="K5:L5"/>
    <mergeCell ref="E15:G15"/>
    <mergeCell ref="A6:R6"/>
    <mergeCell ref="K7:L7"/>
    <mergeCell ref="I9:J9"/>
    <mergeCell ref="I7:I8"/>
    <mergeCell ref="J7:J8"/>
    <mergeCell ref="K9:R9"/>
    <mergeCell ref="CN7:CR7"/>
    <mergeCell ref="CS7:CW7"/>
    <mergeCell ref="Q7:Q8"/>
    <mergeCell ref="R7:R8"/>
    <mergeCell ref="A62:G62"/>
    <mergeCell ref="I58:K58"/>
    <mergeCell ref="I59:K59"/>
    <mergeCell ref="I60:K60"/>
    <mergeCell ref="I61:K61"/>
    <mergeCell ref="C57:D57"/>
    <mergeCell ref="E57:G57"/>
    <mergeCell ref="A58:B58"/>
    <mergeCell ref="A59:B59"/>
    <mergeCell ref="A60:B60"/>
    <mergeCell ref="A61:B61"/>
    <mergeCell ref="C58:D58"/>
    <mergeCell ref="C59:D59"/>
    <mergeCell ref="C60:D60"/>
    <mergeCell ref="C61:D61"/>
    <mergeCell ref="E58:G58"/>
    <mergeCell ref="E59:G59"/>
    <mergeCell ref="E60:G60"/>
    <mergeCell ref="E61:G61"/>
    <mergeCell ref="H57:K57"/>
    <mergeCell ref="A56:K56"/>
    <mergeCell ref="M53:U53"/>
    <mergeCell ref="V53:X53"/>
    <mergeCell ref="EW7:EZ7"/>
    <mergeCell ref="EY9:EZ9"/>
    <mergeCell ref="FI4:GC4"/>
    <mergeCell ref="FI5:FL5"/>
    <mergeCell ref="FO5:FR5"/>
    <mergeCell ref="FI6:FR6"/>
    <mergeCell ref="FM7:FN7"/>
    <mergeCell ref="FO7:FR7"/>
    <mergeCell ref="FS7:FT7"/>
    <mergeCell ref="FV7:FW7"/>
    <mergeCell ref="FX7:FY7"/>
    <mergeCell ref="FZ7:GA7"/>
    <mergeCell ref="GB7:GC7"/>
    <mergeCell ref="DA7:DE7"/>
    <mergeCell ref="P7:P8"/>
    <mergeCell ref="AG7:AK7"/>
    <mergeCell ref="AL7:AP7"/>
    <mergeCell ref="AQ7:AU7"/>
    <mergeCell ref="AV7:AZ7"/>
    <mergeCell ref="CD7:CH7"/>
    <mergeCell ref="CI7:CM7"/>
  </mergeCells>
  <phoneticPr fontId="5" type="noConversion"/>
  <conditionalFormatting sqref="D10:H32 A10:C40 D33:E33 H33 D34:H40">
    <cfRule type="expression" dxfId="926" priority="115">
      <formula>OR($C10="SH-dag")</formula>
    </cfRule>
    <cfRule type="expression" dxfId="925" priority="122" stopIfTrue="1">
      <formula>OR($C10="skoledag")</formula>
    </cfRule>
    <cfRule type="expression" dxfId="924" priority="121">
      <formula>OR($C10="weekend")</formula>
    </cfRule>
    <cfRule type="expression" dxfId="923" priority="6">
      <formula>OR($C10="Skema 1")</formula>
    </cfRule>
    <cfRule type="expression" dxfId="922" priority="120">
      <formula>OR($C10="feriedag")</formula>
    </cfRule>
    <cfRule type="expression" dxfId="921" priority="119">
      <formula>OR($C10="fagdag")</formula>
    </cfRule>
    <cfRule type="expression" dxfId="920" priority="118">
      <formula>OR($C10="emnedag")</formula>
    </cfRule>
    <cfRule type="expression" dxfId="919" priority="117">
      <formula>OR($C10="lejrskole")</formula>
    </cfRule>
    <cfRule type="expression" dxfId="918" priority="116">
      <formula>OR($C10="ekskursion")</formula>
    </cfRule>
    <cfRule type="expression" dxfId="917" priority="114">
      <formula>OR($C10="nul-dag")</formula>
    </cfRule>
    <cfRule type="expression" dxfId="916" priority="113">
      <formula>OR($C10="pæd.dag")</formula>
    </cfRule>
    <cfRule type="expression" dxfId="915" priority="112">
      <formula>OR($C10="Ikke relevant")</formula>
    </cfRule>
    <cfRule type="expression" dxfId="914" priority="94">
      <formula>OR($C10="Orlov")</formula>
    </cfRule>
    <cfRule type="expression" dxfId="913" priority="95">
      <formula>OR($C10="skema 2")</formula>
    </cfRule>
    <cfRule type="expression" dxfId="912" priority="96">
      <formula>OR($C10="Skema 3")</formula>
    </cfRule>
    <cfRule type="expression" dxfId="911" priority="97">
      <formula>OR($C10="Skema 4")</formula>
    </cfRule>
  </conditionalFormatting>
  <conditionalFormatting sqref="E21">
    <cfRule type="expression" dxfId="910" priority="129">
      <formula>OR($D20="fagdag")</formula>
    </cfRule>
    <cfRule type="expression" dxfId="909" priority="128">
      <formula>OR($D20="emnedag")</formula>
    </cfRule>
    <cfRule type="expression" dxfId="908" priority="127">
      <formula>OR($D20="lejrskole")</formula>
    </cfRule>
    <cfRule type="expression" dxfId="907" priority="130">
      <formula>OR($D20="feriedag")</formula>
    </cfRule>
    <cfRule type="expression" dxfId="906" priority="126">
      <formula>OR($D20="ekskursion")</formula>
    </cfRule>
    <cfRule type="expression" dxfId="905" priority="125">
      <formula>OR($D20="SH-dag")</formula>
    </cfRule>
    <cfRule type="expression" dxfId="904" priority="131">
      <formula>OR($D20="weekend")</formula>
    </cfRule>
    <cfRule type="expression" dxfId="903" priority="132" stopIfTrue="1">
      <formula>OR($D20="skoledag")</formula>
    </cfRule>
    <cfRule type="expression" dxfId="902" priority="133">
      <formula>OR($D20="Ikke relevant")</formula>
    </cfRule>
    <cfRule type="expression" dxfId="901" priority="124">
      <formula>OR($D20="nul-dag")</formula>
    </cfRule>
    <cfRule type="expression" dxfId="900" priority="123">
      <formula>OR($D20="pæd.dag")</formula>
    </cfRule>
  </conditionalFormatting>
  <conditionalFormatting sqref="H58:H61">
    <cfRule type="expression" dxfId="899" priority="3">
      <formula>OR($A58&gt;0,)</formula>
    </cfRule>
  </conditionalFormatting>
  <conditionalFormatting sqref="I58:I61">
    <cfRule type="expression" dxfId="898" priority="4">
      <formula>OR($C58&gt;0,)</formula>
    </cfRule>
  </conditionalFormatting>
  <conditionalFormatting sqref="K10:K40">
    <cfRule type="expression" dxfId="897" priority="55">
      <formula>OR($C10="Pæd.dag",)</formula>
    </cfRule>
  </conditionalFormatting>
  <conditionalFormatting sqref="K10:L40">
    <cfRule type="expression" dxfId="896" priority="56">
      <formula>OR($C10="Lejrskole",)</formula>
    </cfRule>
    <cfRule type="expression" dxfId="895" priority="57">
      <formula>OR($C10="Ekskursion",)</formula>
    </cfRule>
  </conditionalFormatting>
  <conditionalFormatting sqref="K10:M40">
    <cfRule type="expression" dxfId="894" priority="53">
      <formula>OR($C10="fagdag",)</formula>
    </cfRule>
    <cfRule type="expression" dxfId="893" priority="54">
      <formula>OR($C10="emnedag",)</formula>
    </cfRule>
  </conditionalFormatting>
  <conditionalFormatting sqref="R10:R40">
    <cfRule type="expression" dxfId="892" priority="558">
      <formula>OR($H10&gt;"0",)</formula>
    </cfRule>
  </conditionalFormatting>
  <conditionalFormatting sqref="V10:V40">
    <cfRule type="expression" dxfId="891" priority="47">
      <formula>OR($S10="X",)</formula>
    </cfRule>
  </conditionalFormatting>
  <conditionalFormatting sqref="V50:X53">
    <cfRule type="expression" dxfId="890" priority="2">
      <formula>OR($M50&gt;0,)</formula>
    </cfRule>
  </conditionalFormatting>
  <conditionalFormatting sqref="W10:W40">
    <cfRule type="expression" dxfId="889" priority="46">
      <formula>OR($T10="X",)</formula>
    </cfRule>
  </conditionalFormatting>
  <conditionalFormatting sqref="X10:X40">
    <cfRule type="expression" dxfId="888" priority="7">
      <formula>OR($U10="X",)</formula>
    </cfRule>
  </conditionalFormatting>
  <dataValidations count="4">
    <dataValidation type="list" allowBlank="1" showInputMessage="1" showErrorMessage="1" sqref="U10:U38 S10:T40 A58:D61" xr:uid="{2F74D57A-A412-BB4D-ABB3-024D4B21666C}">
      <formula1>$W$1:$W$2</formula1>
    </dataValidation>
    <dataValidation type="list" allowBlank="1" showInputMessage="1" sqref="C10:C40" xr:uid="{31E212A7-3A53-3C40-B063-4A6127A2D3DE}">
      <formula1>$A$89:$A$103</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2:I13 I19:I20 I26:I27 I33:I34 I40" xr:uid="{38314C46-0B60-7140-A2EE-960121A27BEA}">
      <formula1>$W$1:$W$2</formula1>
    </dataValidation>
    <dataValidation type="list" allowBlank="1" showInputMessage="1" showErrorMessage="1" promptTitle="OBS:" prompt="Ved arrangementer med overnatning ydes istedet for ulempe- og weekendgodtgørelse på hhv. 25% og 50% faste tillæg pr. påbegyndt dag. " sqref="J10:J40" xr:uid="{98C03032-0D97-9B4A-B9D6-6EA00CB7F37B}">
      <formula1>$W$1:$W$2</formula1>
    </dataValidation>
  </dataValidations>
  <pageMargins left="0.7" right="0.7" top="0.75" bottom="0.75" header="0.3" footer="0.3"/>
  <pageSetup paperSize="9" scale="59" orientation="landscape" horizontalDpi="0" verticalDpi="0"/>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GC110"/>
  <sheetViews>
    <sheetView zoomScale="90" zoomScaleNormal="90" workbookViewId="0">
      <selection activeCell="GC24" sqref="Y1:GC104857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85" width="10.83203125" hidden="1" customWidth="1"/>
    <col min="186" max="187" width="10.83203125"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89"/>
      <c r="Y1" s="242"/>
      <c r="Z1" s="89"/>
      <c r="AB1" s="89"/>
      <c r="AC1" s="89"/>
      <c r="AH1" s="89"/>
      <c r="AI1" s="89"/>
      <c r="CX1" s="244"/>
      <c r="CZ1"/>
    </row>
    <row r="2" spans="1:185" ht="21" thickBot="1">
      <c r="A2" s="91">
        <v>9</v>
      </c>
      <c r="B2" s="1101"/>
      <c r="C2" s="1101"/>
      <c r="D2" s="1101"/>
      <c r="E2" s="1101"/>
      <c r="F2" s="89"/>
      <c r="G2" s="89"/>
      <c r="H2" s="275"/>
      <c r="I2" s="274"/>
      <c r="J2" s="227"/>
      <c r="K2" s="227"/>
      <c r="L2" s="227"/>
      <c r="M2" s="227"/>
      <c r="N2" s="227"/>
      <c r="O2" s="227"/>
      <c r="P2" s="89"/>
      <c r="Q2" s="89"/>
      <c r="R2" s="89"/>
      <c r="S2" s="89"/>
      <c r="T2" s="89"/>
      <c r="U2" s="89"/>
      <c r="V2" s="89"/>
      <c r="W2" s="122" t="s">
        <v>31</v>
      </c>
      <c r="X2" s="122"/>
      <c r="Y2" s="242"/>
      <c r="Z2" s="89"/>
      <c r="AB2" s="89"/>
      <c r="AC2" s="89"/>
      <c r="AH2" s="89"/>
      <c r="AI2" s="89"/>
      <c r="CX2" s="244"/>
      <c r="CZ2"/>
    </row>
    <row r="3" spans="1:185" ht="17" thickBot="1">
      <c r="A3" s="1102" t="s">
        <v>309</v>
      </c>
      <c r="B3" s="1103"/>
      <c r="C3" s="1103"/>
      <c r="D3" s="1103"/>
      <c r="E3" s="1103"/>
      <c r="F3" s="1103"/>
      <c r="G3" s="1103"/>
      <c r="H3" s="1103"/>
      <c r="I3" s="1103"/>
      <c r="J3" s="1103"/>
      <c r="K3" s="1103"/>
      <c r="L3" s="1103"/>
      <c r="M3" s="1103"/>
      <c r="N3" s="1103"/>
      <c r="O3" s="1103"/>
      <c r="P3" s="1103"/>
      <c r="Q3" s="1103"/>
      <c r="R3" s="1103"/>
      <c r="S3" s="1103"/>
      <c r="T3" s="1103"/>
      <c r="U3" s="1103"/>
      <c r="V3" s="1103"/>
      <c r="W3" s="1103"/>
      <c r="X3" s="1104"/>
      <c r="Y3"/>
      <c r="Z3" s="89"/>
      <c r="AA3" s="89"/>
      <c r="AE3" s="89"/>
      <c r="AF3" s="89"/>
      <c r="AG3" s="89"/>
      <c r="CV3" s="244"/>
      <c r="CW3" s="244"/>
      <c r="CY3"/>
      <c r="CZ3"/>
      <c r="FI3" s="893" t="s">
        <v>623</v>
      </c>
      <c r="FJ3" s="894"/>
      <c r="FK3" s="894"/>
      <c r="FL3" s="894"/>
      <c r="FM3" s="894"/>
      <c r="FN3" s="894"/>
      <c r="FO3" s="894"/>
      <c r="FP3" s="894"/>
      <c r="FQ3" s="894"/>
      <c r="FR3" s="894"/>
      <c r="FS3" s="894"/>
      <c r="FT3" s="894"/>
      <c r="FU3" s="894"/>
      <c r="FV3" s="894"/>
      <c r="FW3" s="894"/>
      <c r="FX3" s="894"/>
      <c r="FY3" s="894"/>
      <c r="FZ3" s="894"/>
      <c r="GA3" s="894"/>
      <c r="GB3" s="894"/>
      <c r="GC3" s="895"/>
    </row>
    <row r="4" spans="1:185" ht="254" customHeight="1" thickBot="1">
      <c r="A4" s="930" t="s">
        <v>431</v>
      </c>
      <c r="B4" s="931"/>
      <c r="C4" s="931"/>
      <c r="D4" s="931"/>
      <c r="E4" s="935" t="s">
        <v>310</v>
      </c>
      <c r="F4" s="935"/>
      <c r="G4" s="935"/>
      <c r="H4" s="276" t="s">
        <v>413</v>
      </c>
      <c r="I4" s="432" t="s">
        <v>466</v>
      </c>
      <c r="J4" s="432" t="s">
        <v>467</v>
      </c>
      <c r="K4" s="946" t="s">
        <v>514</v>
      </c>
      <c r="L4" s="946"/>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5" t="s">
        <v>621</v>
      </c>
      <c r="FJ4" s="745"/>
      <c r="FK4" s="745"/>
      <c r="FL4" s="745"/>
      <c r="FM4" t="s">
        <v>614</v>
      </c>
      <c r="FO4" s="745" t="s">
        <v>620</v>
      </c>
      <c r="FP4" s="745"/>
      <c r="FQ4" s="745"/>
      <c r="FR4" s="745"/>
    </row>
    <row r="5" spans="1:185" ht="26" customHeight="1" thickBot="1">
      <c r="A5" s="947" t="str">
        <f>""&amp;A7&amp;" måneds kalender for: "&amp;Stamoplysninger!E8&amp;". Måneden vedr. normperioden: "&amp;Stamoplysninger!E11&amp;" - "&amp;Stamoplysninger!G11&amp;"."</f>
        <v>September måneds kalender for: . Måneden vedr. normperioden:  - .</v>
      </c>
      <c r="B5" s="948"/>
      <c r="C5" s="948"/>
      <c r="D5" s="948"/>
      <c r="E5" s="948"/>
      <c r="F5" s="948"/>
      <c r="G5" s="948"/>
      <c r="H5" s="948"/>
      <c r="I5" s="948"/>
      <c r="J5" s="948"/>
      <c r="K5" s="948"/>
      <c r="L5" s="948"/>
      <c r="M5" s="948"/>
      <c r="N5" s="948"/>
      <c r="O5" s="948"/>
      <c r="P5" s="948"/>
      <c r="Q5" s="948"/>
      <c r="R5" s="948"/>
      <c r="S5" s="940" t="s">
        <v>396</v>
      </c>
      <c r="T5" s="941"/>
      <c r="U5" s="941"/>
      <c r="V5" s="941"/>
      <c r="W5" s="941"/>
      <c r="X5" s="942"/>
      <c r="Y5" s="242"/>
      <c r="Z5" s="89"/>
      <c r="AB5" s="89"/>
      <c r="AC5" s="89"/>
      <c r="AH5" s="89"/>
      <c r="AI5" s="89"/>
      <c r="CX5" s="244"/>
      <c r="CZ5"/>
      <c r="FI5" s="896" t="s">
        <v>607</v>
      </c>
      <c r="FJ5" s="896"/>
      <c r="FK5" s="896"/>
      <c r="FL5" s="896"/>
      <c r="FM5" s="896"/>
      <c r="FN5" s="896"/>
      <c r="FO5" s="896"/>
      <c r="FP5" s="896"/>
      <c r="FQ5" s="896"/>
      <c r="FR5" s="896"/>
      <c r="FU5" t="s">
        <v>622</v>
      </c>
      <c r="FV5" t="s">
        <v>615</v>
      </c>
      <c r="FX5" t="s">
        <v>616</v>
      </c>
      <c r="FZ5" t="s">
        <v>617</v>
      </c>
      <c r="GB5" s="518" t="s">
        <v>618</v>
      </c>
    </row>
    <row r="6" spans="1:185" ht="47" customHeight="1">
      <c r="A6" s="324">
        <f>August!A7</f>
        <v>2024</v>
      </c>
      <c r="B6" s="238"/>
      <c r="C6" s="239"/>
      <c r="D6" s="240"/>
      <c r="E6" s="955" t="s">
        <v>470</v>
      </c>
      <c r="F6" s="956"/>
      <c r="G6" s="957"/>
      <c r="H6" s="321" t="s">
        <v>323</v>
      </c>
      <c r="I6" s="903" t="s">
        <v>465</v>
      </c>
      <c r="J6" s="953" t="s">
        <v>486</v>
      </c>
      <c r="K6" s="949" t="s">
        <v>302</v>
      </c>
      <c r="L6" s="950"/>
      <c r="M6" s="322" t="s">
        <v>303</v>
      </c>
      <c r="N6" s="903" t="s">
        <v>446</v>
      </c>
      <c r="O6" s="903" t="s">
        <v>307</v>
      </c>
      <c r="P6" s="903" t="s">
        <v>455</v>
      </c>
      <c r="Q6" s="903" t="s">
        <v>386</v>
      </c>
      <c r="R6" s="906" t="s">
        <v>515</v>
      </c>
      <c r="S6" s="968" t="s">
        <v>304</v>
      </c>
      <c r="T6" s="969"/>
      <c r="U6" s="969"/>
      <c r="V6" s="969"/>
      <c r="W6" s="969"/>
      <c r="X6" s="970"/>
      <c r="Y6" s="211"/>
      <c r="Z6" s="211"/>
      <c r="AA6" s="905" t="s">
        <v>261</v>
      </c>
      <c r="AB6" s="905"/>
      <c r="AC6" s="905"/>
      <c r="AD6" s="905"/>
      <c r="AE6" s="905"/>
      <c r="AF6" s="208"/>
      <c r="AG6" s="905" t="s">
        <v>222</v>
      </c>
      <c r="AH6" s="905"/>
      <c r="AI6" s="905"/>
      <c r="AJ6" s="905"/>
      <c r="AK6" s="905"/>
      <c r="AL6" s="905" t="s">
        <v>223</v>
      </c>
      <c r="AM6" s="905"/>
      <c r="AN6" s="905"/>
      <c r="AO6" s="905"/>
      <c r="AP6" s="905"/>
      <c r="AQ6" s="905" t="s">
        <v>224</v>
      </c>
      <c r="AR6" s="905"/>
      <c r="AS6" s="905"/>
      <c r="AT6" s="905"/>
      <c r="AU6" s="905"/>
      <c r="AV6" s="905" t="s">
        <v>225</v>
      </c>
      <c r="AW6" s="905"/>
      <c r="AX6" s="905"/>
      <c r="AY6" s="905"/>
      <c r="AZ6" s="905"/>
      <c r="BA6" s="295"/>
      <c r="BB6" s="208"/>
      <c r="BC6" s="905" t="s">
        <v>264</v>
      </c>
      <c r="BD6" s="905"/>
      <c r="BE6" s="905"/>
      <c r="BF6" s="905"/>
      <c r="BG6" s="905" t="s">
        <v>227</v>
      </c>
      <c r="BH6" s="905"/>
      <c r="BI6" s="905"/>
      <c r="BJ6" s="905"/>
      <c r="BK6" s="905"/>
      <c r="BL6" s="905" t="s">
        <v>228</v>
      </c>
      <c r="BM6" s="905"/>
      <c r="BN6" s="905"/>
      <c r="BO6" s="905"/>
      <c r="BP6" s="905"/>
      <c r="BQ6" s="905" t="s">
        <v>229</v>
      </c>
      <c r="BR6" s="905"/>
      <c r="BS6" s="905"/>
      <c r="BT6" s="905"/>
      <c r="BU6" s="905"/>
      <c r="BV6" s="905" t="s">
        <v>230</v>
      </c>
      <c r="BW6" s="905"/>
      <c r="BX6" s="905"/>
      <c r="BY6" s="905"/>
      <c r="BZ6" s="905"/>
      <c r="CD6" s="905" t="s">
        <v>265</v>
      </c>
      <c r="CE6" s="905"/>
      <c r="CF6" s="905"/>
      <c r="CG6" s="905"/>
      <c r="CH6" s="905"/>
      <c r="CI6" s="905" t="s">
        <v>267</v>
      </c>
      <c r="CJ6" s="905"/>
      <c r="CK6" s="905"/>
      <c r="CL6" s="905"/>
      <c r="CM6" s="905"/>
      <c r="CN6" s="905" t="s">
        <v>266</v>
      </c>
      <c r="CO6" s="905"/>
      <c r="CP6" s="905"/>
      <c r="CQ6" s="905"/>
      <c r="CR6" s="905"/>
      <c r="CS6" s="905" t="s">
        <v>268</v>
      </c>
      <c r="CT6" s="905"/>
      <c r="CU6" s="905"/>
      <c r="CV6" s="905"/>
      <c r="CW6" s="905"/>
      <c r="CX6" s="244"/>
      <c r="CZ6"/>
      <c r="DA6" s="745" t="s">
        <v>212</v>
      </c>
      <c r="DB6" s="745"/>
      <c r="DC6" s="745"/>
      <c r="DD6" s="745"/>
      <c r="DE6" s="745"/>
      <c r="DO6" s="1064" t="s">
        <v>319</v>
      </c>
      <c r="DP6" s="1065"/>
      <c r="DQ6" s="1065"/>
      <c r="DR6" s="1065"/>
      <c r="DS6" s="1065"/>
      <c r="DT6" s="1065"/>
      <c r="DU6" s="1065"/>
      <c r="DV6" s="1066"/>
      <c r="DW6" s="1067" t="s">
        <v>319</v>
      </c>
      <c r="DX6" s="1068"/>
      <c r="DY6" s="1068"/>
      <c r="DZ6" s="1068"/>
      <c r="EA6" s="1068"/>
      <c r="EB6" s="1069"/>
      <c r="EC6" s="1070" t="s">
        <v>375</v>
      </c>
      <c r="ED6" s="1071"/>
      <c r="EE6" s="1071"/>
      <c r="EF6" s="1071"/>
      <c r="EG6" s="1071"/>
      <c r="EH6" s="1071"/>
      <c r="EI6" s="1071"/>
      <c r="EJ6" s="1072"/>
      <c r="EK6" s="1073" t="s">
        <v>320</v>
      </c>
      <c r="EL6" s="1074"/>
      <c r="EM6" s="1074"/>
      <c r="EN6" s="1075"/>
      <c r="EO6" s="1073" t="s">
        <v>324</v>
      </c>
      <c r="EP6" s="1074"/>
      <c r="EQ6" s="1074"/>
      <c r="ER6" s="1075"/>
      <c r="ES6" s="888" t="s">
        <v>378</v>
      </c>
      <c r="ET6" s="889"/>
      <c r="EU6" s="889"/>
      <c r="EV6" s="890"/>
      <c r="EW6" s="888" t="s">
        <v>379</v>
      </c>
      <c r="EX6" s="889"/>
      <c r="EY6" s="889"/>
      <c r="EZ6" s="890"/>
      <c r="FA6" s="888" t="s">
        <v>380</v>
      </c>
      <c r="FB6" s="889"/>
      <c r="FC6" s="889"/>
      <c r="FD6" s="890"/>
      <c r="FE6" s="888" t="s">
        <v>381</v>
      </c>
      <c r="FF6" s="889"/>
      <c r="FG6" s="889"/>
      <c r="FH6" s="890"/>
      <c r="FI6" s="898" t="s">
        <v>592</v>
      </c>
      <c r="FJ6" s="899"/>
      <c r="FK6" s="899"/>
      <c r="FL6" s="1076"/>
      <c r="FM6" s="897" t="s">
        <v>380</v>
      </c>
      <c r="FN6" s="897"/>
      <c r="FO6" s="898" t="s">
        <v>619</v>
      </c>
      <c r="FP6" s="899"/>
      <c r="FQ6" s="899"/>
      <c r="FR6" s="900"/>
      <c r="FS6" s="901" t="s">
        <v>609</v>
      </c>
      <c r="FT6" s="902"/>
      <c r="FU6" t="s">
        <v>612</v>
      </c>
      <c r="FV6" s="897" t="s">
        <v>378</v>
      </c>
      <c r="FW6" s="897"/>
      <c r="FX6" s="897" t="s">
        <v>379</v>
      </c>
      <c r="FY6" s="897"/>
      <c r="FZ6" s="897" t="s">
        <v>381</v>
      </c>
      <c r="GA6" s="897"/>
      <c r="GB6" s="897" t="s">
        <v>377</v>
      </c>
      <c r="GC6" s="897"/>
    </row>
    <row r="7" spans="1:185" ht="191" customHeight="1">
      <c r="A7" s="1012" t="s">
        <v>236</v>
      </c>
      <c r="B7" s="1013"/>
      <c r="C7" s="1013"/>
      <c r="D7" s="1014"/>
      <c r="E7" s="958"/>
      <c r="F7" s="959"/>
      <c r="G7" s="960"/>
      <c r="H7" s="967" t="s">
        <v>485</v>
      </c>
      <c r="I7" s="952"/>
      <c r="J7" s="954"/>
      <c r="K7" s="323" t="s">
        <v>516</v>
      </c>
      <c r="L7" s="323" t="s">
        <v>517</v>
      </c>
      <c r="M7" s="323" t="s">
        <v>518</v>
      </c>
      <c r="N7" s="904"/>
      <c r="O7" s="904"/>
      <c r="P7" s="904"/>
      <c r="Q7" s="904"/>
      <c r="R7" s="907"/>
      <c r="S7" s="484" t="s">
        <v>668</v>
      </c>
      <c r="T7" s="322" t="s">
        <v>306</v>
      </c>
      <c r="U7" s="322" t="s">
        <v>400</v>
      </c>
      <c r="V7" s="437" t="s">
        <v>438</v>
      </c>
      <c r="W7" s="437" t="s">
        <v>437</v>
      </c>
      <c r="X7" s="438" t="s">
        <v>397</v>
      </c>
      <c r="Y7" s="211" t="s">
        <v>279</v>
      </c>
      <c r="Z7" s="430"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1015"/>
      <c r="B8" s="1016"/>
      <c r="C8" s="1016"/>
      <c r="D8" s="1017"/>
      <c r="E8" s="961"/>
      <c r="F8" s="962"/>
      <c r="G8" s="963"/>
      <c r="H8" s="904"/>
      <c r="I8" s="943" t="s">
        <v>382</v>
      </c>
      <c r="J8" s="951"/>
      <c r="K8" s="943" t="s">
        <v>325</v>
      </c>
      <c r="L8" s="944"/>
      <c r="M8" s="944"/>
      <c r="N8" s="944"/>
      <c r="O8" s="944"/>
      <c r="P8" s="944"/>
      <c r="Q8" s="944"/>
      <c r="R8" s="944"/>
      <c r="S8" s="971" t="s">
        <v>382</v>
      </c>
      <c r="T8" s="944"/>
      <c r="U8" s="951"/>
      <c r="V8" s="1105" t="s">
        <v>383</v>
      </c>
      <c r="W8" s="1106"/>
      <c r="X8" s="1107"/>
      <c r="Y8" s="211"/>
      <c r="Z8" s="430"/>
      <c r="AA8" s="296"/>
      <c r="BB8" s="225"/>
      <c r="CA8" s="111"/>
      <c r="CB8" s="230"/>
      <c r="CC8" s="296"/>
      <c r="CX8" s="244"/>
      <c r="DA8" s="244"/>
      <c r="DB8" s="244"/>
      <c r="DC8" s="244"/>
      <c r="DD8" s="244"/>
      <c r="DE8" s="244"/>
      <c r="DF8" s="244"/>
      <c r="DG8" s="244"/>
      <c r="DH8" t="s">
        <v>492</v>
      </c>
      <c r="DI8" t="s">
        <v>493</v>
      </c>
      <c r="DJ8" t="s">
        <v>494</v>
      </c>
      <c r="DO8" s="643"/>
      <c r="DS8" s="1078" t="s">
        <v>162</v>
      </c>
      <c r="DT8" s="1078"/>
      <c r="DU8" s="1078"/>
      <c r="DV8" s="1079"/>
      <c r="DW8" s="643"/>
      <c r="DZ8" s="1080" t="s">
        <v>162</v>
      </c>
      <c r="EA8" s="1080"/>
      <c r="EB8" s="1081"/>
      <c r="EG8" s="1080" t="s">
        <v>162</v>
      </c>
      <c r="EH8" s="1080"/>
      <c r="EI8" s="1080"/>
      <c r="EJ8" s="644"/>
      <c r="EK8" s="279"/>
      <c r="EL8" s="247"/>
      <c r="EM8" s="891" t="s">
        <v>162</v>
      </c>
      <c r="EN8" s="892"/>
      <c r="EO8" s="279"/>
      <c r="EP8" s="247"/>
      <c r="EQ8" s="891" t="s">
        <v>162</v>
      </c>
      <c r="ER8" s="892"/>
      <c r="ES8" s="279"/>
      <c r="ET8" s="247"/>
      <c r="EU8" s="891" t="s">
        <v>162</v>
      </c>
      <c r="EV8" s="892"/>
      <c r="EW8" s="279"/>
      <c r="EX8" s="247"/>
      <c r="EY8" s="891" t="s">
        <v>162</v>
      </c>
      <c r="EZ8" s="892"/>
      <c r="FA8" s="279"/>
      <c r="FB8" s="247"/>
      <c r="FC8" s="891" t="s">
        <v>162</v>
      </c>
      <c r="FD8" s="892"/>
      <c r="FE8" s="279"/>
      <c r="FF8" s="247"/>
      <c r="FG8" s="891" t="s">
        <v>162</v>
      </c>
      <c r="FH8" s="892"/>
      <c r="FI8" s="279"/>
      <c r="FJ8" s="247"/>
      <c r="FK8" s="891" t="s">
        <v>162</v>
      </c>
      <c r="FL8" s="892"/>
      <c r="FN8" s="636" t="s">
        <v>160</v>
      </c>
      <c r="FO8" s="279"/>
      <c r="FP8" s="247"/>
      <c r="FQ8" s="891" t="s">
        <v>162</v>
      </c>
      <c r="FR8" s="1077"/>
      <c r="FS8" s="279"/>
      <c r="FT8" s="683" t="s">
        <v>160</v>
      </c>
      <c r="FW8" s="636" t="s">
        <v>160</v>
      </c>
      <c r="FY8" s="636" t="s">
        <v>160</v>
      </c>
      <c r="GA8" s="636" t="s">
        <v>160</v>
      </c>
      <c r="GC8" s="636" t="s">
        <v>160</v>
      </c>
    </row>
    <row r="9" spans="1:185">
      <c r="A9" s="241">
        <f>IF(ISNUMBER(A7),A7+1,1)</f>
        <v>1</v>
      </c>
      <c r="B9" s="127" t="str">
        <f t="shared" ref="B9:B38" si="0">CHOOSE(MOD(WEEKDAY(DATE(A$6,A$2,A9)),7)+1,"lø","sø","ma","ti","on","to","fr",)</f>
        <v>sø</v>
      </c>
      <c r="C9" s="128" t="s">
        <v>120</v>
      </c>
      <c r="D9" s="129" t="str">
        <f t="shared" ref="D9:D38" si="1">IF(B9="ma",(DATE(A$6,A$2,A9)-DATE(A$6,1,1)+7)/7,"")</f>
        <v/>
      </c>
      <c r="E9" s="932"/>
      <c r="F9" s="933"/>
      <c r="G9" s="934"/>
      <c r="H9" s="294"/>
      <c r="I9" s="407"/>
      <c r="J9" s="407"/>
      <c r="K9" s="374"/>
      <c r="L9" s="374"/>
      <c r="M9" s="374"/>
      <c r="N9" s="313">
        <f>BA9</f>
        <v>0</v>
      </c>
      <c r="O9" s="313">
        <f>CA9</f>
        <v>0</v>
      </c>
      <c r="P9" s="313">
        <f>IF(Stamoplysninger!$H$29="JA",September!DG9,CX9)</f>
        <v>0</v>
      </c>
      <c r="Q9" s="313">
        <f>IF(OR(C9="Lejrskole",C9="Ekskursion"),0,N9-O9-P9)</f>
        <v>0</v>
      </c>
      <c r="R9" s="314"/>
      <c r="S9" s="319"/>
      <c r="T9" s="320"/>
      <c r="U9" s="320"/>
      <c r="V9" s="429"/>
      <c r="W9" s="429"/>
      <c r="X9" s="635"/>
      <c r="Y9">
        <f>IF($S$9="x",V9-N9,0)</f>
        <v>0</v>
      </c>
      <c r="Z9" s="431">
        <f>W9</f>
        <v>0</v>
      </c>
      <c r="AA9" s="1">
        <f t="shared" ref="AA9:AA38" si="2">IF(C9="emnedag",K9,0)</f>
        <v>0</v>
      </c>
      <c r="AB9" s="1">
        <f t="shared" ref="AB9:AB38" si="3">IF(C9="fagdag",K9,0)</f>
        <v>0</v>
      </c>
      <c r="AC9" s="1">
        <f t="shared" ref="AC9:AC38" si="4">IF(C9="Pæd.dag",K9,0)</f>
        <v>0</v>
      </c>
      <c r="AD9" s="1">
        <f t="shared" ref="AD9:AD38" si="5">IF(C9="Ekskursion",K9,0)</f>
        <v>0</v>
      </c>
      <c r="AE9" s="1">
        <f t="shared" ref="AE9:AE38" si="6">IF(C9="Lejrskole",K9,0)</f>
        <v>0</v>
      </c>
      <c r="AF9" s="1">
        <f>IF(C9="Orlov",7.4*Stamoplysninger!$E$15,0)</f>
        <v>0</v>
      </c>
      <c r="AG9" t="str">
        <f>IF(AND(C9="Skema 1",B9="ma"),Arbejdstidsoversigt!$E$72,"")</f>
        <v/>
      </c>
      <c r="AH9" t="str">
        <f>IF(AND(C9="Skema 1",B9="ti"),Arbejdstidsoversigt!$E$73,"")</f>
        <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8" si="7">SUM(AG9:AK9)*24</f>
        <v>0</v>
      </c>
      <c r="BC9" s="1">
        <f>IF($C$9="Lejrskole",$L$9,0)</f>
        <v>0</v>
      </c>
      <c r="BD9" s="1">
        <f t="shared" ref="BD9:BD38" si="8">IF(C9="Ekskursion",L9,0)</f>
        <v>0</v>
      </c>
      <c r="BE9" s="1">
        <f t="shared" ref="BE9:BE38" si="9">IF(C9="fagdag",L9,0)</f>
        <v>0</v>
      </c>
      <c r="BF9" s="1">
        <f t="shared" ref="BF9:BF38" si="10">IF(C9="emnedag",L9,0)</f>
        <v>0</v>
      </c>
      <c r="BG9" s="209" t="str">
        <f>IF(AND(C9="Skema 1",B9="ma"),Skemaoplysninger!$E$30,"")</f>
        <v/>
      </c>
      <c r="BH9" s="209" t="str">
        <f>IF(AND(C9="Skema 1",B9="ti"),Skemaoplysninger!$G$30,"")</f>
        <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8" si="11">IF(C9="fagdag",M9,0)</f>
        <v>0</v>
      </c>
      <c r="CC9" s="1">
        <f t="shared" ref="CC9:CC38" si="12">IF(C9="emnedag",M9,0)</f>
        <v>0</v>
      </c>
      <c r="CD9" s="209" t="str">
        <f>IF(AND(C9="Skema 1",B9="ma"),Skemaoplysninger!$E$31,"")</f>
        <v/>
      </c>
      <c r="CE9" s="209" t="str">
        <f>IF(AND(C9="Skema 1",B9="ti"),Skemaoplysninger!$G$31,"")</f>
        <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9" si="13">IF(DH9=0,"",DH9)</f>
        <v/>
      </c>
      <c r="DL9" t="str">
        <f>IF(DI9=0,"",DI9)</f>
        <v/>
      </c>
      <c r="DM9" t="str">
        <f>IF(DJ9=0,"",DJ9)</f>
        <v/>
      </c>
      <c r="DN9" t="str">
        <f t="shared" ref="DN9:DN14" si="14">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5">IF(AND(I9="X",S9="X"),V9,0)</f>
        <v>0</v>
      </c>
      <c r="FT9" s="649">
        <f t="shared" ref="FT9:FT37"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ma</v>
      </c>
      <c r="C10" s="128" t="s">
        <v>206</v>
      </c>
      <c r="D10" s="129">
        <f t="shared" si="1"/>
        <v>36</v>
      </c>
      <c r="E10" s="932"/>
      <c r="F10" s="933"/>
      <c r="G10" s="934"/>
      <c r="H10" s="294"/>
      <c r="I10" s="519"/>
      <c r="J10" s="407"/>
      <c r="K10" s="374"/>
      <c r="L10" s="374"/>
      <c r="M10" s="374"/>
      <c r="N10" s="313">
        <f t="shared" ref="N10:N38" si="19">BA10</f>
        <v>0</v>
      </c>
      <c r="O10" s="313">
        <f t="shared" ref="O10:O38" si="20">CA10</f>
        <v>0</v>
      </c>
      <c r="P10" s="313">
        <f>IF(Stamoplysninger!$H$29="JA",September!DG10,CX10)</f>
        <v>0</v>
      </c>
      <c r="Q10" s="313">
        <f t="shared" ref="Q10:Q38" si="21">IF(OR(C10="Lejrskole",C10="Ekskursion"),0,N10-O10-P10)</f>
        <v>0</v>
      </c>
      <c r="R10" s="314"/>
      <c r="S10" s="319"/>
      <c r="T10" s="320"/>
      <c r="U10" s="320"/>
      <c r="V10" s="429"/>
      <c r="W10" s="429"/>
      <c r="X10" s="635"/>
      <c r="Y10">
        <f t="shared" ref="Y10:Y38" si="22">IF(S10="x",V10-N10,0)</f>
        <v>0</v>
      </c>
      <c r="Z10" s="431">
        <f t="shared" ref="Z10:Z38" si="23">W10</f>
        <v>0</v>
      </c>
      <c r="AA10" s="1">
        <f t="shared" si="2"/>
        <v>0</v>
      </c>
      <c r="AB10" s="1">
        <f t="shared" si="3"/>
        <v>0</v>
      </c>
      <c r="AC10" s="1">
        <f t="shared" si="4"/>
        <v>0</v>
      </c>
      <c r="AD10" s="1">
        <f t="shared" si="5"/>
        <v>0</v>
      </c>
      <c r="AE10" s="1">
        <f t="shared" si="6"/>
        <v>0</v>
      </c>
      <c r="AF10" s="1">
        <f>IF(C10="Orlov",7.4*Stamoplysninger!$E$15,0)</f>
        <v>0</v>
      </c>
      <c r="AG10">
        <f>IF(AND(C10="Skema 1",B10="ma"),Arbejdstidsoversigt!$E$72,"")</f>
        <v>0</v>
      </c>
      <c r="AH10" t="str">
        <f>IF(AND(C10="Skema 1",B10="ti"),Arbejdstidsoversigt!$E$73,"")</f>
        <v/>
      </c>
      <c r="AI10" t="str">
        <f>IF(AND(C10="Skema 1",B10="on"),Arbejdstidsoversigt!$E$74,"")</f>
        <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7" si="24">SUM(AA10:AZ10)</f>
        <v>0</v>
      </c>
      <c r="BB10" s="226">
        <f t="shared" si="7"/>
        <v>0</v>
      </c>
      <c r="BC10" s="1">
        <f t="shared" ref="BC10:BC38" si="25">IF(C10="Lejrskole",L10,0)</f>
        <v>0</v>
      </c>
      <c r="BD10" s="1">
        <f t="shared" si="8"/>
        <v>0</v>
      </c>
      <c r="BE10" s="1">
        <f t="shared" si="9"/>
        <v>0</v>
      </c>
      <c r="BF10" s="1">
        <f t="shared" si="10"/>
        <v>0</v>
      </c>
      <c r="BG10" s="209">
        <f>IF(AND(C10="Skema 1",B10="ma"),Skemaoplysninger!$E$30,"")</f>
        <v>0</v>
      </c>
      <c r="BH10" s="209" t="str">
        <f>IF(AND(C10="Skema 1",B10="ti"),Skemaoplysninger!$G$30,"")</f>
        <v/>
      </c>
      <c r="BI10" s="209" t="str">
        <f>IF(AND(C10="Skema 1",B10="on"),Skemaoplysninger!$I$30,"")</f>
        <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8" si="26">SUM(BG10:BZ10)*24+SUM(BC10:BF10)</f>
        <v>0</v>
      </c>
      <c r="CB10" s="1">
        <f t="shared" si="11"/>
        <v>0</v>
      </c>
      <c r="CC10" s="1">
        <f t="shared" si="12"/>
        <v>0</v>
      </c>
      <c r="CD10" s="209">
        <f>IF(AND(C10="Skema 1",B10="ma"),Skemaoplysninger!$E$31,"")</f>
        <v>0</v>
      </c>
      <c r="CE10" s="209" t="str">
        <f>IF(AND(C10="Skema 1",B10="ti"),Skemaoplysninger!$G$31,"")</f>
        <v/>
      </c>
      <c r="CF10" s="209" t="str">
        <f>IF(AND(C10="Skema 1",B10="on"),Skemaoplysninger!$I$31,"")</f>
        <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8" si="27">SUM(CY10:DF10)</f>
        <v>0</v>
      </c>
      <c r="DH10" t="str">
        <f t="shared" ref="DH10:DH39" si="28">IF(AND(E10&gt;0,H10&gt;0),""&amp;E10&amp;" og "&amp;H10&amp;"","")</f>
        <v/>
      </c>
      <c r="DI10">
        <f t="shared" ref="DI10:DI38" si="29">IF(H10="",E10,"")</f>
        <v>0</v>
      </c>
      <c r="DJ10">
        <f t="shared" ref="DJ10:DJ38" si="30">IF(E10="",H10,"")</f>
        <v>0</v>
      </c>
      <c r="DK10" t="str">
        <f t="shared" si="13"/>
        <v/>
      </c>
      <c r="DL10" t="str">
        <f t="shared" si="13"/>
        <v/>
      </c>
      <c r="DM10" t="str">
        <f t="shared" si="13"/>
        <v/>
      </c>
      <c r="DN10" t="str">
        <f t="shared" si="14"/>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ti</v>
      </c>
      <c r="C11" s="128" t="s">
        <v>206</v>
      </c>
      <c r="D11" s="129" t="str">
        <f t="shared" si="1"/>
        <v/>
      </c>
      <c r="E11" s="932"/>
      <c r="F11" s="933"/>
      <c r="G11" s="934"/>
      <c r="H11" s="294"/>
      <c r="I11" s="519"/>
      <c r="J11" s="407"/>
      <c r="K11" s="374"/>
      <c r="L11" s="374"/>
      <c r="M11" s="374"/>
      <c r="N11" s="313">
        <f t="shared" si="19"/>
        <v>0</v>
      </c>
      <c r="O11" s="313">
        <f t="shared" si="20"/>
        <v>0</v>
      </c>
      <c r="P11" s="313">
        <f>IF(Stamoplysninger!$H$29="JA",September!DG11,CX11)</f>
        <v>0</v>
      </c>
      <c r="Q11" s="313">
        <f t="shared" si="21"/>
        <v>0</v>
      </c>
      <c r="R11" s="314"/>
      <c r="S11" s="319"/>
      <c r="T11" s="320"/>
      <c r="U11" s="320"/>
      <c r="V11" s="429"/>
      <c r="W11" s="429"/>
      <c r="X11" s="635"/>
      <c r="Y11">
        <f t="shared" si="22"/>
        <v>0</v>
      </c>
      <c r="Z11" s="431">
        <f t="shared" si="23"/>
        <v>0</v>
      </c>
      <c r="AA11" s="1">
        <f t="shared" si="2"/>
        <v>0</v>
      </c>
      <c r="AB11" s="1">
        <f t="shared" si="3"/>
        <v>0</v>
      </c>
      <c r="AC11" s="1">
        <f t="shared" si="4"/>
        <v>0</v>
      </c>
      <c r="AD11" s="1">
        <f t="shared" si="5"/>
        <v>0</v>
      </c>
      <c r="AE11" s="1">
        <f t="shared" si="6"/>
        <v>0</v>
      </c>
      <c r="AF11" s="1">
        <f>IF(C11="Orlov",7.4*Stamoplysninger!$E$15,0)</f>
        <v>0</v>
      </c>
      <c r="AG11" t="str">
        <f>IF(AND(C11="Skema 1",B11="ma"),Arbejdstidsoversigt!$E$72,"")</f>
        <v/>
      </c>
      <c r="AH11">
        <f>IF(AND(C11="Skema 1",B11="ti"),Arbejdstidsoversigt!$E$73,"")</f>
        <v>0</v>
      </c>
      <c r="AI11" t="str">
        <f>IF(AND(C11="Skema 1",B11="on"),Arbejdstidsoversigt!$E$74,"")</f>
        <v/>
      </c>
      <c r="AJ11" t="str">
        <f>IF(AND(C11="Skema 1",B11="to"),Arbejdstidsoversigt!$E$75,"")</f>
        <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4"/>
        <v>0</v>
      </c>
      <c r="BB11" s="226">
        <f t="shared" si="7"/>
        <v>0</v>
      </c>
      <c r="BC11" s="1">
        <f t="shared" si="25"/>
        <v>0</v>
      </c>
      <c r="BD11" s="1">
        <f t="shared" si="8"/>
        <v>0</v>
      </c>
      <c r="BE11" s="1">
        <f t="shared" si="9"/>
        <v>0</v>
      </c>
      <c r="BF11" s="1">
        <f t="shared" si="10"/>
        <v>0</v>
      </c>
      <c r="BG11" s="209" t="str">
        <f>IF(AND(C11="Skema 1",B11="ma"),Skemaoplysninger!$E$30,"")</f>
        <v/>
      </c>
      <c r="BH11" s="209">
        <f>IF(AND(C11="Skema 1",B11="ti"),Skemaoplysninger!$G$30,"")</f>
        <v>0</v>
      </c>
      <c r="BI11" s="209" t="str">
        <f>IF(AND(C11="Skema 1",B11="on"),Skemaoplysninger!$I$30,"")</f>
        <v/>
      </c>
      <c r="BJ11" s="209" t="str">
        <f>IF(AND(C11="Skema 1",B11="to"),Skemaoplysninger!$K$30,"")</f>
        <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6"/>
        <v>0</v>
      </c>
      <c r="CB11" s="1">
        <f t="shared" si="11"/>
        <v>0</v>
      </c>
      <c r="CC11" s="1">
        <f t="shared" si="12"/>
        <v>0</v>
      </c>
      <c r="CD11" s="209" t="str">
        <f>IF(AND(C11="Skema 1",B11="ma"),Skemaoplysninger!$E$31,"")</f>
        <v/>
      </c>
      <c r="CE11" s="209">
        <f>IF(AND(C11="Skema 1",B11="ti"),Skemaoplysninger!$G$31,"")</f>
        <v>0</v>
      </c>
      <c r="CF11" s="209" t="str">
        <f>IF(AND(C11="Skema 1",B11="on"),Skemaoplysninger!$I$31,"")</f>
        <v/>
      </c>
      <c r="CG11" s="209" t="str">
        <f>IF(AND(C11="Skema 1",B11="to"),Skemaoplysninger!$K$31,"")</f>
        <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7"/>
        <v>0</v>
      </c>
      <c r="DH11" t="str">
        <f t="shared" si="28"/>
        <v/>
      </c>
      <c r="DI11">
        <f t="shared" si="29"/>
        <v>0</v>
      </c>
      <c r="DJ11">
        <f t="shared" si="30"/>
        <v>0</v>
      </c>
      <c r="DK11" t="str">
        <f t="shared" si="13"/>
        <v/>
      </c>
      <c r="DL11" t="str">
        <f t="shared" si="13"/>
        <v/>
      </c>
      <c r="DM11" t="str">
        <f t="shared" si="13"/>
        <v/>
      </c>
      <c r="DN11" t="str">
        <f t="shared" si="14"/>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on</v>
      </c>
      <c r="C12" s="128" t="s">
        <v>206</v>
      </c>
      <c r="D12" s="129" t="str">
        <f t="shared" si="1"/>
        <v/>
      </c>
      <c r="E12" s="932"/>
      <c r="F12" s="933"/>
      <c r="G12" s="934"/>
      <c r="H12" s="294"/>
      <c r="I12" s="519"/>
      <c r="J12" s="407"/>
      <c r="K12" s="374"/>
      <c r="L12" s="374"/>
      <c r="M12" s="374"/>
      <c r="N12" s="313">
        <f t="shared" si="19"/>
        <v>0</v>
      </c>
      <c r="O12" s="313">
        <f t="shared" si="20"/>
        <v>0</v>
      </c>
      <c r="P12" s="313">
        <f>IF(Stamoplysninger!$H$29="JA",September!DG12,CX12)</f>
        <v>0</v>
      </c>
      <c r="Q12" s="313">
        <f t="shared" si="21"/>
        <v>0</v>
      </c>
      <c r="R12" s="314"/>
      <c r="S12" s="319"/>
      <c r="T12" s="320"/>
      <c r="U12" s="320"/>
      <c r="V12" s="429"/>
      <c r="W12" s="429"/>
      <c r="X12" s="635"/>
      <c r="Y12">
        <f t="shared" si="22"/>
        <v>0</v>
      </c>
      <c r="Z12" s="431">
        <f t="shared" si="23"/>
        <v>0</v>
      </c>
      <c r="AA12" s="1">
        <f t="shared" si="2"/>
        <v>0</v>
      </c>
      <c r="AB12" s="1">
        <f t="shared" si="3"/>
        <v>0</v>
      </c>
      <c r="AC12" s="1">
        <f t="shared" si="4"/>
        <v>0</v>
      </c>
      <c r="AD12" s="1">
        <f t="shared" si="5"/>
        <v>0</v>
      </c>
      <c r="AE12" s="1">
        <f t="shared" si="6"/>
        <v>0</v>
      </c>
      <c r="AF12" s="1">
        <f>IF(C12="Orlov",7.4*Stamoplysninger!$E$15,0)</f>
        <v>0</v>
      </c>
      <c r="AG12" t="str">
        <f>IF(AND(C12="Skema 1",B12="ma"),Arbejdstidsoversigt!$E$72,"")</f>
        <v/>
      </c>
      <c r="AH12" t="str">
        <f>IF(AND(C12="Skema 1",B12="ti"),Arbejdstidsoversigt!$E$73,"")</f>
        <v/>
      </c>
      <c r="AI12">
        <f>IF(AND(C12="Skema 1",B12="on"),Arbejdstidsoversigt!$E$74,"")</f>
        <v>0</v>
      </c>
      <c r="AJ12" t="str">
        <f>IF(AND(C12="Skema 1",B12="to"),Arbejdstidsoversigt!$E$75,"")</f>
        <v/>
      </c>
      <c r="AK12" t="str">
        <f>IF(AND(C12="Skema 1",B12="fr"),Arbejdstidsoversigt!$E$76,"")</f>
        <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4"/>
        <v>0</v>
      </c>
      <c r="BB12" s="226">
        <f t="shared" si="7"/>
        <v>0</v>
      </c>
      <c r="BC12" s="1">
        <f t="shared" si="25"/>
        <v>0</v>
      </c>
      <c r="BD12" s="1">
        <f t="shared" si="8"/>
        <v>0</v>
      </c>
      <c r="BE12" s="1">
        <f t="shared" si="9"/>
        <v>0</v>
      </c>
      <c r="BF12" s="1">
        <f t="shared" si="10"/>
        <v>0</v>
      </c>
      <c r="BG12" s="209" t="str">
        <f>IF(AND(C12="Skema 1",B12="ma"),Skemaoplysninger!$E$30,"")</f>
        <v/>
      </c>
      <c r="BH12" s="209" t="str">
        <f>IF(AND(C12="Skema 1",B12="ti"),Skemaoplysninger!$G$30,"")</f>
        <v/>
      </c>
      <c r="BI12" s="209">
        <f>IF(AND(C12="Skema 1",B12="on"),Skemaoplysninger!$I$30,"")</f>
        <v>0</v>
      </c>
      <c r="BJ12" s="209" t="str">
        <f>IF(AND(C12="Skema 1",B12="to"),Skemaoplysninger!$K$30,"")</f>
        <v/>
      </c>
      <c r="BK12" s="209" t="str">
        <f>IF(AND(C12="Skema 1",B12="fr"),Skemaoplysninger!$M$30,"")</f>
        <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6"/>
        <v>0</v>
      </c>
      <c r="CB12" s="1">
        <f t="shared" si="11"/>
        <v>0</v>
      </c>
      <c r="CC12" s="1">
        <f t="shared" si="12"/>
        <v>0</v>
      </c>
      <c r="CD12" s="209" t="str">
        <f>IF(AND(C12="Skema 1",B12="ma"),Skemaoplysninger!$E$31,"")</f>
        <v/>
      </c>
      <c r="CE12" s="209" t="str">
        <f>IF(AND(C12="Skema 1",B12="ti"),Skemaoplysninger!$G$31,"")</f>
        <v/>
      </c>
      <c r="CF12" s="209">
        <f>IF(AND(C12="Skema 1",B12="on"),Skemaoplysninger!$I$31,"")</f>
        <v>0</v>
      </c>
      <c r="CG12" s="209" t="str">
        <f>IF(AND(C12="Skema 1",B12="to"),Skemaoplysninger!$K$31,"")</f>
        <v/>
      </c>
      <c r="CH12" s="209" t="str">
        <f>IF(AND(C12="Skema 1",B12="fr"),Skemaoplysninger!$M$31,"")</f>
        <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7"/>
        <v>0</v>
      </c>
      <c r="DH12" t="str">
        <f t="shared" si="28"/>
        <v/>
      </c>
      <c r="DI12">
        <f t="shared" si="29"/>
        <v>0</v>
      </c>
      <c r="DJ12">
        <f>IF(E12="",H12,"")</f>
        <v>0</v>
      </c>
      <c r="DK12" t="str">
        <f t="shared" si="13"/>
        <v/>
      </c>
      <c r="DL12" t="str">
        <f t="shared" si="13"/>
        <v/>
      </c>
      <c r="DM12" t="str">
        <f t="shared" si="13"/>
        <v/>
      </c>
      <c r="DN12" t="str">
        <f t="shared" si="14"/>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to</v>
      </c>
      <c r="C13" s="128" t="s">
        <v>206</v>
      </c>
      <c r="D13" s="129" t="str">
        <f t="shared" si="1"/>
        <v/>
      </c>
      <c r="E13" s="932"/>
      <c r="F13" s="933"/>
      <c r="G13" s="934"/>
      <c r="H13" s="294"/>
      <c r="I13" s="519"/>
      <c r="J13" s="407"/>
      <c r="K13" s="374"/>
      <c r="L13" s="374"/>
      <c r="M13" s="374"/>
      <c r="N13" s="313">
        <f t="shared" si="19"/>
        <v>0</v>
      </c>
      <c r="O13" s="313">
        <f t="shared" si="20"/>
        <v>0</v>
      </c>
      <c r="P13" s="313">
        <f>IF(Stamoplysninger!$H$29="JA",September!DG13,CX13)</f>
        <v>0</v>
      </c>
      <c r="Q13" s="313">
        <f t="shared" si="21"/>
        <v>0</v>
      </c>
      <c r="R13" s="314"/>
      <c r="S13" s="319"/>
      <c r="T13" s="320"/>
      <c r="U13" s="320"/>
      <c r="V13" s="429"/>
      <c r="W13" s="429"/>
      <c r="X13" s="635"/>
      <c r="Y13">
        <f t="shared" si="22"/>
        <v>0</v>
      </c>
      <c r="Z13" s="431">
        <f t="shared" si="23"/>
        <v>0</v>
      </c>
      <c r="AA13" s="1">
        <f t="shared" si="2"/>
        <v>0</v>
      </c>
      <c r="AB13" s="1">
        <f t="shared" si="3"/>
        <v>0</v>
      </c>
      <c r="AC13" s="1">
        <f t="shared" si="4"/>
        <v>0</v>
      </c>
      <c r="AD13" s="1">
        <f t="shared" si="5"/>
        <v>0</v>
      </c>
      <c r="AE13" s="1">
        <f t="shared" si="6"/>
        <v>0</v>
      </c>
      <c r="AF13" s="1">
        <f>IF(C13="Orlov",7.4*Stamoplysninger!$E$15,0)</f>
        <v>0</v>
      </c>
      <c r="AG13" t="str">
        <f>IF(AND(C13="Skema 1",B13="ma"),Arbejdstidsoversigt!$E$72,"")</f>
        <v/>
      </c>
      <c r="AH13" t="str">
        <f>IF(AND(C13="Skema 1",B13="ti"),Arbejdstidsoversigt!$E$73,"")</f>
        <v/>
      </c>
      <c r="AI13" t="str">
        <f>IF(AND(C13="Skema 1",B13="on"),Arbejdstidsoversigt!$E$74,"")</f>
        <v/>
      </c>
      <c r="AJ13">
        <f>IF(AND(C13="Skema 1",B13="to"),Arbejdstidsoversigt!$E$75,"")</f>
        <v>0</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4"/>
        <v>0</v>
      </c>
      <c r="BB13" s="226">
        <f t="shared" si="7"/>
        <v>0</v>
      </c>
      <c r="BC13" s="1">
        <f t="shared" si="25"/>
        <v>0</v>
      </c>
      <c r="BD13" s="1">
        <f t="shared" si="8"/>
        <v>0</v>
      </c>
      <c r="BE13" s="1">
        <f t="shared" si="9"/>
        <v>0</v>
      </c>
      <c r="BF13" s="1">
        <f t="shared" si="10"/>
        <v>0</v>
      </c>
      <c r="BG13" s="209" t="str">
        <f>IF(AND(C13="Skema 1",B13="ma"),Skemaoplysninger!$E$30,"")</f>
        <v/>
      </c>
      <c r="BH13" s="209" t="str">
        <f>IF(AND(C13="Skema 1",B13="ti"),Skemaoplysninger!$G$30,"")</f>
        <v/>
      </c>
      <c r="BI13" s="209" t="str">
        <f>IF(AND(C13="Skema 1",B13="on"),Skemaoplysninger!$I$30,"")</f>
        <v/>
      </c>
      <c r="BJ13" s="209">
        <f>IF(AND(C13="Skema 1",B13="to"),Skemaoplysninger!$K$30,"")</f>
        <v>0</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6"/>
        <v>0</v>
      </c>
      <c r="CB13" s="1">
        <f t="shared" si="11"/>
        <v>0</v>
      </c>
      <c r="CC13" s="1">
        <f t="shared" si="12"/>
        <v>0</v>
      </c>
      <c r="CD13" s="209" t="str">
        <f>IF(AND(C13="Skema 1",B13="ma"),Skemaoplysninger!$E$31,"")</f>
        <v/>
      </c>
      <c r="CE13" s="209" t="str">
        <f>IF(AND(C13="Skema 1",B13="ti"),Skemaoplysninger!$G$31,"")</f>
        <v/>
      </c>
      <c r="CF13" s="209" t="str">
        <f>IF(AND(C13="Skema 1",B13="on"),Skemaoplysninger!$I$31,"")</f>
        <v/>
      </c>
      <c r="CG13" s="209">
        <f>IF(AND(C13="Skema 1",B13="to"),Skemaoplysninger!$K$31,"")</f>
        <v>0</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7"/>
        <v>0</v>
      </c>
      <c r="DH13" t="str">
        <f t="shared" si="28"/>
        <v/>
      </c>
      <c r="DI13">
        <f t="shared" si="29"/>
        <v>0</v>
      </c>
      <c r="DJ13">
        <f t="shared" si="30"/>
        <v>0</v>
      </c>
      <c r="DK13" t="str">
        <f t="shared" si="13"/>
        <v/>
      </c>
      <c r="DL13" t="str">
        <f t="shared" si="13"/>
        <v/>
      </c>
      <c r="DM13" t="str">
        <f t="shared" si="13"/>
        <v/>
      </c>
      <c r="DN13" t="str">
        <f t="shared" si="14"/>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fr</v>
      </c>
      <c r="C14" s="128" t="s">
        <v>206</v>
      </c>
      <c r="D14" s="129" t="str">
        <f t="shared" si="1"/>
        <v/>
      </c>
      <c r="E14" s="932"/>
      <c r="F14" s="933"/>
      <c r="G14" s="934"/>
      <c r="H14" s="294"/>
      <c r="I14" s="519"/>
      <c r="J14" s="407"/>
      <c r="K14" s="374"/>
      <c r="L14" s="374"/>
      <c r="M14" s="374"/>
      <c r="N14" s="313">
        <f t="shared" si="19"/>
        <v>0</v>
      </c>
      <c r="O14" s="313">
        <f t="shared" si="20"/>
        <v>0</v>
      </c>
      <c r="P14" s="313">
        <f>IF(Stamoplysninger!$H$29="JA",September!DG14,CX14)</f>
        <v>0</v>
      </c>
      <c r="Q14" s="313">
        <f t="shared" si="21"/>
        <v>0</v>
      </c>
      <c r="R14" s="314"/>
      <c r="S14" s="319"/>
      <c r="T14" s="320"/>
      <c r="U14" s="320"/>
      <c r="V14" s="429"/>
      <c r="W14" s="429"/>
      <c r="X14" s="635"/>
      <c r="Y14">
        <f t="shared" si="22"/>
        <v>0</v>
      </c>
      <c r="Z14" s="431">
        <f t="shared" si="23"/>
        <v>0</v>
      </c>
      <c r="AA14" s="1">
        <f t="shared" si="2"/>
        <v>0</v>
      </c>
      <c r="AB14" s="1">
        <f t="shared" si="3"/>
        <v>0</v>
      </c>
      <c r="AC14" s="1">
        <f t="shared" si="4"/>
        <v>0</v>
      </c>
      <c r="AD14" s="1">
        <f t="shared" si="5"/>
        <v>0</v>
      </c>
      <c r="AE14" s="1">
        <f t="shared" si="6"/>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f>IF(AND(C14="Skema 1",B14="fr"),Arbejdstidsoversigt!$E$76,"")</f>
        <v>0</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4"/>
        <v>0</v>
      </c>
      <c r="BB14" s="226">
        <f t="shared" si="7"/>
        <v>0</v>
      </c>
      <c r="BC14" s="1">
        <f t="shared" si="25"/>
        <v>0</v>
      </c>
      <c r="BD14" s="1">
        <f t="shared" si="8"/>
        <v>0</v>
      </c>
      <c r="BE14" s="1">
        <f t="shared" si="9"/>
        <v>0</v>
      </c>
      <c r="BF14" s="1">
        <f t="shared" si="10"/>
        <v>0</v>
      </c>
      <c r="BG14" s="209" t="str">
        <f>IF(AND(C14="Skema 1",B14="ma"),Skemaoplysninger!$E$30,"")</f>
        <v/>
      </c>
      <c r="BH14" s="209" t="str">
        <f>IF(AND(C14="Skema 1",B14="ti"),Skemaoplysninger!$G$30,"")</f>
        <v/>
      </c>
      <c r="BI14" s="209" t="str">
        <f>IF(AND(C14="Skema 1",B14="on"),Skemaoplysninger!$I$30,"")</f>
        <v/>
      </c>
      <c r="BJ14" s="209" t="str">
        <f>IF(AND(C14="Skema 1",B14="to"),Skemaoplysninger!$K$30,"")</f>
        <v/>
      </c>
      <c r="BK14" s="209">
        <f>IF(AND(C14="Skema 1",B14="fr"),Skemaoplysninger!$M$30,"")</f>
        <v>0</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6"/>
        <v>0</v>
      </c>
      <c r="CB14" s="1">
        <f t="shared" si="11"/>
        <v>0</v>
      </c>
      <c r="CC14" s="1">
        <f t="shared" si="12"/>
        <v>0</v>
      </c>
      <c r="CD14" s="209" t="str">
        <f>IF(AND(C14="Skema 1",B14="ma"),Skemaoplysninger!$E$31,"")</f>
        <v/>
      </c>
      <c r="CE14" s="209" t="str">
        <f>IF(AND(C14="Skema 1",B14="ti"),Skemaoplysninger!$G$31,"")</f>
        <v/>
      </c>
      <c r="CF14" s="209" t="str">
        <f>IF(AND(C14="Skema 1",B14="on"),Skemaoplysninger!$I$31,"")</f>
        <v/>
      </c>
      <c r="CG14" s="209" t="str">
        <f>IF(AND(C14="Skema 1",B14="to"),Skemaoplysninger!$K$31,"")</f>
        <v/>
      </c>
      <c r="CH14" s="209">
        <f>IF(AND(C14="Skema 1",B14="fr"),Skemaoplysninger!$M$31,"")</f>
        <v>0</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7"/>
        <v>0</v>
      </c>
      <c r="DH14" t="str">
        <f t="shared" si="28"/>
        <v/>
      </c>
      <c r="DI14">
        <f t="shared" si="29"/>
        <v>0</v>
      </c>
      <c r="DJ14">
        <f t="shared" si="30"/>
        <v>0</v>
      </c>
      <c r="DK14" t="str">
        <f t="shared" si="13"/>
        <v/>
      </c>
      <c r="DL14" t="str">
        <f t="shared" si="13"/>
        <v/>
      </c>
      <c r="DM14" t="str">
        <f t="shared" si="13"/>
        <v/>
      </c>
      <c r="DN14" t="str">
        <f t="shared" si="14"/>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lø</v>
      </c>
      <c r="C15" s="128" t="s">
        <v>120</v>
      </c>
      <c r="D15" s="129" t="str">
        <f t="shared" si="1"/>
        <v/>
      </c>
      <c r="E15" s="932"/>
      <c r="F15" s="933"/>
      <c r="G15" s="934"/>
      <c r="H15" s="294"/>
      <c r="I15" s="407"/>
      <c r="J15" s="407"/>
      <c r="K15" s="374"/>
      <c r="L15" s="374"/>
      <c r="M15" s="374"/>
      <c r="N15" s="313">
        <f t="shared" si="19"/>
        <v>0</v>
      </c>
      <c r="O15" s="313">
        <f t="shared" si="20"/>
        <v>0</v>
      </c>
      <c r="P15" s="313">
        <f>IF(Stamoplysninger!$H$29="JA",September!DG15,CX15)</f>
        <v>0</v>
      </c>
      <c r="Q15" s="313">
        <f t="shared" si="21"/>
        <v>0</v>
      </c>
      <c r="R15" s="314"/>
      <c r="S15" s="319"/>
      <c r="T15" s="320"/>
      <c r="U15" s="320"/>
      <c r="V15" s="429"/>
      <c r="W15" s="429"/>
      <c r="X15" s="635"/>
      <c r="Y15">
        <f t="shared" si="22"/>
        <v>0</v>
      </c>
      <c r="Z15" s="431">
        <f t="shared" si="23"/>
        <v>0</v>
      </c>
      <c r="AA15" s="1">
        <f t="shared" si="2"/>
        <v>0</v>
      </c>
      <c r="AB15" s="1">
        <f t="shared" si="3"/>
        <v>0</v>
      </c>
      <c r="AC15" s="1">
        <f t="shared" si="4"/>
        <v>0</v>
      </c>
      <c r="AD15" s="1">
        <f t="shared" si="5"/>
        <v>0</v>
      </c>
      <c r="AE15" s="1">
        <f t="shared" si="6"/>
        <v>0</v>
      </c>
      <c r="AF15" s="1">
        <f>IF(C15="Orlov",7.4*Stamoplysninger!$E$15,0)</f>
        <v>0</v>
      </c>
      <c r="AG15" t="str">
        <f>IF(AND(C15="Skema 1",B15="ma"),Arbejdstidsoversigt!$E$72,"")</f>
        <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4"/>
        <v>0</v>
      </c>
      <c r="BB15" s="226">
        <f t="shared" si="7"/>
        <v>0</v>
      </c>
      <c r="BC15" s="1">
        <f t="shared" si="25"/>
        <v>0</v>
      </c>
      <c r="BD15" s="1">
        <f t="shared" si="8"/>
        <v>0</v>
      </c>
      <c r="BE15" s="1">
        <f t="shared" si="9"/>
        <v>0</v>
      </c>
      <c r="BF15" s="1">
        <f t="shared" si="10"/>
        <v>0</v>
      </c>
      <c r="BG15" s="209" t="str">
        <f>IF(AND(C15="Skema 1",B15="ma"),Skemaoplysninger!$E$30,"")</f>
        <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6"/>
        <v>0</v>
      </c>
      <c r="CB15" s="1">
        <f t="shared" si="11"/>
        <v>0</v>
      </c>
      <c r="CC15" s="1">
        <f t="shared" si="12"/>
        <v>0</v>
      </c>
      <c r="CD15" s="209" t="str">
        <f>IF(AND(C15="Skema 1",B15="ma"),Skemaoplysninger!$E$31,"")</f>
        <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7"/>
        <v>0</v>
      </c>
      <c r="DH15" t="str">
        <f t="shared" si="28"/>
        <v/>
      </c>
      <c r="DI15">
        <f t="shared" si="29"/>
        <v>0</v>
      </c>
      <c r="DJ15">
        <f t="shared" si="30"/>
        <v>0</v>
      </c>
      <c r="DK15" t="str">
        <f t="shared" si="13"/>
        <v/>
      </c>
      <c r="DL15" t="str">
        <f t="shared" si="13"/>
        <v/>
      </c>
      <c r="DM15" t="str">
        <f t="shared" si="13"/>
        <v/>
      </c>
      <c r="DN15" t="str">
        <f t="shared" ref="DN15:DN38" si="31">DK15&amp;""&amp;DL15&amp;""&amp;DM15</f>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sø</v>
      </c>
      <c r="C16" s="128" t="s">
        <v>120</v>
      </c>
      <c r="D16" s="129" t="str">
        <f t="shared" si="1"/>
        <v/>
      </c>
      <c r="E16" s="932"/>
      <c r="F16" s="933"/>
      <c r="G16" s="934"/>
      <c r="H16" s="294"/>
      <c r="I16" s="407"/>
      <c r="J16" s="407"/>
      <c r="K16" s="374"/>
      <c r="L16" s="374"/>
      <c r="M16" s="374"/>
      <c r="N16" s="313">
        <f t="shared" si="19"/>
        <v>0</v>
      </c>
      <c r="O16" s="313">
        <f t="shared" si="20"/>
        <v>0</v>
      </c>
      <c r="P16" s="313">
        <f>IF(Stamoplysninger!$H$29="JA",September!DG16,CX16)</f>
        <v>0</v>
      </c>
      <c r="Q16" s="313">
        <f t="shared" si="21"/>
        <v>0</v>
      </c>
      <c r="R16" s="314"/>
      <c r="S16" s="319"/>
      <c r="T16" s="320"/>
      <c r="U16" s="320"/>
      <c r="V16" s="429"/>
      <c r="W16" s="429"/>
      <c r="X16" s="635"/>
      <c r="Y16">
        <f t="shared" si="22"/>
        <v>0</v>
      </c>
      <c r="Z16" s="431">
        <f t="shared" si="23"/>
        <v>0</v>
      </c>
      <c r="AA16" s="1">
        <f t="shared" si="2"/>
        <v>0</v>
      </c>
      <c r="AB16" s="1">
        <f t="shared" si="3"/>
        <v>0</v>
      </c>
      <c r="AC16" s="1">
        <f t="shared" si="4"/>
        <v>0</v>
      </c>
      <c r="AD16" s="1">
        <f t="shared" si="5"/>
        <v>0</v>
      </c>
      <c r="AE16" s="1">
        <f t="shared" si="6"/>
        <v>0</v>
      </c>
      <c r="AF16" s="1">
        <f>IF(C16="Orlov",7.4*Stamoplysninger!$E$15,0)</f>
        <v>0</v>
      </c>
      <c r="AG16" t="str">
        <f>IF(AND(C16="Skema 1",B16="ma"),Arbejdstidsoversigt!$E$72,"")</f>
        <v/>
      </c>
      <c r="AH16" t="str">
        <f>IF(AND(C16="Skema 1",B16="ti"),Arbejdstidsoversigt!$E$73,"")</f>
        <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4"/>
        <v>0</v>
      </c>
      <c r="BB16" s="226">
        <f t="shared" si="7"/>
        <v>0</v>
      </c>
      <c r="BC16" s="1">
        <f t="shared" si="25"/>
        <v>0</v>
      </c>
      <c r="BD16" s="1">
        <f t="shared" si="8"/>
        <v>0</v>
      </c>
      <c r="BE16" s="1">
        <f t="shared" si="9"/>
        <v>0</v>
      </c>
      <c r="BF16" s="1">
        <f t="shared" si="10"/>
        <v>0</v>
      </c>
      <c r="BG16" s="209" t="str">
        <f>IF(AND(C16="Skema 1",B16="ma"),Skemaoplysninger!$E$30,"")</f>
        <v/>
      </c>
      <c r="BH16" s="209" t="str">
        <f>IF(AND(C16="Skema 1",B16="ti"),Skemaoplysninger!$G$30,"")</f>
        <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6"/>
        <v>0</v>
      </c>
      <c r="CB16" s="1">
        <f t="shared" si="11"/>
        <v>0</v>
      </c>
      <c r="CC16" s="1">
        <f t="shared" si="12"/>
        <v>0</v>
      </c>
      <c r="CD16" s="209" t="str">
        <f>IF(AND(C16="Skema 1",B16="ma"),Skemaoplysninger!$E$31,"")</f>
        <v/>
      </c>
      <c r="CE16" s="209" t="str">
        <f>IF(AND(C16="Skema 1",B16="ti"),Skemaoplysninger!$G$31,"")</f>
        <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7"/>
        <v>0</v>
      </c>
      <c r="DH16" t="str">
        <f t="shared" si="28"/>
        <v/>
      </c>
      <c r="DI16">
        <f t="shared" si="29"/>
        <v>0</v>
      </c>
      <c r="DJ16">
        <f t="shared" si="30"/>
        <v>0</v>
      </c>
      <c r="DK16" t="str">
        <f t="shared" si="13"/>
        <v/>
      </c>
      <c r="DL16" t="str">
        <f t="shared" si="13"/>
        <v/>
      </c>
      <c r="DM16" t="str">
        <f t="shared" si="13"/>
        <v/>
      </c>
      <c r="DN16" t="str">
        <f t="shared" si="31"/>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ma</v>
      </c>
      <c r="C17" s="128" t="s">
        <v>206</v>
      </c>
      <c r="D17" s="129">
        <f t="shared" si="1"/>
        <v>37</v>
      </c>
      <c r="E17" s="932"/>
      <c r="F17" s="933"/>
      <c r="G17" s="934"/>
      <c r="H17" s="294"/>
      <c r="I17" s="519"/>
      <c r="J17" s="407"/>
      <c r="K17" s="374"/>
      <c r="L17" s="374"/>
      <c r="M17" s="374"/>
      <c r="N17" s="313">
        <f t="shared" si="19"/>
        <v>0</v>
      </c>
      <c r="O17" s="313">
        <f t="shared" si="20"/>
        <v>0</v>
      </c>
      <c r="P17" s="313">
        <f>IF(Stamoplysninger!$H$29="JA",September!DG17,CX17)</f>
        <v>0</v>
      </c>
      <c r="Q17" s="313">
        <f t="shared" si="21"/>
        <v>0</v>
      </c>
      <c r="R17" s="314"/>
      <c r="S17" s="319"/>
      <c r="T17" s="320"/>
      <c r="U17" s="320"/>
      <c r="V17" s="429"/>
      <c r="W17" s="429"/>
      <c r="X17" s="635"/>
      <c r="Y17">
        <f t="shared" si="22"/>
        <v>0</v>
      </c>
      <c r="Z17" s="431">
        <f t="shared" si="23"/>
        <v>0</v>
      </c>
      <c r="AA17" s="1">
        <f t="shared" si="2"/>
        <v>0</v>
      </c>
      <c r="AB17" s="1">
        <f t="shared" si="3"/>
        <v>0</v>
      </c>
      <c r="AC17" s="1">
        <f t="shared" si="4"/>
        <v>0</v>
      </c>
      <c r="AD17" s="1">
        <f t="shared" si="5"/>
        <v>0</v>
      </c>
      <c r="AE17" s="1">
        <f t="shared" si="6"/>
        <v>0</v>
      </c>
      <c r="AF17" s="1">
        <f>IF(C17="Orlov",7.4*Stamoplysninger!$E$15,0)</f>
        <v>0</v>
      </c>
      <c r="AG17">
        <f>IF(AND(C17="Skema 1",B17="ma"),Arbejdstidsoversigt!$E$72,"")</f>
        <v>0</v>
      </c>
      <c r="AH17" t="str">
        <f>IF(AND(C17="Skema 1",B17="ti"),Arbejdstidsoversigt!$E$73,"")</f>
        <v/>
      </c>
      <c r="AI17" t="str">
        <f>IF(AND(C17="Skema 1",B17="on"),Arbejdstidsoversigt!$E$74,"")</f>
        <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4"/>
        <v>0</v>
      </c>
      <c r="BB17" s="226">
        <f t="shared" si="7"/>
        <v>0</v>
      </c>
      <c r="BC17" s="1">
        <f t="shared" si="25"/>
        <v>0</v>
      </c>
      <c r="BD17" s="1">
        <f t="shared" si="8"/>
        <v>0</v>
      </c>
      <c r="BE17" s="1">
        <f t="shared" si="9"/>
        <v>0</v>
      </c>
      <c r="BF17" s="1">
        <f t="shared" si="10"/>
        <v>0</v>
      </c>
      <c r="BG17" s="209">
        <f>IF(AND(C17="Skema 1",B17="ma"),Skemaoplysninger!$E$30,"")</f>
        <v>0</v>
      </c>
      <c r="BH17" s="209" t="str">
        <f>IF(AND(C17="Skema 1",B17="ti"),Skemaoplysninger!$G$30,"")</f>
        <v/>
      </c>
      <c r="BI17" s="209" t="str">
        <f>IF(AND(C17="Skema 1",B17="on"),Skemaoplysninger!$I$30,"")</f>
        <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6"/>
        <v>0</v>
      </c>
      <c r="CB17" s="1">
        <f t="shared" si="11"/>
        <v>0</v>
      </c>
      <c r="CC17" s="1">
        <f t="shared" si="12"/>
        <v>0</v>
      </c>
      <c r="CD17" s="209">
        <f>IF(AND(C17="Skema 1",B17="ma"),Skemaoplysninger!$E$31,"")</f>
        <v>0</v>
      </c>
      <c r="CE17" s="209" t="str">
        <f>IF(AND(C17="Skema 1",B17="ti"),Skemaoplysninger!$G$31,"")</f>
        <v/>
      </c>
      <c r="CF17" s="209" t="str">
        <f>IF(AND(C17="Skema 1",B17="on"),Skemaoplysninger!$I$31,"")</f>
        <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7"/>
        <v>0</v>
      </c>
      <c r="DH17" t="str">
        <f t="shared" si="28"/>
        <v/>
      </c>
      <c r="DI17">
        <f t="shared" si="29"/>
        <v>0</v>
      </c>
      <c r="DJ17">
        <f t="shared" si="30"/>
        <v>0</v>
      </c>
      <c r="DK17" t="str">
        <f t="shared" si="13"/>
        <v/>
      </c>
      <c r="DL17" t="str">
        <f t="shared" si="13"/>
        <v/>
      </c>
      <c r="DM17" t="str">
        <f t="shared" si="13"/>
        <v/>
      </c>
      <c r="DN17" t="str">
        <f t="shared" si="31"/>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ti</v>
      </c>
      <c r="C18" s="128" t="s">
        <v>206</v>
      </c>
      <c r="D18" s="129" t="str">
        <f t="shared" si="1"/>
        <v/>
      </c>
      <c r="E18" s="932"/>
      <c r="F18" s="933"/>
      <c r="G18" s="934"/>
      <c r="H18" s="294"/>
      <c r="I18" s="519"/>
      <c r="J18" s="407"/>
      <c r="K18" s="374"/>
      <c r="L18" s="374"/>
      <c r="M18" s="374"/>
      <c r="N18" s="313">
        <f t="shared" si="19"/>
        <v>0</v>
      </c>
      <c r="O18" s="313">
        <f t="shared" si="20"/>
        <v>0</v>
      </c>
      <c r="P18" s="313">
        <f>IF(Stamoplysninger!$H$29="JA",September!DG18,CX18)</f>
        <v>0</v>
      </c>
      <c r="Q18" s="313">
        <f t="shared" si="21"/>
        <v>0</v>
      </c>
      <c r="R18" s="314"/>
      <c r="S18" s="319"/>
      <c r="T18" s="320"/>
      <c r="U18" s="320"/>
      <c r="V18" s="429"/>
      <c r="W18" s="429"/>
      <c r="X18" s="635"/>
      <c r="Y18">
        <f t="shared" si="22"/>
        <v>0</v>
      </c>
      <c r="Z18" s="431">
        <f t="shared" si="23"/>
        <v>0</v>
      </c>
      <c r="AA18" s="1">
        <f t="shared" si="2"/>
        <v>0</v>
      </c>
      <c r="AB18" s="1">
        <f t="shared" si="3"/>
        <v>0</v>
      </c>
      <c r="AC18" s="1">
        <f t="shared" si="4"/>
        <v>0</v>
      </c>
      <c r="AD18" s="1">
        <f t="shared" si="5"/>
        <v>0</v>
      </c>
      <c r="AE18" s="1">
        <f t="shared" si="6"/>
        <v>0</v>
      </c>
      <c r="AF18" s="1">
        <f>IF(C18="Orlov",7.4*Stamoplysninger!$E$15,0)</f>
        <v>0</v>
      </c>
      <c r="AG18" t="str">
        <f>IF(AND(C18="Skema 1",B18="ma"),Arbejdstidsoversigt!$E$72,"")</f>
        <v/>
      </c>
      <c r="AH18">
        <f>IF(AND(C18="Skema 1",B18="ti"),Arbejdstidsoversigt!$E$73,"")</f>
        <v>0</v>
      </c>
      <c r="AI18" t="str">
        <f>IF(AND(C18="Skema 1",B18="on"),Arbejdstidsoversigt!$E$74,"")</f>
        <v/>
      </c>
      <c r="AJ18" t="str">
        <f>IF(AND(C18="Skema 1",B18="to"),Arbejdstidsoversigt!$E$75,"")</f>
        <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4"/>
        <v>0</v>
      </c>
      <c r="BB18" s="226">
        <f t="shared" si="7"/>
        <v>0</v>
      </c>
      <c r="BC18" s="1">
        <f t="shared" si="25"/>
        <v>0</v>
      </c>
      <c r="BD18" s="1">
        <f t="shared" si="8"/>
        <v>0</v>
      </c>
      <c r="BE18" s="1">
        <f t="shared" si="9"/>
        <v>0</v>
      </c>
      <c r="BF18" s="1">
        <f t="shared" si="10"/>
        <v>0</v>
      </c>
      <c r="BG18" s="209" t="str">
        <f>IF(AND(C18="Skema 1",B18="ma"),Skemaoplysninger!$E$30,"")</f>
        <v/>
      </c>
      <c r="BH18" s="209">
        <f>IF(AND(C18="Skema 1",B18="ti"),Skemaoplysninger!$G$30,"")</f>
        <v>0</v>
      </c>
      <c r="BI18" s="209" t="str">
        <f>IF(AND(C18="Skema 1",B18="on"),Skemaoplysninger!$I$30,"")</f>
        <v/>
      </c>
      <c r="BJ18" s="209" t="str">
        <f>IF(AND(C18="Skema 1",B18="to"),Skemaoplysninger!$K$30,"")</f>
        <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6"/>
        <v>0</v>
      </c>
      <c r="CB18" s="1">
        <f t="shared" si="11"/>
        <v>0</v>
      </c>
      <c r="CC18" s="1">
        <f t="shared" si="12"/>
        <v>0</v>
      </c>
      <c r="CD18" s="209" t="str">
        <f>IF(AND(C18="Skema 1",B18="ma"),Skemaoplysninger!$E$31,"")</f>
        <v/>
      </c>
      <c r="CE18" s="209">
        <f>IF(AND(C18="Skema 1",B18="ti"),Skemaoplysninger!$G$31,"")</f>
        <v>0</v>
      </c>
      <c r="CF18" s="209" t="str">
        <f>IF(AND(C18="Skema 1",B18="on"),Skemaoplysninger!$I$31,"")</f>
        <v/>
      </c>
      <c r="CG18" s="209" t="str">
        <f>IF(AND(C18="Skema 1",B18="to"),Skemaoplysninger!$K$31,"")</f>
        <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7"/>
        <v>0</v>
      </c>
      <c r="DH18" t="str">
        <f t="shared" si="28"/>
        <v/>
      </c>
      <c r="DI18">
        <f t="shared" si="29"/>
        <v>0</v>
      </c>
      <c r="DJ18">
        <f t="shared" si="30"/>
        <v>0</v>
      </c>
      <c r="DK18" t="str">
        <f t="shared" si="13"/>
        <v/>
      </c>
      <c r="DL18" t="str">
        <f t="shared" si="13"/>
        <v/>
      </c>
      <c r="DM18" t="str">
        <f t="shared" si="13"/>
        <v/>
      </c>
      <c r="DN18" t="str">
        <f t="shared" si="31"/>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on</v>
      </c>
      <c r="C19" s="128" t="s">
        <v>206</v>
      </c>
      <c r="D19" s="129" t="str">
        <f t="shared" si="1"/>
        <v/>
      </c>
      <c r="E19" s="932"/>
      <c r="F19" s="933"/>
      <c r="G19" s="934"/>
      <c r="H19" s="294"/>
      <c r="I19" s="519"/>
      <c r="J19" s="407"/>
      <c r="K19" s="374"/>
      <c r="L19" s="374"/>
      <c r="M19" s="374"/>
      <c r="N19" s="313">
        <f t="shared" si="19"/>
        <v>0</v>
      </c>
      <c r="O19" s="313">
        <f t="shared" si="20"/>
        <v>0</v>
      </c>
      <c r="P19" s="313">
        <f>IF(Stamoplysninger!$H$29="JA",September!DG19,CX19)</f>
        <v>0</v>
      </c>
      <c r="Q19" s="313">
        <f t="shared" si="21"/>
        <v>0</v>
      </c>
      <c r="R19" s="314"/>
      <c r="S19" s="319"/>
      <c r="T19" s="320"/>
      <c r="U19" s="320"/>
      <c r="V19" s="429"/>
      <c r="W19" s="429"/>
      <c r="X19" s="635"/>
      <c r="Y19">
        <f t="shared" si="22"/>
        <v>0</v>
      </c>
      <c r="Z19" s="431">
        <f t="shared" si="23"/>
        <v>0</v>
      </c>
      <c r="AA19" s="1">
        <f t="shared" si="2"/>
        <v>0</v>
      </c>
      <c r="AB19" s="1">
        <f t="shared" si="3"/>
        <v>0</v>
      </c>
      <c r="AC19" s="1">
        <f t="shared" si="4"/>
        <v>0</v>
      </c>
      <c r="AD19" s="1">
        <f t="shared" si="5"/>
        <v>0</v>
      </c>
      <c r="AE19" s="1">
        <f t="shared" si="6"/>
        <v>0</v>
      </c>
      <c r="AF19" s="1">
        <f>IF(C19="Orlov",7.4*Stamoplysninger!$E$15,0)</f>
        <v>0</v>
      </c>
      <c r="AG19" t="str">
        <f>IF(AND(C19="Skema 1",B19="ma"),Arbejdstidsoversigt!$E$72,"")</f>
        <v/>
      </c>
      <c r="AH19" t="str">
        <f>IF(AND(C19="Skema 1",B19="ti"),Arbejdstidsoversigt!$E$73,"")</f>
        <v/>
      </c>
      <c r="AI19">
        <f>IF(AND(C19="Skema 1",B19="on"),Arbejdstidsoversigt!$E$74,"")</f>
        <v>0</v>
      </c>
      <c r="AJ19" t="str">
        <f>IF(AND(C19="Skema 1",B19="to"),Arbejdstidsoversigt!$E$75,"")</f>
        <v/>
      </c>
      <c r="AK19" t="str">
        <f>IF(AND(C19="Skema 1",B19="fr"),Arbejdstidsoversigt!$E$76,"")</f>
        <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4"/>
        <v>0</v>
      </c>
      <c r="BB19" s="226">
        <f t="shared" si="7"/>
        <v>0</v>
      </c>
      <c r="BC19" s="1">
        <f t="shared" si="25"/>
        <v>0</v>
      </c>
      <c r="BD19" s="1">
        <f t="shared" si="8"/>
        <v>0</v>
      </c>
      <c r="BE19" s="1">
        <f t="shared" si="9"/>
        <v>0</v>
      </c>
      <c r="BF19" s="1">
        <f t="shared" si="10"/>
        <v>0</v>
      </c>
      <c r="BG19" s="209" t="str">
        <f>IF(AND(C19="Skema 1",B19="ma"),Skemaoplysninger!$E$30,"")</f>
        <v/>
      </c>
      <c r="BH19" s="209" t="str">
        <f>IF(AND(C19="Skema 1",B19="ti"),Skemaoplysninger!$G$30,"")</f>
        <v/>
      </c>
      <c r="BI19" s="209">
        <f>IF(AND(C19="Skema 1",B19="on"),Skemaoplysninger!$I$30,"")</f>
        <v>0</v>
      </c>
      <c r="BJ19" s="209" t="str">
        <f>IF(AND(C19="Skema 1",B19="to"),Skemaoplysninger!$K$30,"")</f>
        <v/>
      </c>
      <c r="BK19" s="209" t="str">
        <f>IF(AND(C19="Skema 1",B19="fr"),Skemaoplysninger!$M$30,"")</f>
        <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6"/>
        <v>0</v>
      </c>
      <c r="CB19" s="1">
        <f t="shared" si="11"/>
        <v>0</v>
      </c>
      <c r="CC19" s="1">
        <f t="shared" si="12"/>
        <v>0</v>
      </c>
      <c r="CD19" s="209" t="str">
        <f>IF(AND(C19="Skema 1",B19="ma"),Skemaoplysninger!$E$31,"")</f>
        <v/>
      </c>
      <c r="CE19" s="209" t="str">
        <f>IF(AND(C19="Skema 1",B19="ti"),Skemaoplysninger!$G$31,"")</f>
        <v/>
      </c>
      <c r="CF19" s="209">
        <f>IF(AND(C19="Skema 1",B19="on"),Skemaoplysninger!$I$31,"")</f>
        <v>0</v>
      </c>
      <c r="CG19" s="209" t="str">
        <f>IF(AND(C19="Skema 1",B19="to"),Skemaoplysninger!$K$31,"")</f>
        <v/>
      </c>
      <c r="CH19" s="209" t="str">
        <f>IF(AND(C19="Skema 1",B19="fr"),Skemaoplysninger!$M$31,"")</f>
        <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7"/>
        <v>0</v>
      </c>
      <c r="DH19" t="str">
        <f t="shared" si="28"/>
        <v/>
      </c>
      <c r="DI19">
        <f t="shared" si="29"/>
        <v>0</v>
      </c>
      <c r="DJ19">
        <f t="shared" si="30"/>
        <v>0</v>
      </c>
      <c r="DK19" t="str">
        <f t="shared" si="13"/>
        <v/>
      </c>
      <c r="DL19" t="str">
        <f t="shared" si="13"/>
        <v/>
      </c>
      <c r="DM19" t="str">
        <f t="shared" si="13"/>
        <v/>
      </c>
      <c r="DN19" t="str">
        <f t="shared" si="31"/>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to</v>
      </c>
      <c r="C20" s="128" t="s">
        <v>206</v>
      </c>
      <c r="D20" s="129" t="str">
        <f t="shared" si="1"/>
        <v/>
      </c>
      <c r="E20" s="932"/>
      <c r="F20" s="933"/>
      <c r="G20" s="934"/>
      <c r="H20" s="294"/>
      <c r="I20" s="519"/>
      <c r="J20" s="407"/>
      <c r="K20" s="374"/>
      <c r="L20" s="374"/>
      <c r="M20" s="374"/>
      <c r="N20" s="313">
        <f t="shared" si="19"/>
        <v>0</v>
      </c>
      <c r="O20" s="313">
        <f t="shared" si="20"/>
        <v>0</v>
      </c>
      <c r="P20" s="313">
        <f>IF(Stamoplysninger!$H$29="JA",September!DG20,CX20)</f>
        <v>0</v>
      </c>
      <c r="Q20" s="313">
        <f t="shared" si="21"/>
        <v>0</v>
      </c>
      <c r="R20" s="314"/>
      <c r="S20" s="319"/>
      <c r="T20" s="320"/>
      <c r="U20" s="320"/>
      <c r="V20" s="429"/>
      <c r="W20" s="429"/>
      <c r="X20" s="635"/>
      <c r="Y20">
        <f t="shared" si="22"/>
        <v>0</v>
      </c>
      <c r="Z20" s="431">
        <f t="shared" si="23"/>
        <v>0</v>
      </c>
      <c r="AA20" s="1">
        <f t="shared" si="2"/>
        <v>0</v>
      </c>
      <c r="AB20" s="1">
        <f t="shared" si="3"/>
        <v>0</v>
      </c>
      <c r="AC20" s="1">
        <f t="shared" si="4"/>
        <v>0</v>
      </c>
      <c r="AD20" s="1">
        <f t="shared" si="5"/>
        <v>0</v>
      </c>
      <c r="AE20" s="1">
        <f t="shared" si="6"/>
        <v>0</v>
      </c>
      <c r="AF20" s="1">
        <f>IF(C20="Orlov",7.4*Stamoplysninger!$E$15,0)</f>
        <v>0</v>
      </c>
      <c r="AG20" t="str">
        <f>IF(AND(C20="Skema 1",B20="ma"),Arbejdstidsoversigt!$E$72,"")</f>
        <v/>
      </c>
      <c r="AH20" t="str">
        <f>IF(AND(C20="Skema 1",B20="ti"),Arbejdstidsoversigt!$E$73,"")</f>
        <v/>
      </c>
      <c r="AI20" t="str">
        <f>IF(AND(C20="Skema 1",B20="on"),Arbejdstidsoversigt!$E$74,"")</f>
        <v/>
      </c>
      <c r="AJ20">
        <f>IF(AND(C20="Skema 1",B20="to"),Arbejdstidsoversigt!$E$75,"")</f>
        <v>0</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4"/>
        <v>0</v>
      </c>
      <c r="BB20" s="226">
        <f t="shared" si="7"/>
        <v>0</v>
      </c>
      <c r="BC20" s="1">
        <f t="shared" si="25"/>
        <v>0</v>
      </c>
      <c r="BD20" s="1">
        <f t="shared" si="8"/>
        <v>0</v>
      </c>
      <c r="BE20" s="1">
        <f t="shared" si="9"/>
        <v>0</v>
      </c>
      <c r="BF20" s="1">
        <f t="shared" si="10"/>
        <v>0</v>
      </c>
      <c r="BG20" s="209" t="str">
        <f>IF(AND(C20="Skema 1",B20="ma"),Skemaoplysninger!$E$30,"")</f>
        <v/>
      </c>
      <c r="BH20" s="209" t="str">
        <f>IF(AND(C20="Skema 1",B20="ti"),Skemaoplysninger!$G$30,"")</f>
        <v/>
      </c>
      <c r="BI20" s="209" t="str">
        <f>IF(AND(C20="Skema 1",B20="on"),Skemaoplysninger!$I$30,"")</f>
        <v/>
      </c>
      <c r="BJ20" s="209">
        <f>IF(AND(C20="Skema 1",B20="to"),Skemaoplysninger!$K$30,"")</f>
        <v>0</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6"/>
        <v>0</v>
      </c>
      <c r="CB20" s="1">
        <f t="shared" si="11"/>
        <v>0</v>
      </c>
      <c r="CC20" s="1">
        <f t="shared" si="12"/>
        <v>0</v>
      </c>
      <c r="CD20" s="209" t="str">
        <f>IF(AND(C20="Skema 1",B20="ma"),Skemaoplysninger!$E$31,"")</f>
        <v/>
      </c>
      <c r="CE20" s="209" t="str">
        <f>IF(AND(C20="Skema 1",B20="ti"),Skemaoplysninger!$G$31,"")</f>
        <v/>
      </c>
      <c r="CF20" s="209" t="str">
        <f>IF(AND(C20="Skema 1",B20="on"),Skemaoplysninger!$I$31,"")</f>
        <v/>
      </c>
      <c r="CG20" s="209">
        <f>IF(AND(C20="Skema 1",B20="to"),Skemaoplysninger!$K$31,"")</f>
        <v>0</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7"/>
        <v>0</v>
      </c>
      <c r="DH20" t="str">
        <f t="shared" si="28"/>
        <v/>
      </c>
      <c r="DI20">
        <f t="shared" si="29"/>
        <v>0</v>
      </c>
      <c r="DJ20">
        <f t="shared" si="30"/>
        <v>0</v>
      </c>
      <c r="DK20" t="str">
        <f t="shared" si="13"/>
        <v/>
      </c>
      <c r="DL20" t="str">
        <f t="shared" si="13"/>
        <v/>
      </c>
      <c r="DM20" t="str">
        <f t="shared" si="13"/>
        <v/>
      </c>
      <c r="DN20" t="str">
        <f t="shared" si="31"/>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fr</v>
      </c>
      <c r="C21" s="128" t="s">
        <v>206</v>
      </c>
      <c r="D21" s="129" t="str">
        <f t="shared" si="1"/>
        <v/>
      </c>
      <c r="E21" s="964"/>
      <c r="F21" s="965"/>
      <c r="G21" s="966"/>
      <c r="H21" s="293"/>
      <c r="I21" s="519"/>
      <c r="J21" s="407"/>
      <c r="K21" s="374"/>
      <c r="L21" s="374"/>
      <c r="M21" s="374"/>
      <c r="N21" s="313">
        <f t="shared" si="19"/>
        <v>0</v>
      </c>
      <c r="O21" s="313">
        <f t="shared" si="20"/>
        <v>0</v>
      </c>
      <c r="P21" s="313">
        <f>IF(Stamoplysninger!$H$29="JA",September!DG21,CX21)</f>
        <v>0</v>
      </c>
      <c r="Q21" s="313">
        <f t="shared" si="21"/>
        <v>0</v>
      </c>
      <c r="R21" s="314"/>
      <c r="S21" s="319"/>
      <c r="T21" s="320"/>
      <c r="U21" s="320"/>
      <c r="V21" s="429"/>
      <c r="W21" s="429"/>
      <c r="X21" s="635"/>
      <c r="Y21">
        <f t="shared" si="22"/>
        <v>0</v>
      </c>
      <c r="Z21" s="431">
        <f t="shared" si="23"/>
        <v>0</v>
      </c>
      <c r="AA21" s="1">
        <f t="shared" si="2"/>
        <v>0</v>
      </c>
      <c r="AB21" s="1">
        <f t="shared" si="3"/>
        <v>0</v>
      </c>
      <c r="AC21" s="1">
        <f t="shared" si="4"/>
        <v>0</v>
      </c>
      <c r="AD21" s="1">
        <f t="shared" si="5"/>
        <v>0</v>
      </c>
      <c r="AE21" s="1">
        <f t="shared" si="6"/>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f>IF(AND(C21="Skema 1",B21="fr"),Arbejdstidsoversigt!$E$76,"")</f>
        <v>0</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4"/>
        <v>0</v>
      </c>
      <c r="BB21" s="226">
        <f t="shared" si="7"/>
        <v>0</v>
      </c>
      <c r="BC21" s="1">
        <f t="shared" si="25"/>
        <v>0</v>
      </c>
      <c r="BD21" s="1">
        <f t="shared" si="8"/>
        <v>0</v>
      </c>
      <c r="BE21" s="1">
        <f t="shared" si="9"/>
        <v>0</v>
      </c>
      <c r="BF21" s="1">
        <f t="shared" si="10"/>
        <v>0</v>
      </c>
      <c r="BG21" s="209" t="str">
        <f>IF(AND(C21="Skema 1",B21="ma"),Skemaoplysninger!$E$30,"")</f>
        <v/>
      </c>
      <c r="BH21" s="209" t="str">
        <f>IF(AND(C21="Skema 1",B21="ti"),Skemaoplysninger!$G$30,"")</f>
        <v/>
      </c>
      <c r="BI21" s="209" t="str">
        <f>IF(AND(C21="Skema 1",B21="on"),Skemaoplysninger!$I$30,"")</f>
        <v/>
      </c>
      <c r="BJ21" s="209" t="str">
        <f>IF(AND(C21="Skema 1",B21="to"),Skemaoplysninger!$K$30,"")</f>
        <v/>
      </c>
      <c r="BK21" s="209">
        <f>IF(AND(C21="Skema 1",B21="fr"),Skemaoplysninger!$M$30,"")</f>
        <v>0</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6"/>
        <v>0</v>
      </c>
      <c r="CB21" s="1">
        <f t="shared" si="11"/>
        <v>0</v>
      </c>
      <c r="CC21" s="1">
        <f t="shared" si="12"/>
        <v>0</v>
      </c>
      <c r="CD21" s="209" t="str">
        <f>IF(AND(C21="Skema 1",B21="ma"),Skemaoplysninger!$E$31,"")</f>
        <v/>
      </c>
      <c r="CE21" s="209" t="str">
        <f>IF(AND(C21="Skema 1",B21="ti"),Skemaoplysninger!$G$31,"")</f>
        <v/>
      </c>
      <c r="CF21" s="209" t="str">
        <f>IF(AND(C21="Skema 1",B21="on"),Skemaoplysninger!$I$31,"")</f>
        <v/>
      </c>
      <c r="CG21" s="209" t="str">
        <f>IF(AND(C21="Skema 1",B21="to"),Skemaoplysninger!$K$31,"")</f>
        <v/>
      </c>
      <c r="CH21" s="209">
        <f>IF(AND(C21="Skema 1",B21="fr"),Skemaoplysninger!$M$31,"")</f>
        <v>0</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7"/>
        <v>0</v>
      </c>
      <c r="DH21" t="str">
        <f t="shared" si="28"/>
        <v/>
      </c>
      <c r="DI21">
        <f t="shared" si="29"/>
        <v>0</v>
      </c>
      <c r="DJ21">
        <f t="shared" si="30"/>
        <v>0</v>
      </c>
      <c r="DK21" t="str">
        <f t="shared" si="13"/>
        <v/>
      </c>
      <c r="DL21" t="str">
        <f t="shared" si="13"/>
        <v/>
      </c>
      <c r="DM21" t="str">
        <f t="shared" si="13"/>
        <v/>
      </c>
      <c r="DN21" t="str">
        <f t="shared" si="31"/>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lø</v>
      </c>
      <c r="C22" s="128" t="s">
        <v>120</v>
      </c>
      <c r="D22" s="129" t="str">
        <f t="shared" si="1"/>
        <v/>
      </c>
      <c r="E22" s="964"/>
      <c r="F22" s="965"/>
      <c r="G22" s="966"/>
      <c r="H22" s="293"/>
      <c r="I22" s="407"/>
      <c r="J22" s="407"/>
      <c r="K22" s="374"/>
      <c r="L22" s="374"/>
      <c r="M22" s="374"/>
      <c r="N22" s="313">
        <f t="shared" si="19"/>
        <v>0</v>
      </c>
      <c r="O22" s="313">
        <f t="shared" si="20"/>
        <v>0</v>
      </c>
      <c r="P22" s="313">
        <f>IF(Stamoplysninger!$H$29="JA",September!DG22,CX22)</f>
        <v>0</v>
      </c>
      <c r="Q22" s="313">
        <f t="shared" si="21"/>
        <v>0</v>
      </c>
      <c r="R22" s="314"/>
      <c r="S22" s="319"/>
      <c r="T22" s="320"/>
      <c r="U22" s="320"/>
      <c r="V22" s="429"/>
      <c r="W22" s="429"/>
      <c r="X22" s="635"/>
      <c r="Y22">
        <f t="shared" si="22"/>
        <v>0</v>
      </c>
      <c r="Z22" s="431">
        <f t="shared" si="23"/>
        <v>0</v>
      </c>
      <c r="AA22" s="1">
        <f t="shared" si="2"/>
        <v>0</v>
      </c>
      <c r="AB22" s="1">
        <f t="shared" si="3"/>
        <v>0</v>
      </c>
      <c r="AC22" s="1">
        <f t="shared" si="4"/>
        <v>0</v>
      </c>
      <c r="AD22" s="1">
        <f t="shared" si="5"/>
        <v>0</v>
      </c>
      <c r="AE22" s="1">
        <f t="shared" si="6"/>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4"/>
        <v>0</v>
      </c>
      <c r="BB22" s="226">
        <f t="shared" si="7"/>
        <v>0</v>
      </c>
      <c r="BC22" s="1">
        <f t="shared" si="25"/>
        <v>0</v>
      </c>
      <c r="BD22" s="1">
        <f t="shared" si="8"/>
        <v>0</v>
      </c>
      <c r="BE22" s="1">
        <f t="shared" si="9"/>
        <v>0</v>
      </c>
      <c r="BF22" s="1">
        <f t="shared" si="10"/>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6"/>
        <v>0</v>
      </c>
      <c r="CB22" s="1">
        <f t="shared" si="11"/>
        <v>0</v>
      </c>
      <c r="CC22" s="1">
        <f t="shared" si="12"/>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7"/>
        <v>0</v>
      </c>
      <c r="DH22" t="str">
        <f t="shared" si="28"/>
        <v/>
      </c>
      <c r="DI22">
        <f t="shared" si="29"/>
        <v>0</v>
      </c>
      <c r="DJ22">
        <f t="shared" si="30"/>
        <v>0</v>
      </c>
      <c r="DK22" t="str">
        <f t="shared" si="13"/>
        <v/>
      </c>
      <c r="DL22" t="str">
        <f t="shared" si="13"/>
        <v/>
      </c>
      <c r="DM22" t="str">
        <f t="shared" si="13"/>
        <v/>
      </c>
      <c r="DN22" t="str">
        <f t="shared" si="31"/>
        <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sø</v>
      </c>
      <c r="C23" s="128" t="s">
        <v>120</v>
      </c>
      <c r="D23" s="129" t="str">
        <f t="shared" si="1"/>
        <v/>
      </c>
      <c r="E23" s="964"/>
      <c r="F23" s="965"/>
      <c r="G23" s="966"/>
      <c r="H23" s="293"/>
      <c r="I23" s="407"/>
      <c r="J23" s="407"/>
      <c r="K23" s="374"/>
      <c r="L23" s="374"/>
      <c r="M23" s="374"/>
      <c r="N23" s="313">
        <f t="shared" si="19"/>
        <v>0</v>
      </c>
      <c r="O23" s="313">
        <f t="shared" si="20"/>
        <v>0</v>
      </c>
      <c r="P23" s="313">
        <f>IF(Stamoplysninger!$H$29="JA",September!DG23,CX23)</f>
        <v>0</v>
      </c>
      <c r="Q23" s="313">
        <f t="shared" si="21"/>
        <v>0</v>
      </c>
      <c r="R23" s="314"/>
      <c r="S23" s="319"/>
      <c r="T23" s="320"/>
      <c r="U23" s="320"/>
      <c r="V23" s="429"/>
      <c r="W23" s="429"/>
      <c r="X23" s="635"/>
      <c r="Y23">
        <f t="shared" si="22"/>
        <v>0</v>
      </c>
      <c r="Z23" s="431">
        <f t="shared" si="23"/>
        <v>0</v>
      </c>
      <c r="AA23" s="1">
        <f t="shared" si="2"/>
        <v>0</v>
      </c>
      <c r="AB23" s="1">
        <f t="shared" si="3"/>
        <v>0</v>
      </c>
      <c r="AC23" s="1">
        <f t="shared" si="4"/>
        <v>0</v>
      </c>
      <c r="AD23" s="1">
        <f t="shared" si="5"/>
        <v>0</v>
      </c>
      <c r="AE23" s="1">
        <f t="shared" si="6"/>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4"/>
        <v>0</v>
      </c>
      <c r="BB23" s="226">
        <f t="shared" si="7"/>
        <v>0</v>
      </c>
      <c r="BC23" s="1">
        <f t="shared" si="25"/>
        <v>0</v>
      </c>
      <c r="BD23" s="1">
        <f t="shared" si="8"/>
        <v>0</v>
      </c>
      <c r="BE23" s="1">
        <f t="shared" si="9"/>
        <v>0</v>
      </c>
      <c r="BF23" s="1">
        <f t="shared" si="10"/>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6"/>
        <v>0</v>
      </c>
      <c r="CB23" s="1">
        <f t="shared" si="11"/>
        <v>0</v>
      </c>
      <c r="CC23" s="1">
        <f t="shared" si="12"/>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7"/>
        <v>0</v>
      </c>
      <c r="DH23" t="str">
        <f t="shared" si="28"/>
        <v/>
      </c>
      <c r="DI23">
        <f t="shared" si="29"/>
        <v>0</v>
      </c>
      <c r="DJ23">
        <f t="shared" si="30"/>
        <v>0</v>
      </c>
      <c r="DK23" t="str">
        <f t="shared" si="13"/>
        <v/>
      </c>
      <c r="DL23" t="str">
        <f t="shared" si="13"/>
        <v/>
      </c>
      <c r="DM23" t="str">
        <f t="shared" si="13"/>
        <v/>
      </c>
      <c r="DN23" t="str">
        <f t="shared" si="31"/>
        <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ma</v>
      </c>
      <c r="C24" s="128" t="s">
        <v>206</v>
      </c>
      <c r="D24" s="129">
        <f t="shared" si="1"/>
        <v>38</v>
      </c>
      <c r="E24" s="932"/>
      <c r="F24" s="933"/>
      <c r="G24" s="934"/>
      <c r="H24" s="294"/>
      <c r="I24" s="519"/>
      <c r="J24" s="407"/>
      <c r="K24" s="374"/>
      <c r="L24" s="374"/>
      <c r="M24" s="374"/>
      <c r="N24" s="313">
        <f t="shared" si="19"/>
        <v>0</v>
      </c>
      <c r="O24" s="313">
        <f t="shared" si="20"/>
        <v>0</v>
      </c>
      <c r="P24" s="313">
        <f>IF(Stamoplysninger!$H$29="JA",September!DG24,CX24)</f>
        <v>0</v>
      </c>
      <c r="Q24" s="313">
        <f t="shared" si="21"/>
        <v>0</v>
      </c>
      <c r="R24" s="314"/>
      <c r="S24" s="319"/>
      <c r="T24" s="320"/>
      <c r="U24" s="320"/>
      <c r="V24" s="429"/>
      <c r="W24" s="429"/>
      <c r="X24" s="635"/>
      <c r="Y24">
        <f t="shared" si="22"/>
        <v>0</v>
      </c>
      <c r="Z24" s="431">
        <f t="shared" si="23"/>
        <v>0</v>
      </c>
      <c r="AA24" s="1">
        <f t="shared" si="2"/>
        <v>0</v>
      </c>
      <c r="AB24" s="1">
        <f t="shared" si="3"/>
        <v>0</v>
      </c>
      <c r="AC24" s="1">
        <f t="shared" si="4"/>
        <v>0</v>
      </c>
      <c r="AD24" s="1">
        <f t="shared" si="5"/>
        <v>0</v>
      </c>
      <c r="AE24" s="1">
        <f t="shared" si="6"/>
        <v>0</v>
      </c>
      <c r="AF24" s="1">
        <f>IF(C24="Orlov",7.4*Stamoplysninger!$E$15,0)</f>
        <v>0</v>
      </c>
      <c r="AG24">
        <f>IF(AND(C24="Skema 1",B24="ma"),Arbejdstidsoversigt!$E$72,"")</f>
        <v>0</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4"/>
        <v>0</v>
      </c>
      <c r="BB24" s="226">
        <f t="shared" si="7"/>
        <v>0</v>
      </c>
      <c r="BC24" s="1">
        <f t="shared" si="25"/>
        <v>0</v>
      </c>
      <c r="BD24" s="1">
        <f t="shared" si="8"/>
        <v>0</v>
      </c>
      <c r="BE24" s="1">
        <f t="shared" si="9"/>
        <v>0</v>
      </c>
      <c r="BF24" s="1">
        <f t="shared" si="10"/>
        <v>0</v>
      </c>
      <c r="BG24" s="209">
        <f>IF(AND(C24="Skema 1",B24="ma"),Skemaoplysninger!$E$30,"")</f>
        <v>0</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6"/>
        <v>0</v>
      </c>
      <c r="CB24" s="1">
        <f t="shared" si="11"/>
        <v>0</v>
      </c>
      <c r="CC24" s="1">
        <f t="shared" si="12"/>
        <v>0</v>
      </c>
      <c r="CD24" s="209">
        <f>IF(AND(C24="Skema 1",B24="ma"),Skemaoplysninger!$E$31,"")</f>
        <v>0</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7"/>
        <v>0</v>
      </c>
      <c r="DH24" t="str">
        <f t="shared" si="28"/>
        <v/>
      </c>
      <c r="DI24">
        <f t="shared" si="29"/>
        <v>0</v>
      </c>
      <c r="DJ24">
        <f t="shared" si="30"/>
        <v>0</v>
      </c>
      <c r="DK24" t="str">
        <f t="shared" si="13"/>
        <v/>
      </c>
      <c r="DL24" t="str">
        <f t="shared" si="13"/>
        <v/>
      </c>
      <c r="DM24" t="str">
        <f t="shared" si="13"/>
        <v/>
      </c>
      <c r="DN24" t="str">
        <f t="shared" si="31"/>
        <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ti</v>
      </c>
      <c r="C25" s="128" t="s">
        <v>206</v>
      </c>
      <c r="D25" s="129" t="str">
        <f t="shared" si="1"/>
        <v/>
      </c>
      <c r="E25" s="932"/>
      <c r="F25" s="933"/>
      <c r="G25" s="934"/>
      <c r="H25" s="294"/>
      <c r="I25" s="519"/>
      <c r="J25" s="407"/>
      <c r="K25" s="374"/>
      <c r="L25" s="374"/>
      <c r="M25" s="374"/>
      <c r="N25" s="313">
        <f t="shared" si="19"/>
        <v>0</v>
      </c>
      <c r="O25" s="313">
        <f t="shared" si="20"/>
        <v>0</v>
      </c>
      <c r="P25" s="313">
        <f>IF(Stamoplysninger!$H$29="JA",September!DG25,CX25)</f>
        <v>0</v>
      </c>
      <c r="Q25" s="313">
        <f t="shared" si="21"/>
        <v>0</v>
      </c>
      <c r="R25" s="314"/>
      <c r="S25" s="319"/>
      <c r="T25" s="320"/>
      <c r="U25" s="320"/>
      <c r="V25" s="429"/>
      <c r="W25" s="429"/>
      <c r="X25" s="635"/>
      <c r="Y25">
        <f t="shared" si="22"/>
        <v>0</v>
      </c>
      <c r="Z25" s="431">
        <f t="shared" si="23"/>
        <v>0</v>
      </c>
      <c r="AA25" s="1">
        <f t="shared" si="2"/>
        <v>0</v>
      </c>
      <c r="AB25" s="1">
        <f t="shared" si="3"/>
        <v>0</v>
      </c>
      <c r="AC25" s="1">
        <f t="shared" si="4"/>
        <v>0</v>
      </c>
      <c r="AD25" s="1">
        <f t="shared" si="5"/>
        <v>0</v>
      </c>
      <c r="AE25" s="1">
        <f t="shared" si="6"/>
        <v>0</v>
      </c>
      <c r="AF25" s="1">
        <f>IF(C25="Orlov",7.4*Stamoplysninger!$E$15,0)</f>
        <v>0</v>
      </c>
      <c r="AG25" t="str">
        <f>IF(AND(C25="Skema 1",B25="ma"),Arbejdstidsoversigt!$E$72,"")</f>
        <v/>
      </c>
      <c r="AH25">
        <f>IF(AND(C25="Skema 1",B25="ti"),Arbejdstidsoversigt!$E$73,"")</f>
        <v>0</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4"/>
        <v>0</v>
      </c>
      <c r="BB25" s="226">
        <f t="shared" si="7"/>
        <v>0</v>
      </c>
      <c r="BC25" s="1">
        <f t="shared" si="25"/>
        <v>0</v>
      </c>
      <c r="BD25" s="1">
        <f t="shared" si="8"/>
        <v>0</v>
      </c>
      <c r="BE25" s="1">
        <f t="shared" si="9"/>
        <v>0</v>
      </c>
      <c r="BF25" s="1">
        <f t="shared" si="10"/>
        <v>0</v>
      </c>
      <c r="BG25" s="209" t="str">
        <f>IF(AND(C25="Skema 1",B25="ma"),Skemaoplysninger!$E$30,"")</f>
        <v/>
      </c>
      <c r="BH25" s="209">
        <f>IF(AND(C25="Skema 1",B25="ti"),Skemaoplysninger!$G$30,"")</f>
        <v>0</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6"/>
        <v>0</v>
      </c>
      <c r="CB25" s="1">
        <f t="shared" si="11"/>
        <v>0</v>
      </c>
      <c r="CC25" s="1">
        <f t="shared" si="12"/>
        <v>0</v>
      </c>
      <c r="CD25" s="209" t="str">
        <f>IF(AND(C25="Skema 1",B25="ma"),Skemaoplysninger!$E$31,"")</f>
        <v/>
      </c>
      <c r="CE25" s="209">
        <f>IF(AND(C25="Skema 1",B25="ti"),Skemaoplysninger!$G$31,"")</f>
        <v>0</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7"/>
        <v>0</v>
      </c>
      <c r="DH25" t="str">
        <f t="shared" si="28"/>
        <v/>
      </c>
      <c r="DI25">
        <f t="shared" si="29"/>
        <v>0</v>
      </c>
      <c r="DJ25">
        <f t="shared" si="30"/>
        <v>0</v>
      </c>
      <c r="DK25" t="str">
        <f t="shared" si="13"/>
        <v/>
      </c>
      <c r="DL25" t="str">
        <f t="shared" si="13"/>
        <v/>
      </c>
      <c r="DM25" t="str">
        <f t="shared" si="13"/>
        <v/>
      </c>
      <c r="DN25" t="str">
        <f t="shared" si="31"/>
        <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on</v>
      </c>
      <c r="C26" s="128" t="s">
        <v>206</v>
      </c>
      <c r="D26" s="129" t="str">
        <f t="shared" si="1"/>
        <v/>
      </c>
      <c r="E26" s="932"/>
      <c r="F26" s="933"/>
      <c r="G26" s="934"/>
      <c r="H26" s="294"/>
      <c r="I26" s="519"/>
      <c r="J26" s="407"/>
      <c r="K26" s="374"/>
      <c r="L26" s="374"/>
      <c r="M26" s="374"/>
      <c r="N26" s="313">
        <f t="shared" si="19"/>
        <v>0</v>
      </c>
      <c r="O26" s="313">
        <f t="shared" si="20"/>
        <v>0</v>
      </c>
      <c r="P26" s="313">
        <f>IF(Stamoplysninger!$H$29="JA",September!DG26,CX26)</f>
        <v>0</v>
      </c>
      <c r="Q26" s="313">
        <f t="shared" si="21"/>
        <v>0</v>
      </c>
      <c r="R26" s="314"/>
      <c r="S26" s="319"/>
      <c r="T26" s="320"/>
      <c r="U26" s="320"/>
      <c r="V26" s="429"/>
      <c r="W26" s="429"/>
      <c r="X26" s="635"/>
      <c r="Y26">
        <f t="shared" si="22"/>
        <v>0</v>
      </c>
      <c r="Z26" s="431">
        <f t="shared" si="23"/>
        <v>0</v>
      </c>
      <c r="AA26" s="1">
        <f t="shared" si="2"/>
        <v>0</v>
      </c>
      <c r="AB26" s="1">
        <f t="shared" si="3"/>
        <v>0</v>
      </c>
      <c r="AC26" s="1">
        <f t="shared" si="4"/>
        <v>0</v>
      </c>
      <c r="AD26" s="1">
        <f t="shared" si="5"/>
        <v>0</v>
      </c>
      <c r="AE26" s="1">
        <f t="shared" si="6"/>
        <v>0</v>
      </c>
      <c r="AF26" s="1">
        <f>IF(C26="Orlov",7.4*Stamoplysninger!$E$15,0)</f>
        <v>0</v>
      </c>
      <c r="AG26" t="str">
        <f>IF(AND(C26="Skema 1",B26="ma"),Arbejdstidsoversigt!$E$72,"")</f>
        <v/>
      </c>
      <c r="AH26" t="str">
        <f>IF(AND(C26="Skema 1",B26="ti"),Arbejdstidsoversigt!$E$73,"")</f>
        <v/>
      </c>
      <c r="AI26">
        <f>IF(AND(C26="Skema 1",B26="on"),Arbejdstidsoversigt!$E$74,"")</f>
        <v>0</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4"/>
        <v>0</v>
      </c>
      <c r="BB26" s="226">
        <f t="shared" si="7"/>
        <v>0</v>
      </c>
      <c r="BC26" s="1">
        <f t="shared" si="25"/>
        <v>0</v>
      </c>
      <c r="BD26" s="1">
        <f t="shared" si="8"/>
        <v>0</v>
      </c>
      <c r="BE26" s="1">
        <f t="shared" si="9"/>
        <v>0</v>
      </c>
      <c r="BF26" s="1">
        <f t="shared" si="10"/>
        <v>0</v>
      </c>
      <c r="BG26" s="209" t="str">
        <f>IF(AND(C26="Skema 1",B26="ma"),Skemaoplysninger!$E$30,"")</f>
        <v/>
      </c>
      <c r="BH26" s="209" t="str">
        <f>IF(AND(C26="Skema 1",B26="ti"),Skemaoplysninger!$G$30,"")</f>
        <v/>
      </c>
      <c r="BI26" s="209">
        <f>IF(AND(C26="Skema 1",B26="on"),Skemaoplysninger!$I$30,"")</f>
        <v>0</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6"/>
        <v>0</v>
      </c>
      <c r="CB26" s="1">
        <f t="shared" si="11"/>
        <v>0</v>
      </c>
      <c r="CC26" s="1">
        <f t="shared" si="12"/>
        <v>0</v>
      </c>
      <c r="CD26" s="209" t="str">
        <f>IF(AND(C26="Skema 1",B26="ma"),Skemaoplysninger!$E$31,"")</f>
        <v/>
      </c>
      <c r="CE26" s="209" t="str">
        <f>IF(AND(C26="Skema 1",B26="ti"),Skemaoplysninger!$G$31,"")</f>
        <v/>
      </c>
      <c r="CF26" s="209">
        <f>IF(AND(C26="Skema 1",B26="on"),Skemaoplysninger!$I$31,"")</f>
        <v>0</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7"/>
        <v>0</v>
      </c>
      <c r="DH26" t="str">
        <f t="shared" si="28"/>
        <v/>
      </c>
      <c r="DI26">
        <f t="shared" si="29"/>
        <v>0</v>
      </c>
      <c r="DJ26">
        <f t="shared" si="30"/>
        <v>0</v>
      </c>
      <c r="DK26" t="str">
        <f t="shared" si="13"/>
        <v/>
      </c>
      <c r="DL26" t="str">
        <f t="shared" si="13"/>
        <v/>
      </c>
      <c r="DM26" t="str">
        <f t="shared" si="13"/>
        <v/>
      </c>
      <c r="DN26" t="str">
        <f t="shared" si="31"/>
        <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to</v>
      </c>
      <c r="C27" s="128" t="s">
        <v>206</v>
      </c>
      <c r="D27" s="129" t="str">
        <f t="shared" si="1"/>
        <v/>
      </c>
      <c r="E27" s="932"/>
      <c r="F27" s="933"/>
      <c r="G27" s="934"/>
      <c r="H27" s="294"/>
      <c r="I27" s="519"/>
      <c r="J27" s="407"/>
      <c r="K27" s="374"/>
      <c r="L27" s="374"/>
      <c r="M27" s="374"/>
      <c r="N27" s="313">
        <f t="shared" si="19"/>
        <v>0</v>
      </c>
      <c r="O27" s="313">
        <f t="shared" si="20"/>
        <v>0</v>
      </c>
      <c r="P27" s="313">
        <f>IF(Stamoplysninger!$H$29="JA",September!DG27,CX27)</f>
        <v>0</v>
      </c>
      <c r="Q27" s="313">
        <f t="shared" si="21"/>
        <v>0</v>
      </c>
      <c r="R27" s="314"/>
      <c r="S27" s="319"/>
      <c r="T27" s="320"/>
      <c r="U27" s="320"/>
      <c r="V27" s="429"/>
      <c r="W27" s="429"/>
      <c r="X27" s="635"/>
      <c r="Y27">
        <f t="shared" si="22"/>
        <v>0</v>
      </c>
      <c r="Z27" s="431">
        <f t="shared" si="23"/>
        <v>0</v>
      </c>
      <c r="AA27" s="1">
        <f t="shared" si="2"/>
        <v>0</v>
      </c>
      <c r="AB27" s="1">
        <f t="shared" si="3"/>
        <v>0</v>
      </c>
      <c r="AC27" s="1">
        <f t="shared" si="4"/>
        <v>0</v>
      </c>
      <c r="AD27" s="1">
        <f t="shared" si="5"/>
        <v>0</v>
      </c>
      <c r="AE27" s="1">
        <f t="shared" si="6"/>
        <v>0</v>
      </c>
      <c r="AF27" s="1">
        <f>IF(C27="Orlov",7.4*Stamoplysninger!$E$15,0)</f>
        <v>0</v>
      </c>
      <c r="AG27" t="str">
        <f>IF(AND(C27="Skema 1",B27="ma"),Arbejdstidsoversigt!$E$72,"")</f>
        <v/>
      </c>
      <c r="AH27" t="str">
        <f>IF(AND(C27="Skema 1",B27="ti"),Arbejdstidsoversigt!$E$73,"")</f>
        <v/>
      </c>
      <c r="AI27" t="str">
        <f>IF(AND(C27="Skema 1",B27="on"),Arbejdstidsoversigt!$E$74,"")</f>
        <v/>
      </c>
      <c r="AJ27">
        <f>IF(AND(C27="Skema 1",B27="to"),Arbejdstidsoversigt!$E$75,"")</f>
        <v>0</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4"/>
        <v>0</v>
      </c>
      <c r="BB27" s="226">
        <f t="shared" si="7"/>
        <v>0</v>
      </c>
      <c r="BC27" s="1">
        <f t="shared" si="25"/>
        <v>0</v>
      </c>
      <c r="BD27" s="1">
        <f t="shared" si="8"/>
        <v>0</v>
      </c>
      <c r="BE27" s="1">
        <f t="shared" si="9"/>
        <v>0</v>
      </c>
      <c r="BF27" s="1">
        <f t="shared" si="10"/>
        <v>0</v>
      </c>
      <c r="BG27" s="209" t="str">
        <f>IF(AND(C27="Skema 1",B27="ma"),Skemaoplysninger!$E$30,"")</f>
        <v/>
      </c>
      <c r="BH27" s="209" t="str">
        <f>IF(AND(C27="Skema 1",B27="ti"),Skemaoplysninger!$G$30,"")</f>
        <v/>
      </c>
      <c r="BI27" s="209" t="str">
        <f>IF(AND(C27="Skema 1",B27="on"),Skemaoplysninger!$I$30,"")</f>
        <v/>
      </c>
      <c r="BJ27" s="209">
        <f>IF(AND(C27="Skema 1",B27="to"),Skemaoplysninger!$K$30,"")</f>
        <v>0</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6"/>
        <v>0</v>
      </c>
      <c r="CB27" s="1">
        <f t="shared" si="11"/>
        <v>0</v>
      </c>
      <c r="CC27" s="1">
        <f t="shared" si="12"/>
        <v>0</v>
      </c>
      <c r="CD27" s="209" t="str">
        <f>IF(AND(C27="Skema 1",B27="ma"),Skemaoplysninger!$E$31,"")</f>
        <v/>
      </c>
      <c r="CE27" s="209" t="str">
        <f>IF(AND(C27="Skema 1",B27="ti"),Skemaoplysninger!$G$31,"")</f>
        <v/>
      </c>
      <c r="CF27" s="209" t="str">
        <f>IF(AND(C27="Skema 1",B27="on"),Skemaoplysninger!$I$31,"")</f>
        <v/>
      </c>
      <c r="CG27" s="209">
        <f>IF(AND(C27="Skema 1",B27="to"),Skemaoplysninger!$K$31,"")</f>
        <v>0</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7"/>
        <v>0</v>
      </c>
      <c r="DH27" t="str">
        <f t="shared" si="28"/>
        <v/>
      </c>
      <c r="DI27">
        <f t="shared" si="29"/>
        <v>0</v>
      </c>
      <c r="DJ27">
        <f t="shared" si="30"/>
        <v>0</v>
      </c>
      <c r="DK27" t="str">
        <f t="shared" si="13"/>
        <v/>
      </c>
      <c r="DL27" t="str">
        <f t="shared" si="13"/>
        <v/>
      </c>
      <c r="DM27" t="str">
        <f t="shared" si="13"/>
        <v/>
      </c>
      <c r="DN27" t="str">
        <f t="shared" si="31"/>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fr</v>
      </c>
      <c r="C28" s="128" t="s">
        <v>206</v>
      </c>
      <c r="D28" s="129" t="str">
        <f t="shared" si="1"/>
        <v/>
      </c>
      <c r="E28" s="932"/>
      <c r="F28" s="933"/>
      <c r="G28" s="934"/>
      <c r="H28" s="294"/>
      <c r="I28" s="519"/>
      <c r="J28" s="407"/>
      <c r="K28" s="374"/>
      <c r="L28" s="374"/>
      <c r="M28" s="374"/>
      <c r="N28" s="313">
        <f t="shared" si="19"/>
        <v>0</v>
      </c>
      <c r="O28" s="313">
        <f t="shared" si="20"/>
        <v>0</v>
      </c>
      <c r="P28" s="313">
        <f>IF(Stamoplysninger!$H$29="JA",September!DG28,CX28)</f>
        <v>0</v>
      </c>
      <c r="Q28" s="313">
        <f t="shared" si="21"/>
        <v>0</v>
      </c>
      <c r="R28" s="314"/>
      <c r="S28" s="319"/>
      <c r="T28" s="320"/>
      <c r="U28" s="320"/>
      <c r="V28" s="429"/>
      <c r="W28" s="429"/>
      <c r="X28" s="635"/>
      <c r="Y28">
        <f t="shared" si="22"/>
        <v>0</v>
      </c>
      <c r="Z28" s="431">
        <f t="shared" si="23"/>
        <v>0</v>
      </c>
      <c r="AA28" s="1">
        <f t="shared" si="2"/>
        <v>0</v>
      </c>
      <c r="AB28" s="1">
        <f t="shared" si="3"/>
        <v>0</v>
      </c>
      <c r="AC28" s="1">
        <f t="shared" si="4"/>
        <v>0</v>
      </c>
      <c r="AD28" s="1">
        <f t="shared" si="5"/>
        <v>0</v>
      </c>
      <c r="AE28" s="1">
        <f t="shared" si="6"/>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f>IF(AND(C28="Skema 1",B28="fr"),Arbejdstidsoversigt!$E$76,"")</f>
        <v>0</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4"/>
        <v>0</v>
      </c>
      <c r="BB28" s="226">
        <f t="shared" si="7"/>
        <v>0</v>
      </c>
      <c r="BC28" s="1">
        <f t="shared" si="25"/>
        <v>0</v>
      </c>
      <c r="BD28" s="1">
        <f t="shared" si="8"/>
        <v>0</v>
      </c>
      <c r="BE28" s="1">
        <f t="shared" si="9"/>
        <v>0</v>
      </c>
      <c r="BF28" s="1">
        <f t="shared" si="10"/>
        <v>0</v>
      </c>
      <c r="BG28" s="209" t="str">
        <f>IF(AND(C28="Skema 1",B28="ma"),Skemaoplysninger!$E$30,"")</f>
        <v/>
      </c>
      <c r="BH28" s="209" t="str">
        <f>IF(AND(C28="Skema 1",B28="ti"),Skemaoplysninger!$G$30,"")</f>
        <v/>
      </c>
      <c r="BI28" s="209" t="str">
        <f>IF(AND(C28="Skema 1",B28="on"),Skemaoplysninger!$I$30,"")</f>
        <v/>
      </c>
      <c r="BJ28" s="209" t="str">
        <f>IF(AND(C28="Skema 1",B28="to"),Skemaoplysninger!$K$30,"")</f>
        <v/>
      </c>
      <c r="BK28" s="209">
        <f>IF(AND(C28="Skema 1",B28="fr"),Skemaoplysninger!$M$30,"")</f>
        <v>0</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6"/>
        <v>0</v>
      </c>
      <c r="CB28" s="1">
        <f t="shared" si="11"/>
        <v>0</v>
      </c>
      <c r="CC28" s="1">
        <f t="shared" si="12"/>
        <v>0</v>
      </c>
      <c r="CD28" s="209" t="str">
        <f>IF(AND(C28="Skema 1",B28="ma"),Skemaoplysninger!$E$31,"")</f>
        <v/>
      </c>
      <c r="CE28" s="209" t="str">
        <f>IF(AND(C28="Skema 1",B28="ti"),Skemaoplysninger!$G$31,"")</f>
        <v/>
      </c>
      <c r="CF28" s="209" t="str">
        <f>IF(AND(C28="Skema 1",B28="on"),Skemaoplysninger!$I$31,"")</f>
        <v/>
      </c>
      <c r="CG28" s="209" t="str">
        <f>IF(AND(C28="Skema 1",B28="to"),Skemaoplysninger!$K$31,"")</f>
        <v/>
      </c>
      <c r="CH28" s="209">
        <f>IF(AND(C28="Skema 1",B28="fr"),Skemaoplysninger!$M$31,"")</f>
        <v>0</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7"/>
        <v>0</v>
      </c>
      <c r="DH28" t="str">
        <f t="shared" si="28"/>
        <v/>
      </c>
      <c r="DI28">
        <f t="shared" si="29"/>
        <v>0</v>
      </c>
      <c r="DJ28">
        <f t="shared" si="30"/>
        <v>0</v>
      </c>
      <c r="DK28" t="str">
        <f t="shared" si="13"/>
        <v/>
      </c>
      <c r="DL28" t="str">
        <f t="shared" si="13"/>
        <v/>
      </c>
      <c r="DM28" t="str">
        <f t="shared" si="13"/>
        <v/>
      </c>
      <c r="DN28" t="str">
        <f t="shared" si="31"/>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lø</v>
      </c>
      <c r="C29" s="128" t="s">
        <v>120</v>
      </c>
      <c r="D29" s="129" t="str">
        <f t="shared" si="1"/>
        <v/>
      </c>
      <c r="E29" s="932"/>
      <c r="F29" s="933"/>
      <c r="G29" s="934"/>
      <c r="H29" s="294"/>
      <c r="I29" s="407"/>
      <c r="J29" s="407"/>
      <c r="K29" s="374"/>
      <c r="L29" s="374"/>
      <c r="M29" s="374"/>
      <c r="N29" s="313">
        <f t="shared" si="19"/>
        <v>0</v>
      </c>
      <c r="O29" s="313">
        <f t="shared" si="20"/>
        <v>0</v>
      </c>
      <c r="P29" s="313">
        <f>IF(Stamoplysninger!$H$29="JA",September!DG29,CX29)</f>
        <v>0</v>
      </c>
      <c r="Q29" s="313">
        <f t="shared" si="21"/>
        <v>0</v>
      </c>
      <c r="R29" s="314"/>
      <c r="S29" s="319"/>
      <c r="T29" s="320"/>
      <c r="U29" s="320"/>
      <c r="V29" s="429"/>
      <c r="W29" s="429"/>
      <c r="X29" s="635"/>
      <c r="Y29">
        <f t="shared" si="22"/>
        <v>0</v>
      </c>
      <c r="Z29" s="431">
        <f t="shared" si="23"/>
        <v>0</v>
      </c>
      <c r="AA29" s="1">
        <f t="shared" si="2"/>
        <v>0</v>
      </c>
      <c r="AB29" s="1">
        <f t="shared" si="3"/>
        <v>0</v>
      </c>
      <c r="AC29" s="1">
        <f t="shared" si="4"/>
        <v>0</v>
      </c>
      <c r="AD29" s="1">
        <f t="shared" si="5"/>
        <v>0</v>
      </c>
      <c r="AE29" s="1">
        <f t="shared" si="6"/>
        <v>0</v>
      </c>
      <c r="AF29" s="1">
        <f>IF(C29="Orlov",7.4*Stamoplysninger!$E$15,0)</f>
        <v>0</v>
      </c>
      <c r="AG29" t="str">
        <f>IF(AND(C29="Skema 1",B29="ma"),Arbejdstidsoversigt!$E$72,"")</f>
        <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4"/>
        <v>0</v>
      </c>
      <c r="BB29" s="226">
        <f t="shared" si="7"/>
        <v>0</v>
      </c>
      <c r="BC29" s="1">
        <f t="shared" si="25"/>
        <v>0</v>
      </c>
      <c r="BD29" s="1">
        <f t="shared" si="8"/>
        <v>0</v>
      </c>
      <c r="BE29" s="1">
        <f t="shared" si="9"/>
        <v>0</v>
      </c>
      <c r="BF29" s="1">
        <f t="shared" si="10"/>
        <v>0</v>
      </c>
      <c r="BG29" s="209" t="str">
        <f>IF(AND(C29="Skema 1",B29="ma"),Skemaoplysninger!$E$30,"")</f>
        <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6"/>
        <v>0</v>
      </c>
      <c r="CB29" s="1">
        <f t="shared" si="11"/>
        <v>0</v>
      </c>
      <c r="CC29" s="1">
        <f t="shared" si="12"/>
        <v>0</v>
      </c>
      <c r="CD29" s="209" t="str">
        <f>IF(AND(C29="Skema 1",B29="ma"),Skemaoplysninger!$E$31,"")</f>
        <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7"/>
        <v>0</v>
      </c>
      <c r="DH29" t="str">
        <f t="shared" si="28"/>
        <v/>
      </c>
      <c r="DI29">
        <f t="shared" si="29"/>
        <v>0</v>
      </c>
      <c r="DJ29">
        <f t="shared" si="30"/>
        <v>0</v>
      </c>
      <c r="DK29" t="str">
        <f t="shared" si="13"/>
        <v/>
      </c>
      <c r="DL29" t="str">
        <f t="shared" si="13"/>
        <v/>
      </c>
      <c r="DM29" t="str">
        <f t="shared" si="13"/>
        <v/>
      </c>
      <c r="DN29" t="str">
        <f t="shared" si="31"/>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sø</v>
      </c>
      <c r="C30" s="128" t="s">
        <v>120</v>
      </c>
      <c r="D30" s="129" t="str">
        <f t="shared" si="1"/>
        <v/>
      </c>
      <c r="E30" s="932"/>
      <c r="F30" s="933"/>
      <c r="G30" s="934"/>
      <c r="H30" s="294"/>
      <c r="I30" s="407"/>
      <c r="J30" s="407"/>
      <c r="K30" s="374"/>
      <c r="L30" s="374"/>
      <c r="M30" s="374"/>
      <c r="N30" s="313">
        <f t="shared" si="19"/>
        <v>0</v>
      </c>
      <c r="O30" s="313">
        <f t="shared" si="20"/>
        <v>0</v>
      </c>
      <c r="P30" s="313">
        <f>IF(Stamoplysninger!$H$29="JA",September!DG30,CX30)</f>
        <v>0</v>
      </c>
      <c r="Q30" s="313">
        <f t="shared" si="21"/>
        <v>0</v>
      </c>
      <c r="R30" s="314"/>
      <c r="S30" s="319"/>
      <c r="T30" s="320"/>
      <c r="U30" s="320"/>
      <c r="V30" s="429"/>
      <c r="W30" s="429"/>
      <c r="X30" s="635"/>
      <c r="Y30">
        <f t="shared" si="22"/>
        <v>0</v>
      </c>
      <c r="Z30" s="431">
        <f t="shared" si="23"/>
        <v>0</v>
      </c>
      <c r="AA30" s="1">
        <f t="shared" si="2"/>
        <v>0</v>
      </c>
      <c r="AB30" s="1">
        <f t="shared" si="3"/>
        <v>0</v>
      </c>
      <c r="AC30" s="1">
        <f t="shared" si="4"/>
        <v>0</v>
      </c>
      <c r="AD30" s="1">
        <f t="shared" si="5"/>
        <v>0</v>
      </c>
      <c r="AE30" s="1">
        <f t="shared" si="6"/>
        <v>0</v>
      </c>
      <c r="AF30" s="1">
        <f>IF(C30="Orlov",7.4*Stamoplysninger!$E$15,0)</f>
        <v>0</v>
      </c>
      <c r="AG30" t="str">
        <f>IF(AND(C30="Skema 1",B30="ma"),Arbejdstidsoversigt!$E$72,"")</f>
        <v/>
      </c>
      <c r="AH30" t="str">
        <f>IF(AND(C30="Skema 1",B30="ti"),Arbejdstidsoversigt!$E$73,"")</f>
        <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4"/>
        <v>0</v>
      </c>
      <c r="BB30" s="226">
        <f t="shared" si="7"/>
        <v>0</v>
      </c>
      <c r="BC30" s="1">
        <f t="shared" si="25"/>
        <v>0</v>
      </c>
      <c r="BD30" s="1">
        <f t="shared" si="8"/>
        <v>0</v>
      </c>
      <c r="BE30" s="1">
        <f t="shared" si="9"/>
        <v>0</v>
      </c>
      <c r="BF30" s="1">
        <f t="shared" si="10"/>
        <v>0</v>
      </c>
      <c r="BG30" s="209" t="str">
        <f>IF(AND(C30="Skema 1",B30="ma"),Skemaoplysninger!$E$30,"")</f>
        <v/>
      </c>
      <c r="BH30" s="209" t="str">
        <f>IF(AND(C30="Skema 1",B30="ti"),Skemaoplysninger!$G$30,"")</f>
        <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6"/>
        <v>0</v>
      </c>
      <c r="CB30" s="1">
        <f t="shared" si="11"/>
        <v>0</v>
      </c>
      <c r="CC30" s="1">
        <f t="shared" si="12"/>
        <v>0</v>
      </c>
      <c r="CD30" s="209" t="str">
        <f>IF(AND(C30="Skema 1",B30="ma"),Skemaoplysninger!$E$31,"")</f>
        <v/>
      </c>
      <c r="CE30" s="209" t="str">
        <f>IF(AND(C30="Skema 1",B30="ti"),Skemaoplysninger!$G$31,"")</f>
        <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7"/>
        <v>0</v>
      </c>
      <c r="DH30" t="str">
        <f t="shared" si="28"/>
        <v/>
      </c>
      <c r="DI30">
        <f t="shared" si="29"/>
        <v>0</v>
      </c>
      <c r="DJ30">
        <f t="shared" si="30"/>
        <v>0</v>
      </c>
      <c r="DK30" t="str">
        <f t="shared" si="13"/>
        <v/>
      </c>
      <c r="DL30" t="str">
        <f t="shared" si="13"/>
        <v/>
      </c>
      <c r="DM30" t="str">
        <f t="shared" si="13"/>
        <v/>
      </c>
      <c r="DN30" t="str">
        <f t="shared" si="31"/>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8" si="32">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ma</v>
      </c>
      <c r="C31" s="128" t="s">
        <v>206</v>
      </c>
      <c r="D31" s="129">
        <f t="shared" si="1"/>
        <v>39</v>
      </c>
      <c r="E31" s="932"/>
      <c r="F31" s="933"/>
      <c r="G31" s="934"/>
      <c r="H31" s="294"/>
      <c r="I31" s="519"/>
      <c r="J31" s="407"/>
      <c r="K31" s="374"/>
      <c r="L31" s="374"/>
      <c r="M31" s="374"/>
      <c r="N31" s="313">
        <f t="shared" si="19"/>
        <v>0</v>
      </c>
      <c r="O31" s="313">
        <f t="shared" si="20"/>
        <v>0</v>
      </c>
      <c r="P31" s="313">
        <f>IF(Stamoplysninger!$H$29="JA",September!DG31,CX31)</f>
        <v>0</v>
      </c>
      <c r="Q31" s="313">
        <f t="shared" si="21"/>
        <v>0</v>
      </c>
      <c r="R31" s="314"/>
      <c r="S31" s="319"/>
      <c r="T31" s="320"/>
      <c r="U31" s="320"/>
      <c r="V31" s="429"/>
      <c r="W31" s="429"/>
      <c r="X31" s="635"/>
      <c r="Y31">
        <f t="shared" si="22"/>
        <v>0</v>
      </c>
      <c r="Z31" s="431">
        <f t="shared" si="23"/>
        <v>0</v>
      </c>
      <c r="AA31" s="1">
        <f t="shared" si="2"/>
        <v>0</v>
      </c>
      <c r="AB31" s="1">
        <f t="shared" si="3"/>
        <v>0</v>
      </c>
      <c r="AC31" s="1">
        <f t="shared" si="4"/>
        <v>0</v>
      </c>
      <c r="AD31" s="1">
        <f t="shared" si="5"/>
        <v>0</v>
      </c>
      <c r="AE31" s="1">
        <f t="shared" si="6"/>
        <v>0</v>
      </c>
      <c r="AF31" s="1">
        <f>IF(C31="Orlov",7.4*Stamoplysninger!$E$15,0)</f>
        <v>0</v>
      </c>
      <c r="AG31">
        <f>IF(AND(C31="Skema 1",B31="ma"),Arbejdstidsoversigt!$E$72,"")</f>
        <v>0</v>
      </c>
      <c r="AH31" t="str">
        <f>IF(AND(C31="Skema 1",B31="ti"),Arbejdstidsoversigt!$E$73,"")</f>
        <v/>
      </c>
      <c r="AI31" t="str">
        <f>IF(AND(C31="Skema 1",B31="on"),Arbejdstidsoversigt!$E$74,"")</f>
        <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4"/>
        <v>0</v>
      </c>
      <c r="BB31" s="226">
        <f t="shared" si="7"/>
        <v>0</v>
      </c>
      <c r="BC31" s="1">
        <f t="shared" si="25"/>
        <v>0</v>
      </c>
      <c r="BD31" s="1">
        <f t="shared" si="8"/>
        <v>0</v>
      </c>
      <c r="BE31" s="1">
        <f t="shared" si="9"/>
        <v>0</v>
      </c>
      <c r="BF31" s="1">
        <f t="shared" si="10"/>
        <v>0</v>
      </c>
      <c r="BG31" s="209">
        <f>IF(AND(C31="Skema 1",B31="ma"),Skemaoplysninger!$E$30,"")</f>
        <v>0</v>
      </c>
      <c r="BH31" s="209" t="str">
        <f>IF(AND(C31="Skema 1",B31="ti"),Skemaoplysninger!$G$30,"")</f>
        <v/>
      </c>
      <c r="BI31" s="209" t="str">
        <f>IF(AND(C31="Skema 1",B31="on"),Skemaoplysninger!$I$30,"")</f>
        <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6"/>
        <v>0</v>
      </c>
      <c r="CB31" s="1">
        <f t="shared" si="11"/>
        <v>0</v>
      </c>
      <c r="CC31" s="1">
        <f t="shared" si="12"/>
        <v>0</v>
      </c>
      <c r="CD31" s="209">
        <f>IF(AND(C31="Skema 1",B31="ma"),Skemaoplysninger!$E$31,"")</f>
        <v>0</v>
      </c>
      <c r="CE31" s="209" t="str">
        <f>IF(AND(C31="Skema 1",B31="ti"),Skemaoplysninger!$G$31,"")</f>
        <v/>
      </c>
      <c r="CF31" s="209" t="str">
        <f>IF(AND(C31="Skema 1",B31="on"),Skemaoplysninger!$I$31,"")</f>
        <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7"/>
        <v>0</v>
      </c>
      <c r="DH31" t="str">
        <f t="shared" si="28"/>
        <v/>
      </c>
      <c r="DI31">
        <f t="shared" si="29"/>
        <v>0</v>
      </c>
      <c r="DJ31">
        <f t="shared" si="30"/>
        <v>0</v>
      </c>
      <c r="DK31" t="str">
        <f t="shared" si="13"/>
        <v/>
      </c>
      <c r="DL31" t="str">
        <f t="shared" si="13"/>
        <v/>
      </c>
      <c r="DM31" t="str">
        <f t="shared" si="13"/>
        <v/>
      </c>
      <c r="DN31" t="str">
        <f t="shared" si="31"/>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2"/>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ti</v>
      </c>
      <c r="C32" s="128" t="s">
        <v>206</v>
      </c>
      <c r="D32" s="129" t="str">
        <f t="shared" si="1"/>
        <v/>
      </c>
      <c r="E32" s="964"/>
      <c r="F32" s="965"/>
      <c r="G32" s="966"/>
      <c r="H32" s="294"/>
      <c r="I32" s="519"/>
      <c r="J32" s="407"/>
      <c r="K32" s="374"/>
      <c r="L32" s="374"/>
      <c r="M32" s="374"/>
      <c r="N32" s="313">
        <f t="shared" si="19"/>
        <v>0</v>
      </c>
      <c r="O32" s="313">
        <f t="shared" si="20"/>
        <v>0</v>
      </c>
      <c r="P32" s="313">
        <f>IF(Stamoplysninger!$H$29="JA",September!DG32,CX32)</f>
        <v>0</v>
      </c>
      <c r="Q32" s="313">
        <f t="shared" si="21"/>
        <v>0</v>
      </c>
      <c r="R32" s="314"/>
      <c r="S32" s="319"/>
      <c r="T32" s="320"/>
      <c r="U32" s="320"/>
      <c r="V32" s="429"/>
      <c r="W32" s="429"/>
      <c r="X32" s="635"/>
      <c r="Y32">
        <f t="shared" si="22"/>
        <v>0</v>
      </c>
      <c r="Z32" s="431">
        <f t="shared" si="23"/>
        <v>0</v>
      </c>
      <c r="AA32" s="1">
        <f t="shared" si="2"/>
        <v>0</v>
      </c>
      <c r="AB32" s="1">
        <f t="shared" si="3"/>
        <v>0</v>
      </c>
      <c r="AC32" s="1">
        <f t="shared" si="4"/>
        <v>0</v>
      </c>
      <c r="AD32" s="1">
        <f t="shared" si="5"/>
        <v>0</v>
      </c>
      <c r="AE32" s="1">
        <f t="shared" si="6"/>
        <v>0</v>
      </c>
      <c r="AF32" s="1">
        <f>IF(C32="Orlov",7.4*Stamoplysninger!$E$15,0)</f>
        <v>0</v>
      </c>
      <c r="AG32" t="str">
        <f>IF(AND(C32="Skema 1",B32="ma"),Arbejdstidsoversigt!$E$72,"")</f>
        <v/>
      </c>
      <c r="AH32">
        <f>IF(AND(C32="Skema 1",B32="ti"),Arbejdstidsoversigt!$E$73,"")</f>
        <v>0</v>
      </c>
      <c r="AI32" t="str">
        <f>IF(AND(C32="Skema 1",B32="on"),Arbejdstidsoversigt!$E$74,"")</f>
        <v/>
      </c>
      <c r="AJ32" t="str">
        <f>IF(AND(C32="Skema 1",B32="to"),Arbejdstidsoversigt!$E$75,"")</f>
        <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4"/>
        <v>0</v>
      </c>
      <c r="BB32" s="226">
        <f t="shared" si="7"/>
        <v>0</v>
      </c>
      <c r="BC32" s="1">
        <f t="shared" si="25"/>
        <v>0</v>
      </c>
      <c r="BD32" s="1">
        <f t="shared" si="8"/>
        <v>0</v>
      </c>
      <c r="BE32" s="1">
        <f t="shared" si="9"/>
        <v>0</v>
      </c>
      <c r="BF32" s="1">
        <f t="shared" si="10"/>
        <v>0</v>
      </c>
      <c r="BG32" s="209" t="str">
        <f>IF(AND(C32="Skema 1",B32="ma"),Skemaoplysninger!$E$30,"")</f>
        <v/>
      </c>
      <c r="BH32" s="209">
        <f>IF(AND(C32="Skema 1",B32="ti"),Skemaoplysninger!$G$30,"")</f>
        <v>0</v>
      </c>
      <c r="BI32" s="209" t="str">
        <f>IF(AND(C32="Skema 1",B32="on"),Skemaoplysninger!$I$30,"")</f>
        <v/>
      </c>
      <c r="BJ32" s="209" t="str">
        <f>IF(AND(C32="Skema 1",B32="to"),Skemaoplysninger!$K$30,"")</f>
        <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6"/>
        <v>0</v>
      </c>
      <c r="CB32" s="1">
        <f t="shared" si="11"/>
        <v>0</v>
      </c>
      <c r="CC32" s="1">
        <f t="shared" si="12"/>
        <v>0</v>
      </c>
      <c r="CD32" s="209" t="str">
        <f>IF(AND(C32="Skema 1",B32="ma"),Skemaoplysninger!$E$31,"")</f>
        <v/>
      </c>
      <c r="CE32" s="209">
        <f>IF(AND(C32="Skema 1",B32="ti"),Skemaoplysninger!$G$31,"")</f>
        <v>0</v>
      </c>
      <c r="CF32" s="209" t="str">
        <f>IF(AND(C32="Skema 1",B32="on"),Skemaoplysninger!$I$31,"")</f>
        <v/>
      </c>
      <c r="CG32" s="209" t="str">
        <f>IF(AND(C32="Skema 1",B32="to"),Skemaoplysninger!$K$31,"")</f>
        <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7"/>
        <v>0</v>
      </c>
      <c r="DH32" t="str">
        <f t="shared" si="28"/>
        <v/>
      </c>
      <c r="DI32">
        <f t="shared" si="29"/>
        <v>0</v>
      </c>
      <c r="DJ32">
        <f t="shared" si="30"/>
        <v>0</v>
      </c>
      <c r="DK32" t="str">
        <f t="shared" si="13"/>
        <v/>
      </c>
      <c r="DL32" t="str">
        <f t="shared" si="13"/>
        <v/>
      </c>
      <c r="DM32" t="str">
        <f t="shared" si="13"/>
        <v/>
      </c>
      <c r="DN32" t="str">
        <f t="shared" si="31"/>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2"/>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on</v>
      </c>
      <c r="C33" s="128" t="s">
        <v>206</v>
      </c>
      <c r="D33" s="129" t="str">
        <f t="shared" si="1"/>
        <v/>
      </c>
      <c r="E33" s="932"/>
      <c r="F33" s="933"/>
      <c r="G33" s="934"/>
      <c r="H33" s="294"/>
      <c r="I33" s="519"/>
      <c r="J33" s="407"/>
      <c r="K33" s="374"/>
      <c r="L33" s="374"/>
      <c r="M33" s="374"/>
      <c r="N33" s="313">
        <f t="shared" si="19"/>
        <v>0</v>
      </c>
      <c r="O33" s="313">
        <f t="shared" si="20"/>
        <v>0</v>
      </c>
      <c r="P33" s="313">
        <f>IF(Stamoplysninger!$H$29="JA",September!DG33,CX33)</f>
        <v>0</v>
      </c>
      <c r="Q33" s="313">
        <f t="shared" si="21"/>
        <v>0</v>
      </c>
      <c r="R33" s="314"/>
      <c r="S33" s="319"/>
      <c r="T33" s="320"/>
      <c r="U33" s="320"/>
      <c r="V33" s="429"/>
      <c r="W33" s="429"/>
      <c r="X33" s="635"/>
      <c r="Y33">
        <f t="shared" si="22"/>
        <v>0</v>
      </c>
      <c r="Z33" s="431">
        <f t="shared" si="23"/>
        <v>0</v>
      </c>
      <c r="AA33" s="1">
        <f t="shared" si="2"/>
        <v>0</v>
      </c>
      <c r="AB33" s="1">
        <f t="shared" si="3"/>
        <v>0</v>
      </c>
      <c r="AC33" s="1">
        <f t="shared" si="4"/>
        <v>0</v>
      </c>
      <c r="AD33" s="1">
        <f t="shared" si="5"/>
        <v>0</v>
      </c>
      <c r="AE33" s="1">
        <f t="shared" si="6"/>
        <v>0</v>
      </c>
      <c r="AF33" s="1">
        <f>IF(C33="Orlov",7.4*Stamoplysninger!$E$15,0)</f>
        <v>0</v>
      </c>
      <c r="AG33" t="str">
        <f>IF(AND(C33="Skema 1",B33="ma"),Arbejdstidsoversigt!$E$72,"")</f>
        <v/>
      </c>
      <c r="AH33" t="str">
        <f>IF(AND(C33="Skema 1",B33="ti"),Arbejdstidsoversigt!$E$73,"")</f>
        <v/>
      </c>
      <c r="AI33">
        <f>IF(AND(C33="Skema 1",B33="on"),Arbejdstidsoversigt!$E$74,"")</f>
        <v>0</v>
      </c>
      <c r="AJ33" t="str">
        <f>IF(AND(C33="Skema 1",B33="to"),Arbejdstidsoversigt!$E$75,"")</f>
        <v/>
      </c>
      <c r="AK33" t="str">
        <f>IF(AND(C33="Skema 1",B33="fr"),Arbejdstidsoversigt!$E$76,"")</f>
        <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4"/>
        <v>0</v>
      </c>
      <c r="BB33" s="226">
        <f t="shared" si="7"/>
        <v>0</v>
      </c>
      <c r="BC33" s="1">
        <f t="shared" si="25"/>
        <v>0</v>
      </c>
      <c r="BD33" s="1">
        <f t="shared" si="8"/>
        <v>0</v>
      </c>
      <c r="BE33" s="1">
        <f t="shared" si="9"/>
        <v>0</v>
      </c>
      <c r="BF33" s="1">
        <f t="shared" si="10"/>
        <v>0</v>
      </c>
      <c r="BG33" s="209" t="str">
        <f>IF(AND(C33="Skema 1",B33="ma"),Skemaoplysninger!$E$30,"")</f>
        <v/>
      </c>
      <c r="BH33" s="209" t="str">
        <f>IF(AND(C33="Skema 1",B33="ti"),Skemaoplysninger!$G$30,"")</f>
        <v/>
      </c>
      <c r="BI33" s="209">
        <f>IF(AND(C33="Skema 1",B33="on"),Skemaoplysninger!$I$30,"")</f>
        <v>0</v>
      </c>
      <c r="BJ33" s="209" t="str">
        <f>IF(AND(C33="Skema 1",B33="to"),Skemaoplysninger!$K$30,"")</f>
        <v/>
      </c>
      <c r="BK33" s="209" t="str">
        <f>IF(AND(C33="Skema 1",B33="fr"),Skemaoplysninger!$M$30,"")</f>
        <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6"/>
        <v>0</v>
      </c>
      <c r="CB33" s="1">
        <f t="shared" si="11"/>
        <v>0</v>
      </c>
      <c r="CC33" s="1">
        <f t="shared" si="12"/>
        <v>0</v>
      </c>
      <c r="CD33" s="209" t="str">
        <f>IF(AND(C33="Skema 1",B33="ma"),Skemaoplysninger!$E$31,"")</f>
        <v/>
      </c>
      <c r="CE33" s="209" t="str">
        <f>IF(AND(C33="Skema 1",B33="ti"),Skemaoplysninger!$G$31,"")</f>
        <v/>
      </c>
      <c r="CF33" s="209">
        <f>IF(AND(C33="Skema 1",B33="on"),Skemaoplysninger!$I$31,"")</f>
        <v>0</v>
      </c>
      <c r="CG33" s="209" t="str">
        <f>IF(AND(C33="Skema 1",B33="to"),Skemaoplysninger!$K$31,"")</f>
        <v/>
      </c>
      <c r="CH33" s="209" t="str">
        <f>IF(AND(C33="Skema 1",B33="fr"),Skemaoplysninger!$M$31,"")</f>
        <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7"/>
        <v>0</v>
      </c>
      <c r="DH33" t="str">
        <f t="shared" si="28"/>
        <v/>
      </c>
      <c r="DI33">
        <f t="shared" si="29"/>
        <v>0</v>
      </c>
      <c r="DJ33">
        <f t="shared" si="30"/>
        <v>0</v>
      </c>
      <c r="DK33" t="str">
        <f t="shared" si="13"/>
        <v/>
      </c>
      <c r="DL33" t="str">
        <f t="shared" si="13"/>
        <v/>
      </c>
      <c r="DM33" t="str">
        <f t="shared" si="13"/>
        <v/>
      </c>
      <c r="DN33" t="str">
        <f t="shared" si="31"/>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2"/>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to</v>
      </c>
      <c r="C34" s="128" t="s">
        <v>206</v>
      </c>
      <c r="D34" s="129" t="str">
        <f t="shared" si="1"/>
        <v/>
      </c>
      <c r="E34" s="932"/>
      <c r="F34" s="933"/>
      <c r="G34" s="934"/>
      <c r="H34" s="294"/>
      <c r="I34" s="519"/>
      <c r="J34" s="407"/>
      <c r="K34" s="374"/>
      <c r="L34" s="374"/>
      <c r="M34" s="374"/>
      <c r="N34" s="313">
        <f t="shared" si="19"/>
        <v>0</v>
      </c>
      <c r="O34" s="313">
        <f t="shared" si="20"/>
        <v>0</v>
      </c>
      <c r="P34" s="313">
        <f>IF(Stamoplysninger!$H$29="JA",September!DG34,CX34)</f>
        <v>0</v>
      </c>
      <c r="Q34" s="313">
        <f t="shared" si="21"/>
        <v>0</v>
      </c>
      <c r="R34" s="314"/>
      <c r="S34" s="319"/>
      <c r="T34" s="320"/>
      <c r="U34" s="320"/>
      <c r="V34" s="429"/>
      <c r="W34" s="429"/>
      <c r="X34" s="635"/>
      <c r="Y34">
        <f t="shared" si="22"/>
        <v>0</v>
      </c>
      <c r="Z34" s="431">
        <f t="shared" si="23"/>
        <v>0</v>
      </c>
      <c r="AA34" s="1">
        <f t="shared" si="2"/>
        <v>0</v>
      </c>
      <c r="AB34" s="1">
        <f t="shared" si="3"/>
        <v>0</v>
      </c>
      <c r="AC34" s="1">
        <f t="shared" si="4"/>
        <v>0</v>
      </c>
      <c r="AD34" s="1">
        <f t="shared" si="5"/>
        <v>0</v>
      </c>
      <c r="AE34" s="1">
        <f t="shared" si="6"/>
        <v>0</v>
      </c>
      <c r="AF34" s="1">
        <f>IF(C34="Orlov",7.4*Stamoplysninger!$E$15,0)</f>
        <v>0</v>
      </c>
      <c r="AG34" t="str">
        <f>IF(AND(C34="Skema 1",B34="ma"),Arbejdstidsoversigt!$E$72,"")</f>
        <v/>
      </c>
      <c r="AH34" t="str">
        <f>IF(AND(C34="Skema 1",B34="ti"),Arbejdstidsoversigt!$E$73,"")</f>
        <v/>
      </c>
      <c r="AI34" t="str">
        <f>IF(AND(C34="Skema 1",B34="on"),Arbejdstidsoversigt!$E$74,"")</f>
        <v/>
      </c>
      <c r="AJ34">
        <f>IF(AND(C34="Skema 1",B34="to"),Arbejdstidsoversigt!$E$75,"")</f>
        <v>0</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4"/>
        <v>0</v>
      </c>
      <c r="BB34" s="226">
        <f t="shared" si="7"/>
        <v>0</v>
      </c>
      <c r="BC34" s="1">
        <f t="shared" si="25"/>
        <v>0</v>
      </c>
      <c r="BD34" s="1">
        <f t="shared" si="8"/>
        <v>0</v>
      </c>
      <c r="BE34" s="1">
        <f t="shared" si="9"/>
        <v>0</v>
      </c>
      <c r="BF34" s="1">
        <f t="shared" si="10"/>
        <v>0</v>
      </c>
      <c r="BG34" s="209" t="str">
        <f>IF(AND(C34="Skema 1",B34="ma"),Skemaoplysninger!$E$30,"")</f>
        <v/>
      </c>
      <c r="BH34" s="209" t="str">
        <f>IF(AND(C34="Skema 1",B34="ti"),Skemaoplysninger!$G$30,"")</f>
        <v/>
      </c>
      <c r="BI34" s="209" t="str">
        <f>IF(AND(C34="Skema 1",B34="on"),Skemaoplysninger!$I$30,"")</f>
        <v/>
      </c>
      <c r="BJ34" s="209">
        <f>IF(AND(C34="Skema 1",B34="to"),Skemaoplysninger!$K$30,"")</f>
        <v>0</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6"/>
        <v>0</v>
      </c>
      <c r="CB34" s="1">
        <f t="shared" si="11"/>
        <v>0</v>
      </c>
      <c r="CC34" s="1">
        <f t="shared" si="12"/>
        <v>0</v>
      </c>
      <c r="CD34" s="209" t="str">
        <f>IF(AND(C34="Skema 1",B34="ma"),Skemaoplysninger!$E$31,"")</f>
        <v/>
      </c>
      <c r="CE34" s="209" t="str">
        <f>IF(AND(C34="Skema 1",B34="ti"),Skemaoplysninger!$G$31,"")</f>
        <v/>
      </c>
      <c r="CF34" s="209" t="str">
        <f>IF(AND(C34="Skema 1",B34="on"),Skemaoplysninger!$I$31,"")</f>
        <v/>
      </c>
      <c r="CG34" s="209">
        <f>IF(AND(C34="Skema 1",B34="to"),Skemaoplysninger!$K$31,"")</f>
        <v>0</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7"/>
        <v>0</v>
      </c>
      <c r="DH34" t="str">
        <f t="shared" si="28"/>
        <v/>
      </c>
      <c r="DI34">
        <f t="shared" si="29"/>
        <v>0</v>
      </c>
      <c r="DJ34">
        <f t="shared" si="30"/>
        <v>0</v>
      </c>
      <c r="DK34" t="str">
        <f t="shared" si="13"/>
        <v/>
      </c>
      <c r="DL34" t="str">
        <f t="shared" si="13"/>
        <v/>
      </c>
      <c r="DM34" t="str">
        <f t="shared" si="13"/>
        <v/>
      </c>
      <c r="DN34" t="str">
        <f t="shared" si="31"/>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fr</v>
      </c>
      <c r="C35" s="128" t="s">
        <v>206</v>
      </c>
      <c r="D35" s="129" t="str">
        <f t="shared" si="1"/>
        <v/>
      </c>
      <c r="E35" s="932"/>
      <c r="F35" s="933"/>
      <c r="G35" s="934"/>
      <c r="H35" s="294"/>
      <c r="I35" s="519"/>
      <c r="J35" s="407"/>
      <c r="K35" s="374"/>
      <c r="L35" s="374"/>
      <c r="M35" s="374"/>
      <c r="N35" s="313">
        <f t="shared" si="19"/>
        <v>0</v>
      </c>
      <c r="O35" s="313">
        <f t="shared" si="20"/>
        <v>0</v>
      </c>
      <c r="P35" s="313">
        <f>IF(Stamoplysninger!$H$29="JA",September!DG35,CX35)</f>
        <v>0</v>
      </c>
      <c r="Q35" s="313">
        <f t="shared" si="21"/>
        <v>0</v>
      </c>
      <c r="R35" s="314"/>
      <c r="S35" s="319"/>
      <c r="T35" s="320"/>
      <c r="U35" s="320"/>
      <c r="V35" s="429"/>
      <c r="W35" s="429"/>
      <c r="X35" s="635"/>
      <c r="Y35">
        <f t="shared" si="22"/>
        <v>0</v>
      </c>
      <c r="Z35" s="431">
        <f t="shared" si="23"/>
        <v>0</v>
      </c>
      <c r="AA35" s="1">
        <f t="shared" si="2"/>
        <v>0</v>
      </c>
      <c r="AB35" s="1">
        <f t="shared" si="3"/>
        <v>0</v>
      </c>
      <c r="AC35" s="1">
        <f t="shared" si="4"/>
        <v>0</v>
      </c>
      <c r="AD35" s="1">
        <f t="shared" si="5"/>
        <v>0</v>
      </c>
      <c r="AE35" s="1">
        <f t="shared" si="6"/>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f>IF(AND(C35="Skema 1",B35="fr"),Arbejdstidsoversigt!$E$76,"")</f>
        <v>0</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4"/>
        <v>0</v>
      </c>
      <c r="BB35" s="226">
        <f t="shared" si="7"/>
        <v>0</v>
      </c>
      <c r="BC35" s="1">
        <f t="shared" si="25"/>
        <v>0</v>
      </c>
      <c r="BD35" s="1">
        <f t="shared" si="8"/>
        <v>0</v>
      </c>
      <c r="BE35" s="1">
        <f t="shared" si="9"/>
        <v>0</v>
      </c>
      <c r="BF35" s="1">
        <f t="shared" si="10"/>
        <v>0</v>
      </c>
      <c r="BG35" s="209" t="str">
        <f>IF(AND(C35="Skema 1",B35="ma"),Skemaoplysninger!$E$30,"")</f>
        <v/>
      </c>
      <c r="BH35" s="209" t="str">
        <f>IF(AND(C35="Skema 1",B35="ti"),Skemaoplysninger!$G$30,"")</f>
        <v/>
      </c>
      <c r="BI35" s="209" t="str">
        <f>IF(AND(C35="Skema 1",B35="on"),Skemaoplysninger!$I$30,"")</f>
        <v/>
      </c>
      <c r="BJ35" s="209" t="str">
        <f>IF(AND(C35="Skema 1",B35="to"),Skemaoplysninger!$K$30,"")</f>
        <v/>
      </c>
      <c r="BK35" s="209">
        <f>IF(AND(C35="Skema 1",B35="fr"),Skemaoplysninger!$M$30,"")</f>
        <v>0</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6"/>
        <v>0</v>
      </c>
      <c r="CB35" s="1">
        <f t="shared" si="11"/>
        <v>0</v>
      </c>
      <c r="CC35" s="1">
        <f t="shared" si="12"/>
        <v>0</v>
      </c>
      <c r="CD35" s="209" t="str">
        <f>IF(AND(C35="Skema 1",B35="ma"),Skemaoplysninger!$E$31,"")</f>
        <v/>
      </c>
      <c r="CE35" s="209" t="str">
        <f>IF(AND(C35="Skema 1",B35="ti"),Skemaoplysninger!$G$31,"")</f>
        <v/>
      </c>
      <c r="CF35" s="209" t="str">
        <f>IF(AND(C35="Skema 1",B35="on"),Skemaoplysninger!$I$31,"")</f>
        <v/>
      </c>
      <c r="CG35" s="209" t="str">
        <f>IF(AND(C35="Skema 1",B35="to"),Skemaoplysninger!$K$31,"")</f>
        <v/>
      </c>
      <c r="CH35" s="209">
        <f>IF(AND(C35="Skema 1",B35="fr"),Skemaoplysninger!$M$31,"")</f>
        <v>0</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7"/>
        <v>0</v>
      </c>
      <c r="DH35" t="str">
        <f t="shared" si="28"/>
        <v/>
      </c>
      <c r="DI35">
        <f t="shared" si="29"/>
        <v>0</v>
      </c>
      <c r="DJ35">
        <f t="shared" si="30"/>
        <v>0</v>
      </c>
      <c r="DK35" t="str">
        <f t="shared" si="13"/>
        <v/>
      </c>
      <c r="DL35" t="str">
        <f t="shared" si="13"/>
        <v/>
      </c>
      <c r="DM35" t="str">
        <f t="shared" si="13"/>
        <v/>
      </c>
      <c r="DN35" t="str">
        <f t="shared" si="31"/>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2"/>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lø</v>
      </c>
      <c r="C36" s="128" t="s">
        <v>120</v>
      </c>
      <c r="D36" s="129" t="str">
        <f t="shared" si="1"/>
        <v/>
      </c>
      <c r="E36" s="932"/>
      <c r="F36" s="933"/>
      <c r="G36" s="934"/>
      <c r="H36" s="294"/>
      <c r="I36" s="407"/>
      <c r="J36" s="407"/>
      <c r="K36" s="374"/>
      <c r="L36" s="374"/>
      <c r="M36" s="374"/>
      <c r="N36" s="313">
        <f t="shared" si="19"/>
        <v>0</v>
      </c>
      <c r="O36" s="313">
        <f t="shared" si="20"/>
        <v>0</v>
      </c>
      <c r="P36" s="313">
        <f>IF(Stamoplysninger!$H$29="JA",September!DG36,CX36)</f>
        <v>0</v>
      </c>
      <c r="Q36" s="313">
        <f t="shared" si="21"/>
        <v>0</v>
      </c>
      <c r="R36" s="314"/>
      <c r="S36" s="319"/>
      <c r="T36" s="320"/>
      <c r="U36" s="320"/>
      <c r="V36" s="429"/>
      <c r="W36" s="429"/>
      <c r="X36" s="635"/>
      <c r="Y36">
        <f t="shared" si="22"/>
        <v>0</v>
      </c>
      <c r="Z36" s="431">
        <f t="shared" si="23"/>
        <v>0</v>
      </c>
      <c r="AA36" s="1">
        <f t="shared" si="2"/>
        <v>0</v>
      </c>
      <c r="AB36" s="1">
        <f t="shared" si="3"/>
        <v>0</v>
      </c>
      <c r="AC36" s="1">
        <f t="shared" si="4"/>
        <v>0</v>
      </c>
      <c r="AD36" s="1">
        <f t="shared" si="5"/>
        <v>0</v>
      </c>
      <c r="AE36" s="1">
        <f t="shared" si="6"/>
        <v>0</v>
      </c>
      <c r="AF36" s="1">
        <f>IF(C36="Orlov",7.4*Stamoplysninger!$E$15,0)</f>
        <v>0</v>
      </c>
      <c r="AG36" t="str">
        <f>IF(AND(C36="Skema 1",B36="ma"),Arbejdstidsoversigt!$E$72,"")</f>
        <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4"/>
        <v>0</v>
      </c>
      <c r="BB36" s="226">
        <f t="shared" si="7"/>
        <v>0</v>
      </c>
      <c r="BC36" s="1">
        <f t="shared" si="25"/>
        <v>0</v>
      </c>
      <c r="BD36" s="1">
        <f t="shared" si="8"/>
        <v>0</v>
      </c>
      <c r="BE36" s="1">
        <f t="shared" si="9"/>
        <v>0</v>
      </c>
      <c r="BF36" s="1">
        <f t="shared" si="10"/>
        <v>0</v>
      </c>
      <c r="BG36" s="209" t="str">
        <f>IF(AND(C36="Skema 1",B36="ma"),Skemaoplysninger!$E$30,"")</f>
        <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6"/>
        <v>0</v>
      </c>
      <c r="CB36" s="1">
        <f t="shared" si="11"/>
        <v>0</v>
      </c>
      <c r="CC36" s="1">
        <f t="shared" si="12"/>
        <v>0</v>
      </c>
      <c r="CD36" s="209" t="str">
        <f>IF(AND(C36="Skema 1",B36="ma"),Skemaoplysninger!$E$31,"")</f>
        <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7"/>
        <v>0</v>
      </c>
      <c r="DH36" t="str">
        <f t="shared" si="28"/>
        <v/>
      </c>
      <c r="DI36">
        <f t="shared" si="29"/>
        <v>0</v>
      </c>
      <c r="DJ36">
        <f t="shared" si="30"/>
        <v>0</v>
      </c>
      <c r="DK36" t="str">
        <f t="shared" si="13"/>
        <v/>
      </c>
      <c r="DL36" t="str">
        <f t="shared" si="13"/>
        <v/>
      </c>
      <c r="DM36" t="str">
        <f t="shared" si="13"/>
        <v/>
      </c>
      <c r="DN36" t="str">
        <f t="shared" si="31"/>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2"/>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sø</v>
      </c>
      <c r="C37" s="128" t="s">
        <v>120</v>
      </c>
      <c r="D37" s="129" t="str">
        <f t="shared" si="1"/>
        <v/>
      </c>
      <c r="E37" s="932"/>
      <c r="F37" s="933"/>
      <c r="G37" s="934"/>
      <c r="H37" s="294"/>
      <c r="I37" s="407"/>
      <c r="J37" s="407"/>
      <c r="K37" s="374"/>
      <c r="L37" s="374"/>
      <c r="M37" s="374"/>
      <c r="N37" s="313">
        <f t="shared" si="19"/>
        <v>0</v>
      </c>
      <c r="O37" s="313">
        <f t="shared" si="20"/>
        <v>0</v>
      </c>
      <c r="P37" s="313">
        <f>IF(Stamoplysninger!$H$29="JA",September!DG37,CX37)</f>
        <v>0</v>
      </c>
      <c r="Q37" s="313">
        <f t="shared" si="21"/>
        <v>0</v>
      </c>
      <c r="R37" s="314"/>
      <c r="S37" s="319"/>
      <c r="T37" s="320"/>
      <c r="U37" s="320"/>
      <c r="V37" s="429"/>
      <c r="W37" s="429"/>
      <c r="X37" s="635"/>
      <c r="Y37">
        <f t="shared" si="22"/>
        <v>0</v>
      </c>
      <c r="Z37" s="431">
        <f t="shared" si="23"/>
        <v>0</v>
      </c>
      <c r="AA37" s="1">
        <f t="shared" si="2"/>
        <v>0</v>
      </c>
      <c r="AB37" s="1">
        <f t="shared" si="3"/>
        <v>0</v>
      </c>
      <c r="AC37" s="1">
        <f t="shared" si="4"/>
        <v>0</v>
      </c>
      <c r="AD37" s="1">
        <f t="shared" si="5"/>
        <v>0</v>
      </c>
      <c r="AE37" s="1">
        <f t="shared" si="6"/>
        <v>0</v>
      </c>
      <c r="AF37" s="1">
        <f>IF(C37="Orlov",7.4*Stamoplysninger!$E$15,0)</f>
        <v>0</v>
      </c>
      <c r="AG37" t="str">
        <f>IF(AND(C37="Skema 1",B37="ma"),Arbejdstidsoversigt!$E$72,"")</f>
        <v/>
      </c>
      <c r="AH37" t="str">
        <f>IF(AND(C37="Skema 1",B37="ti"),Arbejdstidsoversigt!$E$73,"")</f>
        <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si="24"/>
        <v>0</v>
      </c>
      <c r="BB37" s="226">
        <f t="shared" si="7"/>
        <v>0</v>
      </c>
      <c r="BC37" s="1">
        <f t="shared" si="25"/>
        <v>0</v>
      </c>
      <c r="BD37" s="1">
        <f t="shared" si="8"/>
        <v>0</v>
      </c>
      <c r="BE37" s="1">
        <f t="shared" si="9"/>
        <v>0</v>
      </c>
      <c r="BF37" s="1">
        <f t="shared" si="10"/>
        <v>0</v>
      </c>
      <c r="BG37" s="209" t="str">
        <f>IF(AND(C37="Skema 1",B37="ma"),Skemaoplysninger!$E$30,"")</f>
        <v/>
      </c>
      <c r="BH37" s="209" t="str">
        <f>IF(AND(C37="Skema 1",B37="ti"),Skemaoplysninger!$G$30,"")</f>
        <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si="26"/>
        <v>0</v>
      </c>
      <c r="CB37" s="1">
        <f t="shared" si="11"/>
        <v>0</v>
      </c>
      <c r="CC37" s="1">
        <f t="shared" si="12"/>
        <v>0</v>
      </c>
      <c r="CD37" s="209" t="str">
        <f>IF(AND(C37="Skema 1",B37="ma"),Skemaoplysninger!$E$31,"")</f>
        <v/>
      </c>
      <c r="CE37" s="209" t="str">
        <f>IF(AND(C37="Skema 1",B37="ti"),Skemaoplysninger!$G$31,"")</f>
        <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si="27"/>
        <v>0</v>
      </c>
      <c r="DH37" t="str">
        <f t="shared" si="28"/>
        <v/>
      </c>
      <c r="DI37">
        <f t="shared" si="29"/>
        <v>0</v>
      </c>
      <c r="DJ37">
        <f t="shared" si="30"/>
        <v>0</v>
      </c>
      <c r="DK37" t="str">
        <f t="shared" si="13"/>
        <v/>
      </c>
      <c r="DL37" t="str">
        <f t="shared" si="13"/>
        <v/>
      </c>
      <c r="DM37" t="str">
        <f t="shared" si="13"/>
        <v/>
      </c>
      <c r="DN37" t="str">
        <f t="shared" si="31"/>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relevant",U37="X"))),X37/4,0)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8" si="33">IF(AND(I37="X",S37="X"),V37,0)</f>
        <v>0</v>
      </c>
      <c r="FT37" s="649">
        <f t="shared" ref="FT37:FT38" si="34">IF(AND(AND(C37="ikke relevant",I37="X",S37="X")),V37,0)</f>
        <v>0</v>
      </c>
      <c r="FU37">
        <f t="shared" ref="FU37:FU38" si="35">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ma</v>
      </c>
      <c r="C38" s="128" t="s">
        <v>206</v>
      </c>
      <c r="D38" s="129">
        <f t="shared" si="1"/>
        <v>40</v>
      </c>
      <c r="E38" s="932"/>
      <c r="F38" s="933"/>
      <c r="G38" s="934"/>
      <c r="H38" s="294"/>
      <c r="I38" s="519"/>
      <c r="J38" s="407"/>
      <c r="K38" s="374"/>
      <c r="L38" s="374"/>
      <c r="M38" s="374"/>
      <c r="N38" s="313">
        <f t="shared" si="19"/>
        <v>0</v>
      </c>
      <c r="O38" s="313">
        <f t="shared" si="20"/>
        <v>0</v>
      </c>
      <c r="P38" s="313">
        <f>IF(Stamoplysninger!$H$29="JA",September!DG38,CX38)</f>
        <v>0</v>
      </c>
      <c r="Q38" s="313">
        <f t="shared" si="21"/>
        <v>0</v>
      </c>
      <c r="R38" s="314"/>
      <c r="S38" s="319"/>
      <c r="T38" s="320"/>
      <c r="U38" s="320"/>
      <c r="V38" s="429"/>
      <c r="W38" s="429"/>
      <c r="X38" s="635"/>
      <c r="Y38">
        <f t="shared" si="22"/>
        <v>0</v>
      </c>
      <c r="Z38" s="431">
        <f t="shared" si="23"/>
        <v>0</v>
      </c>
      <c r="AA38" s="1">
        <f t="shared" si="2"/>
        <v>0</v>
      </c>
      <c r="AB38" s="1">
        <f t="shared" si="3"/>
        <v>0</v>
      </c>
      <c r="AC38" s="1">
        <f t="shared" si="4"/>
        <v>0</v>
      </c>
      <c r="AD38" s="1">
        <f t="shared" si="5"/>
        <v>0</v>
      </c>
      <c r="AE38" s="1">
        <f t="shared" si="6"/>
        <v>0</v>
      </c>
      <c r="AF38" s="1">
        <f>IF(C38="Orlov",7.4*Stamoplysninger!$E$15,0)</f>
        <v>0</v>
      </c>
      <c r="AG38">
        <f>IF(AND(C38="Skema 1",B38="ma"),Arbejdstidsoversigt!$E$72,"")</f>
        <v>0</v>
      </c>
      <c r="AH38" t="str">
        <f>IF(AND(C38="Skema 1",B38="ti"),Arbejdstidsoversigt!$E$73,"")</f>
        <v/>
      </c>
      <c r="AI38" t="str">
        <f>IF(AND(C38="Skema 1",B38="on"),Arbejdstidsoversigt!$E$74,"")</f>
        <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SUM(AA38:AZ38)</f>
        <v>0</v>
      </c>
      <c r="BB38" s="226">
        <f t="shared" si="7"/>
        <v>0</v>
      </c>
      <c r="BC38" s="1">
        <f t="shared" si="25"/>
        <v>0</v>
      </c>
      <c r="BD38" s="1">
        <f t="shared" si="8"/>
        <v>0</v>
      </c>
      <c r="BE38" s="1">
        <f t="shared" si="9"/>
        <v>0</v>
      </c>
      <c r="BF38" s="1">
        <f t="shared" si="10"/>
        <v>0</v>
      </c>
      <c r="BG38" s="209">
        <f>IF(AND(C38="Skema 1",B38="ma"),Skemaoplysninger!$E$30,"")</f>
        <v>0</v>
      </c>
      <c r="BH38" s="209" t="str">
        <f>IF(AND(C38="Skema 1",B38="ti"),Skemaoplysninger!$G$30,"")</f>
        <v/>
      </c>
      <c r="BI38" s="209" t="str">
        <f>IF(AND(C38="Skema 1",B38="on"),Skemaoplysninger!$I$30,"")</f>
        <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26"/>
        <v>0</v>
      </c>
      <c r="CB38" s="1">
        <f t="shared" si="11"/>
        <v>0</v>
      </c>
      <c r="CC38" s="1">
        <f t="shared" si="12"/>
        <v>0</v>
      </c>
      <c r="CD38" s="209">
        <f>IF(AND(C38="Skema 1",B38="ma"),Skemaoplysninger!$E$31,"")</f>
        <v>0</v>
      </c>
      <c r="CE38" s="209" t="str">
        <f>IF(AND(C38="Skema 1",B38="ti"),Skemaoplysninger!$G$31,"")</f>
        <v/>
      </c>
      <c r="CF38" s="209" t="str">
        <f>IF(AND(C38="Skema 1",B38="on"),Skemaoplysninger!$I$31,"")</f>
        <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27"/>
        <v>0</v>
      </c>
      <c r="DH38" t="str">
        <f t="shared" si="28"/>
        <v/>
      </c>
      <c r="DI38">
        <f t="shared" si="29"/>
        <v>0</v>
      </c>
      <c r="DJ38">
        <f t="shared" si="30"/>
        <v>0</v>
      </c>
      <c r="DK38" t="str">
        <f t="shared" si="13"/>
        <v/>
      </c>
      <c r="DL38" t="str">
        <f t="shared" si="13"/>
        <v/>
      </c>
      <c r="DM38" t="str">
        <f t="shared" si="13"/>
        <v/>
      </c>
      <c r="DN38" t="str">
        <f t="shared" si="31"/>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relevant",U38="X"))),X38/4,0)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33"/>
        <v>0</v>
      </c>
      <c r="FT38" s="649">
        <f t="shared" si="34"/>
        <v>0</v>
      </c>
      <c r="FU38">
        <f t="shared" si="35"/>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987" t="s">
        <v>260</v>
      </c>
      <c r="B39" s="988"/>
      <c r="C39" s="988"/>
      <c r="D39" s="988"/>
      <c r="E39" s="988"/>
      <c r="F39" s="988"/>
      <c r="G39" s="988"/>
      <c r="H39" s="988"/>
      <c r="I39" s="989"/>
      <c r="J39" s="308"/>
      <c r="K39" s="317"/>
      <c r="L39" s="317"/>
      <c r="M39" s="317"/>
      <c r="N39" s="317">
        <f>SUM(N9:N38)</f>
        <v>0</v>
      </c>
      <c r="O39" s="317">
        <f>SUM(O9:O38)</f>
        <v>0</v>
      </c>
      <c r="P39" s="317">
        <f>SUM(P9:P38)</f>
        <v>0</v>
      </c>
      <c r="Q39" s="317">
        <f>SUM(Q9:Q38)</f>
        <v>0</v>
      </c>
      <c r="R39" s="331">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f>
        <v>0</v>
      </c>
      <c r="S39" s="426"/>
      <c r="T39" s="427"/>
      <c r="U39" s="427"/>
      <c r="V39"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f>
        <v>0</v>
      </c>
      <c r="W39"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f>
        <v>0</v>
      </c>
      <c r="X39"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f>
        <v>0</v>
      </c>
      <c r="Y39" s="210">
        <f>SUM(Y9:Y38)</f>
        <v>0</v>
      </c>
      <c r="Z39" s="392">
        <f>Z9+Z10+Z11+Z12+Z13+Z14+Z15+Z16+Z17+Z18+Z19+Z20+Z21+Z22+Z23+Z24+Z25+Z26+Z27+Z28+Z29+Z30+Z31+Z32+Z33+Z34+Z35+Z36+Z37+Z38</f>
        <v>0</v>
      </c>
      <c r="AA39" s="231">
        <f t="shared" ref="AA39:AF39" si="36">SUM(AA9:AA38)</f>
        <v>0</v>
      </c>
      <c r="AB39" s="231">
        <f t="shared" si="36"/>
        <v>0</v>
      </c>
      <c r="AC39" s="231">
        <f t="shared" si="36"/>
        <v>0</v>
      </c>
      <c r="AD39" s="231">
        <f t="shared" si="36"/>
        <v>0</v>
      </c>
      <c r="AE39" s="231">
        <f t="shared" si="36"/>
        <v>0</v>
      </c>
      <c r="AF39" s="231">
        <f t="shared" si="36"/>
        <v>0</v>
      </c>
      <c r="BA39" s="1">
        <f>SUM(BA9:BA38)</f>
        <v>0</v>
      </c>
      <c r="BB39" s="111"/>
      <c r="BC39" s="231">
        <f>SUM(BC9:BC38)</f>
        <v>0</v>
      </c>
      <c r="BD39" s="231">
        <f>SUM(BD9:BD38)</f>
        <v>0</v>
      </c>
      <c r="BE39" s="231">
        <f>SUM(BE9:BE38)</f>
        <v>0</v>
      </c>
      <c r="BF39" s="231">
        <f>SUM(BF9:BF38)</f>
        <v>0</v>
      </c>
      <c r="CA39" s="231">
        <f>SUM(CA9:CA38)</f>
        <v>0</v>
      </c>
      <c r="CB39" s="231">
        <f>SUM(CB9:CB38)</f>
        <v>0</v>
      </c>
      <c r="CC39" s="231">
        <f>SUM(CC9:CC38)</f>
        <v>0</v>
      </c>
      <c r="CX39" s="245"/>
      <c r="CY39" s="245">
        <f t="shared" ref="CY39:DG39" si="37">SUM(CY9:CY38)</f>
        <v>0</v>
      </c>
      <c r="CZ39" s="245">
        <f t="shared" si="37"/>
        <v>0</v>
      </c>
      <c r="DA39" s="245">
        <f t="shared" si="37"/>
        <v>0</v>
      </c>
      <c r="DB39" s="245">
        <f t="shared" si="37"/>
        <v>0</v>
      </c>
      <c r="DC39" s="245">
        <f t="shared" si="37"/>
        <v>0</v>
      </c>
      <c r="DD39" s="245">
        <f t="shared" si="37"/>
        <v>0</v>
      </c>
      <c r="DE39" s="245">
        <f t="shared" si="37"/>
        <v>0</v>
      </c>
      <c r="DF39" s="245">
        <f t="shared" si="37"/>
        <v>0</v>
      </c>
      <c r="DG39" s="245">
        <f t="shared" si="37"/>
        <v>0</v>
      </c>
      <c r="DH39" t="str">
        <f t="shared" si="28"/>
        <v/>
      </c>
      <c r="DK39" t="str">
        <f t="shared" si="13"/>
        <v/>
      </c>
      <c r="DL39" t="str">
        <f t="shared" si="13"/>
        <v/>
      </c>
      <c r="DM39" t="str">
        <f t="shared" si="13"/>
        <v/>
      </c>
      <c r="DN39" t="str">
        <f>DK39&amp;" "&amp;DL39&amp;" "&amp;DM39</f>
        <v xml:space="preserve">  </v>
      </c>
      <c r="DO39" s="643"/>
      <c r="DS39" s="662"/>
      <c r="DT39" s="662"/>
      <c r="DU39" s="662"/>
      <c r="DV39" s="663"/>
      <c r="DW39" s="643"/>
      <c r="DZ39" s="662"/>
      <c r="EA39" s="662"/>
      <c r="EB39" s="663"/>
      <c r="EC39" s="643"/>
      <c r="EG39" s="662"/>
      <c r="EH39" s="662"/>
      <c r="EI39" s="662"/>
      <c r="EJ39" s="662"/>
      <c r="EK39" s="279"/>
      <c r="EL39" s="247"/>
      <c r="EM39" s="665"/>
      <c r="EN39" s="666"/>
      <c r="EO39" s="279"/>
      <c r="EP39" s="247"/>
      <c r="EQ39" s="665"/>
      <c r="ER39" s="666"/>
      <c r="ES39" s="279"/>
      <c r="ET39" s="247"/>
      <c r="EU39" s="665"/>
      <c r="EV39" s="666"/>
      <c r="EW39" s="279"/>
      <c r="EX39" s="247"/>
      <c r="EY39" s="665"/>
      <c r="EZ39" s="666"/>
      <c r="FA39" s="279"/>
      <c r="FB39" s="247"/>
      <c r="FC39" s="665"/>
      <c r="FD39" s="666"/>
      <c r="FE39" s="279"/>
      <c r="FF39" s="247"/>
      <c r="FG39" s="665"/>
      <c r="FH39" s="666"/>
      <c r="FI39" s="279"/>
      <c r="FJ39" s="247"/>
      <c r="FK39" s="665"/>
      <c r="FL39" s="666"/>
      <c r="FM39" s="279"/>
      <c r="FN39" s="665"/>
      <c r="FO39" s="279"/>
      <c r="FP39" s="247"/>
      <c r="FQ39" s="665"/>
      <c r="FR39" s="679"/>
      <c r="FS39" s="279"/>
      <c r="FT39" s="649"/>
      <c r="FV39" s="279"/>
      <c r="FW39" s="665"/>
      <c r="FX39" s="279"/>
      <c r="FY39" s="665"/>
      <c r="FZ39" s="279"/>
      <c r="GA39" s="665"/>
      <c r="GB39" s="279"/>
      <c r="GC39" s="665"/>
    </row>
    <row r="40" spans="1:185" ht="17" thickBot="1">
      <c r="A40" s="229"/>
      <c r="B40" s="229"/>
      <c r="C40" s="229"/>
      <c r="D40" s="229"/>
      <c r="E40" s="229"/>
      <c r="F40" s="229"/>
      <c r="G40" s="229"/>
      <c r="H40" s="229"/>
      <c r="I40" s="229"/>
      <c r="J40" s="229"/>
      <c r="K40" s="235"/>
      <c r="L40" s="235"/>
      <c r="M40" s="235"/>
      <c r="N40" s="235"/>
      <c r="O40" s="235"/>
      <c r="P40" s="235"/>
      <c r="Q40" s="235"/>
      <c r="R40" s="235"/>
      <c r="S40" s="235"/>
      <c r="T40" s="235"/>
      <c r="U40" s="235"/>
      <c r="V40" s="235"/>
      <c r="W40" s="235"/>
      <c r="X40" s="235"/>
      <c r="Y40" s="243"/>
      <c r="Z40" s="210"/>
      <c r="AA40" s="231"/>
      <c r="AB40" s="210"/>
      <c r="AC40" s="210"/>
      <c r="AD40" s="231"/>
      <c r="AE40" s="231"/>
      <c r="AF40" s="231"/>
      <c r="AG40" s="231"/>
      <c r="BC40" s="231"/>
      <c r="BD40" s="231"/>
      <c r="BE40" s="231"/>
      <c r="BF40" s="231"/>
      <c r="BG40" s="111"/>
      <c r="CB40" s="231"/>
      <c r="CC40" s="231"/>
      <c r="CD40" s="111"/>
      <c r="CX40" s="244"/>
      <c r="CZ40"/>
      <c r="DO40" s="660">
        <f>SUM(DO9:DO39)</f>
        <v>0</v>
      </c>
      <c r="DP40" s="661">
        <f t="shared" ref="DP40:GC40" si="38">SUM(DP9:DP39)</f>
        <v>0</v>
      </c>
      <c r="DQ40" s="661">
        <f t="shared" si="38"/>
        <v>0</v>
      </c>
      <c r="DR40" s="661">
        <f t="shared" si="38"/>
        <v>0</v>
      </c>
      <c r="DS40" s="664">
        <f t="shared" si="38"/>
        <v>0</v>
      </c>
      <c r="DT40" s="664">
        <f t="shared" si="38"/>
        <v>0</v>
      </c>
      <c r="DU40" s="661">
        <f t="shared" si="38"/>
        <v>0</v>
      </c>
      <c r="DV40" s="664">
        <f t="shared" si="38"/>
        <v>0</v>
      </c>
      <c r="DW40" s="660">
        <f t="shared" ref="DW40:EB40" si="39">SUM(DW9:DW39)</f>
        <v>0</v>
      </c>
      <c r="DX40" s="661">
        <f t="shared" si="39"/>
        <v>0</v>
      </c>
      <c r="DY40" s="661">
        <f t="shared" si="39"/>
        <v>0</v>
      </c>
      <c r="DZ40" s="664">
        <f t="shared" si="39"/>
        <v>0</v>
      </c>
      <c r="EA40" s="664">
        <f t="shared" si="39"/>
        <v>0</v>
      </c>
      <c r="EB40" s="664">
        <f t="shared" si="39"/>
        <v>0</v>
      </c>
      <c r="EC40" s="661">
        <f t="shared" si="38"/>
        <v>0</v>
      </c>
      <c r="ED40" s="661">
        <f t="shared" si="38"/>
        <v>0</v>
      </c>
      <c r="EE40" s="661">
        <f t="shared" si="38"/>
        <v>0</v>
      </c>
      <c r="EF40" s="661">
        <f t="shared" si="38"/>
        <v>0</v>
      </c>
      <c r="EG40" s="664">
        <f t="shared" si="38"/>
        <v>0</v>
      </c>
      <c r="EH40" s="664">
        <f t="shared" si="38"/>
        <v>0</v>
      </c>
      <c r="EI40" s="664">
        <f t="shared" si="38"/>
        <v>0</v>
      </c>
      <c r="EJ40" s="664">
        <f t="shared" si="38"/>
        <v>0</v>
      </c>
      <c r="EK40" s="661">
        <f t="shared" si="38"/>
        <v>0</v>
      </c>
      <c r="EL40" s="661">
        <f t="shared" si="38"/>
        <v>0</v>
      </c>
      <c r="EM40" s="664">
        <f t="shared" si="38"/>
        <v>0</v>
      </c>
      <c r="EN40" s="664">
        <f t="shared" si="38"/>
        <v>0</v>
      </c>
      <c r="EO40" s="661">
        <f t="shared" si="38"/>
        <v>0</v>
      </c>
      <c r="EP40" s="661">
        <f t="shared" si="38"/>
        <v>0</v>
      </c>
      <c r="EQ40" s="664">
        <f t="shared" si="38"/>
        <v>0</v>
      </c>
      <c r="ER40" s="667">
        <f t="shared" si="38"/>
        <v>0</v>
      </c>
      <c r="ES40" s="661">
        <f t="shared" si="38"/>
        <v>0</v>
      </c>
      <c r="ET40" s="661">
        <f t="shared" si="38"/>
        <v>0</v>
      </c>
      <c r="EU40" s="664">
        <f t="shared" si="38"/>
        <v>0</v>
      </c>
      <c r="EV40" s="667">
        <f t="shared" si="38"/>
        <v>0</v>
      </c>
      <c r="EW40" s="661">
        <f t="shared" si="38"/>
        <v>0</v>
      </c>
      <c r="EX40" s="661">
        <f t="shared" si="38"/>
        <v>0</v>
      </c>
      <c r="EY40" s="664">
        <f t="shared" si="38"/>
        <v>0</v>
      </c>
      <c r="EZ40" s="667">
        <f t="shared" si="38"/>
        <v>0</v>
      </c>
      <c r="FA40" s="661">
        <f t="shared" si="38"/>
        <v>0</v>
      </c>
      <c r="FB40" s="661">
        <f t="shared" si="38"/>
        <v>0</v>
      </c>
      <c r="FC40" s="664">
        <f t="shared" si="38"/>
        <v>0</v>
      </c>
      <c r="FD40" s="667">
        <f t="shared" si="38"/>
        <v>0</v>
      </c>
      <c r="FE40" s="661">
        <f t="shared" si="38"/>
        <v>0</v>
      </c>
      <c r="FF40" s="661">
        <f t="shared" si="38"/>
        <v>0</v>
      </c>
      <c r="FG40" s="664">
        <f t="shared" si="38"/>
        <v>0</v>
      </c>
      <c r="FH40" s="667">
        <f t="shared" si="38"/>
        <v>0</v>
      </c>
      <c r="FI40" s="676">
        <f t="shared" si="38"/>
        <v>0</v>
      </c>
      <c r="FJ40" s="661">
        <f t="shared" si="38"/>
        <v>0</v>
      </c>
      <c r="FK40" s="676">
        <f t="shared" si="38"/>
        <v>0</v>
      </c>
      <c r="FL40" s="664">
        <f t="shared" si="38"/>
        <v>0</v>
      </c>
      <c r="FM40" s="676">
        <f t="shared" si="38"/>
        <v>0</v>
      </c>
      <c r="FN40" s="676">
        <f t="shared" si="38"/>
        <v>0</v>
      </c>
      <c r="FO40" s="676">
        <f t="shared" si="38"/>
        <v>0</v>
      </c>
      <c r="FP40" s="661">
        <f t="shared" si="38"/>
        <v>0</v>
      </c>
      <c r="FQ40" s="676">
        <f t="shared" si="38"/>
        <v>0</v>
      </c>
      <c r="FR40" s="667">
        <f t="shared" si="38"/>
        <v>0</v>
      </c>
      <c r="FS40" s="680">
        <f t="shared" si="38"/>
        <v>0</v>
      </c>
      <c r="FT40" s="681">
        <f t="shared" si="38"/>
        <v>0</v>
      </c>
      <c r="FU40" s="681">
        <f t="shared" si="38"/>
        <v>0</v>
      </c>
      <c r="FV40" s="680">
        <f>SUM(FV9:FV39)</f>
        <v>0</v>
      </c>
      <c r="FW40" s="681">
        <f t="shared" si="38"/>
        <v>0</v>
      </c>
      <c r="FX40" s="680">
        <f t="shared" si="38"/>
        <v>0</v>
      </c>
      <c r="FY40" s="681">
        <f t="shared" si="38"/>
        <v>0</v>
      </c>
      <c r="FZ40" s="676">
        <f t="shared" si="38"/>
        <v>0</v>
      </c>
      <c r="GA40" s="676">
        <f t="shared" si="38"/>
        <v>0</v>
      </c>
      <c r="GB40" s="676">
        <f t="shared" si="38"/>
        <v>0</v>
      </c>
      <c r="GC40" s="676">
        <f t="shared" si="38"/>
        <v>0</v>
      </c>
    </row>
    <row r="41" spans="1:185" ht="70" customHeight="1">
      <c r="A41" s="973" t="str">
        <f>"Arbejdstid for "&amp;A7&amp;" måned:"</f>
        <v>Arbejdstid for September måned:</v>
      </c>
      <c r="B41" s="974"/>
      <c r="C41" s="974"/>
      <c r="D41" s="974"/>
      <c r="E41" s="974"/>
      <c r="F41" s="974"/>
      <c r="G41" s="974"/>
      <c r="H41" s="325" t="s">
        <v>255</v>
      </c>
      <c r="I41" s="974" t="s">
        <v>221</v>
      </c>
      <c r="J41" s="975"/>
      <c r="K41" s="976"/>
      <c r="L41" s="258"/>
      <c r="M41" s="1026" t="str">
        <f>"Ulempetimer og weekendtimer i "&amp;A5&amp;""</f>
        <v>Ulempetimer og weekendtimer i September måneds kalender for: . Måneden vedr. normperioden:  - .</v>
      </c>
      <c r="N41" s="1004"/>
      <c r="O41" s="1004"/>
      <c r="P41" s="1004"/>
      <c r="Q41" s="1004"/>
      <c r="R41" s="1004"/>
      <c r="S41" s="1004"/>
      <c r="T41" s="1004"/>
      <c r="U41" s="1004"/>
      <c r="V41" s="1004"/>
      <c r="W41" s="1004"/>
      <c r="X41" s="1005"/>
      <c r="Y41" s="212"/>
      <c r="Z41" s="235"/>
      <c r="AA41" s="235"/>
      <c r="AB41" s="235"/>
      <c r="AG41" s="89"/>
      <c r="AH41" s="89"/>
      <c r="BO41" s="1"/>
      <c r="CL41" s="1"/>
      <c r="CW41" s="244"/>
      <c r="CX41" s="244"/>
      <c r="CY41"/>
      <c r="CZ41"/>
    </row>
    <row r="42" spans="1:185">
      <c r="A42" s="977" t="s">
        <v>528</v>
      </c>
      <c r="B42" s="978"/>
      <c r="C42" s="978"/>
      <c r="D42" s="978"/>
      <c r="E42" s="978"/>
      <c r="F42" s="978"/>
      <c r="G42" s="978"/>
      <c r="H42" s="252">
        <f>D77</f>
        <v>21</v>
      </c>
      <c r="I42" s="990">
        <f>IF(Stamoplysninger!$E$12="Ja",1924/Arbejdstidsoversigt!$K$9*Stamoplysninger!$E$15*$H$42,H42*7.4*Stamoplysninger!$E$15)</f>
        <v>154.80459770114942</v>
      </c>
      <c r="J42" s="991"/>
      <c r="K42" s="992"/>
      <c r="L42" s="254"/>
      <c r="M42" s="1027" t="s">
        <v>496</v>
      </c>
      <c r="N42" s="1028"/>
      <c r="O42" s="1028"/>
      <c r="P42" s="1028"/>
      <c r="Q42" s="1028"/>
      <c r="R42" s="1028"/>
      <c r="S42" s="1028"/>
      <c r="T42" s="1028"/>
      <c r="U42" s="1029"/>
      <c r="V42" s="1108">
        <f>P64+P68+P71+P73</f>
        <v>0</v>
      </c>
      <c r="W42" s="1108"/>
      <c r="X42" s="1109"/>
      <c r="Y42" s="235"/>
      <c r="Z42" s="235"/>
      <c r="AA42" s="235"/>
      <c r="AB42" s="235"/>
      <c r="AG42" s="89"/>
      <c r="AH42" s="89"/>
      <c r="BO42" s="1"/>
      <c r="CL42" s="1"/>
      <c r="CW42" s="244"/>
      <c r="CX42" s="244"/>
      <c r="CY42"/>
      <c r="CZ42"/>
    </row>
    <row r="43" spans="1:185">
      <c r="A43" s="977" t="str">
        <f>"Ferie "&amp;A7&amp;" måned"</f>
        <v>Ferie September måned</v>
      </c>
      <c r="B43" s="978"/>
      <c r="C43" s="978"/>
      <c r="D43" s="978"/>
      <c r="E43" s="978"/>
      <c r="F43" s="978"/>
      <c r="G43" s="978"/>
      <c r="H43" s="253" t="str">
        <f>IF(D72&gt;0,$D$72,"0")</f>
        <v>0</v>
      </c>
      <c r="I43" s="979">
        <f>H43*7.4*Stamoplysninger!$E$15</f>
        <v>0</v>
      </c>
      <c r="J43" s="980"/>
      <c r="K43" s="981"/>
      <c r="L43" s="254"/>
      <c r="M43" s="1114" t="s">
        <v>259</v>
      </c>
      <c r="N43" s="1115"/>
      <c r="O43" s="1115"/>
      <c r="P43" s="1115"/>
      <c r="Q43" s="1115"/>
      <c r="R43" s="1115"/>
      <c r="S43" s="1115"/>
      <c r="T43" s="1115"/>
      <c r="U43" s="1115"/>
      <c r="V43" s="1110">
        <f>Q65+Q67+Q70+Q72</f>
        <v>0</v>
      </c>
      <c r="W43" s="1110"/>
      <c r="X43" s="1111"/>
      <c r="Y43" s="235"/>
      <c r="Z43" s="235"/>
      <c r="AA43" s="235"/>
      <c r="AB43" s="235"/>
      <c r="AG43" s="89"/>
      <c r="AH43" s="89"/>
      <c r="BO43" s="1"/>
      <c r="CL43" s="1"/>
      <c r="CW43" s="244"/>
      <c r="CX43" s="244"/>
      <c r="CY43"/>
      <c r="CZ43"/>
    </row>
    <row r="44" spans="1:185">
      <c r="A44" s="977" t="str">
        <f>"Søgnehelligdage i "&amp;A7&amp;" måned"</f>
        <v>Søgnehelligdage i September måned</v>
      </c>
      <c r="B44" s="978"/>
      <c r="C44" s="978"/>
      <c r="D44" s="978"/>
      <c r="E44" s="978"/>
      <c r="F44" s="978"/>
      <c r="G44" s="978"/>
      <c r="H44" s="253">
        <f>IF(D71&gt;0,D71,0)</f>
        <v>0</v>
      </c>
      <c r="I44" s="979">
        <f>H44*7.4*Stamoplysninger!$E$15</f>
        <v>0</v>
      </c>
      <c r="J44" s="980"/>
      <c r="K44" s="981"/>
      <c r="L44" s="255"/>
      <c r="M44" s="1039" t="s">
        <v>295</v>
      </c>
      <c r="N44" s="1040"/>
      <c r="O44" s="1040"/>
      <c r="P44" s="1040"/>
      <c r="Q44" s="1040"/>
      <c r="R44" s="1040"/>
      <c r="S44" s="1040"/>
      <c r="T44" s="1040"/>
      <c r="U44" s="1040"/>
      <c r="V44" s="1112">
        <f>August!V54</f>
        <v>0</v>
      </c>
      <c r="W44" s="1112"/>
      <c r="X44" s="1113"/>
      <c r="Y44" s="235"/>
      <c r="Z44" s="235"/>
      <c r="AA44" s="235"/>
      <c r="AB44" s="235"/>
      <c r="AG44" s="89"/>
      <c r="AH44" s="89"/>
      <c r="BO44" s="1"/>
      <c r="CL44" s="1"/>
      <c r="CW44" s="244"/>
      <c r="CX44" s="244"/>
      <c r="CY44"/>
      <c r="CZ44"/>
    </row>
    <row r="45" spans="1:185">
      <c r="A45" s="977" t="str">
        <f>"Nettoarbejdstid ialt i "&amp;A7&amp;" måned"</f>
        <v>Nettoarbejdstid ialt i September måned</v>
      </c>
      <c r="B45" s="978"/>
      <c r="C45" s="978"/>
      <c r="D45" s="978"/>
      <c r="E45" s="978"/>
      <c r="F45" s="978"/>
      <c r="G45" s="978"/>
      <c r="H45" s="256">
        <f>H42-H43-H44</f>
        <v>21</v>
      </c>
      <c r="I45" s="979">
        <f>I42-I43-I44</f>
        <v>154.80459770114942</v>
      </c>
      <c r="J45" s="980"/>
      <c r="K45" s="981"/>
      <c r="L45" s="255"/>
      <c r="M45" s="1121" t="s">
        <v>301</v>
      </c>
      <c r="N45" s="1122"/>
      <c r="O45" s="1122"/>
      <c r="P45" s="1122"/>
      <c r="Q45" s="1122"/>
      <c r="R45" s="1122"/>
      <c r="S45" s="1122"/>
      <c r="T45" s="1122"/>
      <c r="U45" s="1122"/>
      <c r="V45" s="1116">
        <f>V43+V44</f>
        <v>0</v>
      </c>
      <c r="W45" s="1116"/>
      <c r="X45" s="1117"/>
      <c r="Y45" s="235"/>
      <c r="Z45" s="235"/>
      <c r="AA45" s="235"/>
      <c r="AB45" s="235"/>
      <c r="AG45" s="89"/>
      <c r="AH45" s="89"/>
      <c r="BO45" s="1"/>
      <c r="CL45" s="1"/>
      <c r="CW45" s="244"/>
      <c r="CX45" s="244"/>
      <c r="CY45"/>
      <c r="CZ45"/>
    </row>
    <row r="46" spans="1:185">
      <c r="A46" s="993" t="str">
        <f>"Planlagt arbejdstid efter ovennstående "&amp;A7&amp;" måned kalender"</f>
        <v>Planlagt arbejdstid efter ovennstående September måned kalender</v>
      </c>
      <c r="B46" s="994"/>
      <c r="C46" s="994"/>
      <c r="D46" s="994"/>
      <c r="E46" s="994"/>
      <c r="F46" s="994"/>
      <c r="G46" s="994"/>
      <c r="H46" s="468">
        <f>D63+D64+D65+D66+D67+D68+D69</f>
        <v>21</v>
      </c>
      <c r="I46" s="995">
        <f>N39+R39+V105</f>
        <v>0</v>
      </c>
      <c r="J46" s="996"/>
      <c r="K46" s="997"/>
      <c r="L46" s="255"/>
      <c r="M46" s="1118" t="s">
        <v>293</v>
      </c>
      <c r="N46" s="1119"/>
      <c r="O46" s="1119"/>
      <c r="P46" s="1119"/>
      <c r="Q46" s="1119"/>
      <c r="R46" s="1119"/>
      <c r="S46" s="1119"/>
      <c r="T46" s="1119"/>
      <c r="U46" s="1119"/>
      <c r="V46" s="1119"/>
      <c r="W46" s="1119"/>
      <c r="X46" s="1120"/>
      <c r="Y46" s="235"/>
      <c r="Z46" s="235"/>
      <c r="AA46" s="235"/>
      <c r="AB46" s="235"/>
      <c r="AG46" s="89"/>
      <c r="AH46" s="89"/>
      <c r="BO46" s="1"/>
      <c r="CL46" s="1"/>
      <c r="CW46" s="244"/>
      <c r="CX46" s="244"/>
      <c r="CY46"/>
      <c r="CZ46"/>
    </row>
    <row r="47" spans="1:185">
      <c r="A47" s="1001" t="str">
        <f>August!A49</f>
        <v>Heraf planlagte weekendtimer til afspadsering, udbetaling eller hvor der er indgået lokalaftale</v>
      </c>
      <c r="B47" s="1002"/>
      <c r="C47" s="1002"/>
      <c r="D47" s="1002"/>
      <c r="E47" s="1002"/>
      <c r="F47" s="1002"/>
      <c r="G47" s="1002"/>
      <c r="H47" s="1003"/>
      <c r="I47" s="998">
        <f>(FI40+FM40+FO40+FV40+FX40+FZ40+GB40)*-1+FK40+FN40+FQ40+FW40+FY40+GA40+GC40+FU40</f>
        <v>0</v>
      </c>
      <c r="J47" s="999"/>
      <c r="K47" s="1000"/>
      <c r="L47" s="251"/>
      <c r="M47" s="1123" t="s">
        <v>462</v>
      </c>
      <c r="N47" s="1124"/>
      <c r="O47" s="1124"/>
      <c r="P47" s="1124"/>
      <c r="Q47" s="1124"/>
      <c r="R47" s="1124"/>
      <c r="S47" s="1124"/>
      <c r="T47" s="1124"/>
      <c r="U47" s="1124"/>
      <c r="V47" s="1099" t="s">
        <v>221</v>
      </c>
      <c r="W47" s="1099"/>
      <c r="X47" s="1100"/>
      <c r="Y47" s="235"/>
      <c r="Z47" s="235"/>
      <c r="AA47" s="235"/>
      <c r="AB47" s="235"/>
      <c r="AG47" s="89"/>
      <c r="AH47" s="89"/>
      <c r="BO47" s="1"/>
      <c r="CL47" s="1"/>
      <c r="CW47" s="244"/>
      <c r="CX47" s="244"/>
      <c r="CY47"/>
      <c r="CZ47"/>
    </row>
    <row r="48" spans="1:185">
      <c r="A48" s="1020" t="str">
        <f>"Arbejde særligt planlagt for "&amp;A7&amp;" måned efter fanen skemaoplysninger"</f>
        <v>Arbejde særligt planlagt for September måned efter fanen skemaoplysninger</v>
      </c>
      <c r="B48" s="1021"/>
      <c r="C48" s="1021"/>
      <c r="D48" s="1021"/>
      <c r="E48" s="1021"/>
      <c r="F48" s="1021"/>
      <c r="G48" s="1021"/>
      <c r="H48" s="1022"/>
      <c r="I48" s="996">
        <f>Skemaoplysninger!L91</f>
        <v>0</v>
      </c>
      <c r="J48" s="1018"/>
      <c r="K48" s="1019"/>
      <c r="L48" s="237"/>
      <c r="M48" s="1125"/>
      <c r="N48" s="1126"/>
      <c r="O48" s="1126"/>
      <c r="P48" s="1126"/>
      <c r="Q48" s="1126"/>
      <c r="R48" s="1126"/>
      <c r="S48" s="1126"/>
      <c r="T48" s="1126"/>
      <c r="U48" s="1127"/>
      <c r="V48" s="1062"/>
      <c r="W48" s="1062"/>
      <c r="X48" s="1063"/>
      <c r="Y48" s="243"/>
      <c r="Z48" s="235"/>
      <c r="AB48" s="235"/>
      <c r="AC48" s="235"/>
      <c r="AI48" s="89"/>
      <c r="AJ48" s="89"/>
      <c r="BC48" s="235"/>
      <c r="BQ48" s="1"/>
      <c r="CN48" s="1"/>
      <c r="CX48" s="244"/>
      <c r="CZ48"/>
    </row>
    <row r="49" spans="1:110">
      <c r="A49" s="982" t="s">
        <v>291</v>
      </c>
      <c r="B49" s="983"/>
      <c r="C49" s="983"/>
      <c r="D49" s="983"/>
      <c r="E49" s="983"/>
      <c r="F49" s="983"/>
      <c r="G49" s="983"/>
      <c r="H49" s="983"/>
      <c r="I49" s="984">
        <f>V39+X39-FA40+R105</f>
        <v>0</v>
      </c>
      <c r="J49" s="985"/>
      <c r="K49" s="986"/>
      <c r="L49" s="237"/>
      <c r="M49" s="1082"/>
      <c r="N49" s="1083"/>
      <c r="O49" s="1083"/>
      <c r="P49" s="1083"/>
      <c r="Q49" s="1083"/>
      <c r="R49" s="1083"/>
      <c r="S49" s="1083"/>
      <c r="T49" s="1083"/>
      <c r="U49" s="1083"/>
      <c r="V49" s="885"/>
      <c r="W49" s="886"/>
      <c r="X49" s="887"/>
      <c r="Y49" s="243"/>
      <c r="Z49" s="235"/>
      <c r="AB49" s="235"/>
      <c r="AC49" s="235"/>
      <c r="AH49" s="89"/>
      <c r="AI49" s="89"/>
      <c r="BP49" s="1"/>
      <c r="CM49" s="1"/>
      <c r="CX49" s="244"/>
      <c r="CZ49"/>
    </row>
    <row r="50" spans="1:110" ht="17" thickBot="1">
      <c r="A50" s="257" t="str">
        <f>"Faktisk arbejdstid ialt i "&amp;A7&amp;" måned"</f>
        <v>Faktisk arbejdstid ialt i September måned</v>
      </c>
      <c r="B50" s="309"/>
      <c r="C50" s="310"/>
      <c r="D50" s="310"/>
      <c r="E50" s="310"/>
      <c r="F50" s="310"/>
      <c r="G50" s="310"/>
      <c r="H50" s="311"/>
      <c r="I50" s="1023">
        <f>I46+I49+I48+I47</f>
        <v>0</v>
      </c>
      <c r="J50" s="1024"/>
      <c r="K50" s="1025"/>
      <c r="L50" s="237"/>
      <c r="M50" s="1082"/>
      <c r="N50" s="1083"/>
      <c r="O50" s="1083"/>
      <c r="P50" s="1083"/>
      <c r="Q50" s="1083"/>
      <c r="R50" s="1083"/>
      <c r="S50" s="1083"/>
      <c r="T50" s="1083"/>
      <c r="U50" s="1083"/>
      <c r="V50" s="885"/>
      <c r="W50" s="886"/>
      <c r="X50" s="887"/>
      <c r="Y50" s="235"/>
      <c r="Z50" s="235"/>
      <c r="AA50" s="235"/>
      <c r="AB50" s="235"/>
      <c r="AC50" s="213"/>
      <c r="AD50" s="243"/>
      <c r="AE50" s="243"/>
      <c r="AF50" s="243"/>
      <c r="AG50" s="243"/>
      <c r="AH50" s="235"/>
      <c r="AJ50" s="235"/>
      <c r="AK50" s="235"/>
      <c r="AO50" s="89"/>
      <c r="AP50" s="89"/>
      <c r="BW50" s="1"/>
      <c r="CT50" s="1"/>
      <c r="CY50"/>
      <c r="CZ50"/>
      <c r="DE50" s="244"/>
      <c r="DF50" s="244"/>
    </row>
    <row r="51" spans="1:110" ht="17" thickBot="1">
      <c r="A51" s="251"/>
      <c r="B51" s="251"/>
      <c r="C51" s="251"/>
      <c r="D51" s="251"/>
      <c r="E51" s="251"/>
      <c r="F51" s="251"/>
      <c r="G51" s="251"/>
      <c r="H51" s="251"/>
      <c r="I51" s="514"/>
      <c r="J51" s="514"/>
      <c r="K51" s="514"/>
      <c r="L51" s="492"/>
      <c r="M51" s="1082"/>
      <c r="N51" s="1083"/>
      <c r="O51" s="1083"/>
      <c r="P51" s="1083"/>
      <c r="Q51" s="1083"/>
      <c r="R51" s="1083"/>
      <c r="S51" s="1083"/>
      <c r="T51" s="1083"/>
      <c r="U51" s="1083"/>
      <c r="V51" s="885"/>
      <c r="W51" s="886"/>
      <c r="X51" s="887"/>
      <c r="Y51" s="235"/>
      <c r="Z51" s="235"/>
      <c r="AA51" s="235"/>
      <c r="AB51" s="235"/>
      <c r="AC51" s="213"/>
      <c r="AD51" s="243"/>
      <c r="AE51" s="243"/>
      <c r="AF51" s="243"/>
      <c r="AG51" s="243"/>
      <c r="AH51" s="235"/>
      <c r="AJ51" s="235"/>
      <c r="AK51" s="235"/>
      <c r="AO51" s="89"/>
      <c r="AP51" s="89"/>
      <c r="BW51" s="1"/>
      <c r="CT51" s="1"/>
      <c r="CY51"/>
      <c r="CZ51"/>
      <c r="DE51" s="244"/>
      <c r="DF51" s="244"/>
    </row>
    <row r="52" spans="1:110" ht="39" customHeight="1" thickBot="1">
      <c r="A52" s="973" t="s">
        <v>478</v>
      </c>
      <c r="B52" s="974"/>
      <c r="C52" s="974"/>
      <c r="D52" s="974"/>
      <c r="E52" s="974"/>
      <c r="F52" s="974"/>
      <c r="G52" s="974"/>
      <c r="H52" s="698" t="s">
        <v>669</v>
      </c>
      <c r="I52" s="1090" t="s">
        <v>477</v>
      </c>
      <c r="J52" s="1091"/>
      <c r="K52" s="1092"/>
      <c r="L52" s="492"/>
      <c r="M52" s="1093" t="s">
        <v>294</v>
      </c>
      <c r="N52" s="1094"/>
      <c r="O52" s="1094"/>
      <c r="P52" s="1094"/>
      <c r="Q52" s="1094"/>
      <c r="R52" s="1094"/>
      <c r="S52" s="1094"/>
      <c r="T52" s="1094"/>
      <c r="U52" s="1095"/>
      <c r="V52" s="1096">
        <f>V45-SUM(V48:X51)</f>
        <v>0</v>
      </c>
      <c r="W52" s="1097"/>
      <c r="X52" s="1098"/>
      <c r="Y52" s="235"/>
      <c r="Z52" s="235"/>
      <c r="AA52" s="235"/>
      <c r="AB52" s="235"/>
      <c r="AC52" s="213"/>
      <c r="AD52" s="243"/>
      <c r="AE52" s="243"/>
      <c r="AF52" s="243"/>
      <c r="AG52" s="243"/>
      <c r="AH52" s="235"/>
      <c r="AJ52" s="235"/>
      <c r="AK52" s="235"/>
      <c r="AO52" s="89"/>
      <c r="AP52" s="89"/>
      <c r="BW52" s="1"/>
      <c r="CT52" s="1"/>
      <c r="CY52"/>
      <c r="CZ52"/>
      <c r="DE52" s="244"/>
      <c r="DF52" s="244"/>
    </row>
    <row r="53" spans="1:110" ht="16" customHeight="1">
      <c r="A53" s="1008"/>
      <c r="B53" s="1009"/>
      <c r="C53" s="1009"/>
      <c r="D53" s="1009"/>
      <c r="E53" s="1009"/>
      <c r="F53" s="1009"/>
      <c r="G53" s="1009"/>
      <c r="H53" s="597">
        <f>August!H62</f>
        <v>0</v>
      </c>
      <c r="I53" s="1099">
        <f>August!I62</f>
        <v>0</v>
      </c>
      <c r="J53" s="1099"/>
      <c r="K53" s="1100"/>
      <c r="L53" s="492"/>
      <c r="M53" s="235"/>
      <c r="N53" s="235"/>
      <c r="O53" s="235"/>
      <c r="P53" s="235"/>
      <c r="Q53" s="213"/>
      <c r="R53" s="243"/>
      <c r="S53" s="243"/>
      <c r="T53" s="243"/>
      <c r="U53" s="243"/>
      <c r="V53" s="235"/>
      <c r="X53" s="235"/>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84" t="s">
        <v>482</v>
      </c>
      <c r="B54" s="1085"/>
      <c r="C54" s="1085"/>
      <c r="D54" s="1085"/>
      <c r="E54" s="1085"/>
      <c r="F54" s="1085"/>
      <c r="G54" s="1086"/>
      <c r="H54" s="595"/>
      <c r="I54" s="1087"/>
      <c r="J54" s="1088"/>
      <c r="K54" s="1089"/>
      <c r="L54" s="492"/>
      <c r="M54" s="235"/>
      <c r="N54" s="235"/>
      <c r="O54" s="235"/>
      <c r="P54" s="235"/>
      <c r="Q54" s="213"/>
      <c r="R54" s="243"/>
      <c r="S54" s="243"/>
      <c r="T54" s="243"/>
      <c r="U54" s="243"/>
      <c r="V54" s="235"/>
      <c r="X54" s="235"/>
      <c r="Y54" s="235"/>
      <c r="Z54" s="235"/>
      <c r="AA54" s="235"/>
      <c r="AB54" s="235"/>
      <c r="AC54" s="213"/>
      <c r="AD54" s="243"/>
      <c r="AE54" s="243"/>
      <c r="AF54" s="243"/>
      <c r="AG54" s="243"/>
      <c r="AH54" s="235"/>
      <c r="AJ54" s="235"/>
      <c r="AK54" s="235"/>
      <c r="AO54" s="89"/>
      <c r="AP54" s="89"/>
      <c r="BW54" s="1"/>
      <c r="CT54" s="1"/>
      <c r="CY54"/>
      <c r="CZ54"/>
      <c r="DE54" s="244"/>
      <c r="DF54" s="244"/>
    </row>
    <row r="55" spans="1:110" ht="37" customHeight="1">
      <c r="A55" s="879" t="s">
        <v>670</v>
      </c>
      <c r="B55" s="880"/>
      <c r="C55" s="880"/>
      <c r="D55" s="880"/>
      <c r="E55" s="880"/>
      <c r="F55" s="880"/>
      <c r="G55" s="880"/>
      <c r="H55" s="880"/>
      <c r="I55" s="880"/>
      <c r="J55" s="880"/>
      <c r="K55" s="881"/>
      <c r="L55" s="492"/>
      <c r="M55" s="515"/>
      <c r="N55" s="515"/>
      <c r="O55" s="515"/>
      <c r="P55" s="515"/>
      <c r="Q55" s="516"/>
      <c r="R55" s="517"/>
      <c r="S55" s="517"/>
      <c r="T55" s="517"/>
      <c r="U55" s="517"/>
      <c r="V55" s="515"/>
      <c r="W55" s="518"/>
      <c r="X55" s="515"/>
      <c r="Y55" s="235"/>
      <c r="Z55" s="235"/>
      <c r="AA55" s="235"/>
      <c r="AB55" s="235"/>
      <c r="AC55" s="213"/>
      <c r="AD55" s="243"/>
      <c r="AE55" s="243"/>
      <c r="AF55" s="243"/>
      <c r="AG55" s="243"/>
      <c r="AH55" s="235"/>
      <c r="AJ55" s="235"/>
      <c r="AK55" s="235"/>
      <c r="AO55" s="89"/>
      <c r="AP55" s="89"/>
      <c r="BW55" s="1"/>
      <c r="CT55" s="1"/>
      <c r="CY55"/>
      <c r="CZ55"/>
      <c r="DE55" s="244"/>
      <c r="DF55" s="244"/>
    </row>
    <row r="56" spans="1:110" ht="35" customHeight="1">
      <c r="A56" s="1010" t="s">
        <v>671</v>
      </c>
      <c r="B56" s="1011"/>
      <c r="C56" s="913" t="s">
        <v>509</v>
      </c>
      <c r="D56" s="914"/>
      <c r="E56" s="915" t="s">
        <v>510</v>
      </c>
      <c r="F56" s="880"/>
      <c r="G56" s="916"/>
      <c r="H56" s="925" t="s">
        <v>479</v>
      </c>
      <c r="I56" s="925"/>
      <c r="J56" s="925"/>
      <c r="K56" s="926"/>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c r="A57" s="917"/>
      <c r="B57" s="918"/>
      <c r="C57" s="921"/>
      <c r="D57" s="920"/>
      <c r="E57" s="922"/>
      <c r="F57" s="923"/>
      <c r="G57" s="924"/>
      <c r="H57" s="596"/>
      <c r="I57" s="911"/>
      <c r="J57" s="911"/>
      <c r="K57" s="912"/>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919"/>
      <c r="B58" s="920"/>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919"/>
      <c r="B60" s="920"/>
      <c r="C60" s="921"/>
      <c r="D60" s="920"/>
      <c r="E60" s="922"/>
      <c r="F60" s="923"/>
      <c r="G60" s="924"/>
      <c r="H60" s="596"/>
      <c r="I60" s="911"/>
      <c r="J60" s="911"/>
      <c r="K60" s="912"/>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ht="17" thickBot="1">
      <c r="A61" s="908" t="s">
        <v>480</v>
      </c>
      <c r="B61" s="909"/>
      <c r="C61" s="910"/>
      <c r="D61" s="910"/>
      <c r="E61" s="910"/>
      <c r="F61" s="910"/>
      <c r="G61" s="910"/>
      <c r="H61" s="598">
        <f>H54+H53-SUM(H57:H60)</f>
        <v>0</v>
      </c>
      <c r="I61" s="927">
        <f>I53+I54-SUM(I57:K60)</f>
        <v>0</v>
      </c>
      <c r="J61" s="928"/>
      <c r="K61" s="929"/>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24" hidden="1" customHeight="1">
      <c r="A62" s="434"/>
      <c r="B62" s="434"/>
      <c r="C62" s="434"/>
      <c r="D62" s="434"/>
      <c r="E62" s="434"/>
      <c r="F62" s="434"/>
      <c r="G62" s="434"/>
      <c r="H62" s="444"/>
      <c r="I62" s="498"/>
      <c r="J62" s="498"/>
      <c r="K62" s="488"/>
      <c r="L62" s="650"/>
      <c r="M62" s="650"/>
      <c r="N62" s="650"/>
      <c r="O62" s="650"/>
      <c r="P62" s="650"/>
      <c r="Q62" s="516"/>
      <c r="R62" s="517"/>
      <c r="S62" s="517"/>
      <c r="T62" s="517"/>
      <c r="U62" s="517"/>
      <c r="V62" s="515" t="s">
        <v>570</v>
      </c>
      <c r="W62" s="518"/>
      <c r="X62" s="515"/>
      <c r="Y62" s="235"/>
      <c r="Z62"/>
      <c r="AC62" s="89"/>
      <c r="AD62" s="89"/>
      <c r="BK62" s="1"/>
      <c r="CH62" s="1"/>
      <c r="CS62" s="244"/>
      <c r="CT62" s="244"/>
      <c r="CY62"/>
      <c r="CZ62"/>
    </row>
    <row r="63" spans="1:110" hidden="1">
      <c r="A63" s="122" t="s">
        <v>206</v>
      </c>
      <c r="B63" s="122"/>
      <c r="C63" s="122"/>
      <c r="D63" s="122">
        <f>COUNTIF([0]!SEPTEMBER,"Skema 1")</f>
        <v>21</v>
      </c>
      <c r="E63" s="389"/>
      <c r="F63" s="122" t="s">
        <v>186</v>
      </c>
      <c r="G63" s="122">
        <f>COUNTIFS($B$9:$B$38,"ma",[0]!SEPTEMBER,"Skema 1")</f>
        <v>5</v>
      </c>
      <c r="H63" s="122"/>
      <c r="I63" s="503"/>
      <c r="J63" s="650"/>
      <c r="K63" s="650"/>
      <c r="L63" s="503"/>
      <c r="M63" s="651"/>
      <c r="N63" s="650"/>
      <c r="O63" s="651"/>
      <c r="P63" s="669" t="s">
        <v>588</v>
      </c>
      <c r="Q63" s="671" t="s">
        <v>599</v>
      </c>
      <c r="R63" s="227"/>
      <c r="S63" s="227"/>
      <c r="T63" s="227"/>
      <c r="U63" s="227"/>
      <c r="V63" s="227"/>
      <c r="W63" s="117"/>
      <c r="X63" s="117"/>
      <c r="Y63" s="235"/>
      <c r="Z63"/>
      <c r="AC63" s="89"/>
      <c r="AD63" s="89"/>
      <c r="BK63" s="1"/>
      <c r="CH63" s="1"/>
      <c r="CS63" s="244"/>
      <c r="CT63" s="244"/>
      <c r="CY63"/>
      <c r="CZ63"/>
    </row>
    <row r="64" spans="1:110" ht="15" hidden="1" customHeight="1">
      <c r="A64" s="1129" t="s">
        <v>207</v>
      </c>
      <c r="B64" s="1129"/>
      <c r="C64" s="1129"/>
      <c r="D64" s="122">
        <f>COUNTIF([0]!SEPTEMBER,"Skema 2")</f>
        <v>0</v>
      </c>
      <c r="E64" s="389"/>
      <c r="F64" s="122" t="s">
        <v>187</v>
      </c>
      <c r="G64" s="122">
        <f>COUNTIFS($B$9:$B$38,"ti",[0]!SEPTEMBER,"Skema 1")</f>
        <v>4</v>
      </c>
      <c r="H64" s="122"/>
      <c r="I64" s="503" t="s">
        <v>589</v>
      </c>
      <c r="J64" s="650"/>
      <c r="K64" s="503"/>
      <c r="L64" s="653"/>
      <c r="M64" s="651"/>
      <c r="N64" s="651"/>
      <c r="O64" s="654"/>
      <c r="P64" s="669">
        <f>IF(Stamoplysninger!$B$22="Ulempetillæg udbetales med 25% af nettotimelønnen.",SUM(DO40:DR40)-SUM(DS40:DV40),0)</f>
        <v>0</v>
      </c>
      <c r="Q64" s="671"/>
      <c r="R64" s="227"/>
      <c r="S64" s="227"/>
      <c r="T64" s="227"/>
      <c r="U64" s="227"/>
      <c r="V64" s="227"/>
      <c r="W64" s="117"/>
      <c r="X64" s="117"/>
      <c r="Y64" s="235"/>
      <c r="Z64"/>
      <c r="AC64" s="89"/>
      <c r="AD64" s="89"/>
      <c r="BK64" s="1"/>
      <c r="CH64" s="1"/>
      <c r="CS64" s="244"/>
      <c r="CT64" s="244"/>
      <c r="CY64"/>
      <c r="CZ64"/>
    </row>
    <row r="65" spans="1:185" s="493" customFormat="1" hidden="1">
      <c r="A65" s="1128" t="s">
        <v>208</v>
      </c>
      <c r="B65" s="1128"/>
      <c r="C65" s="1128"/>
      <c r="D65" s="490">
        <f>COUNTIF([0]!SEPTEMBER,"Skema 3")</f>
        <v>0</v>
      </c>
      <c r="E65" s="491"/>
      <c r="F65" s="490" t="s">
        <v>188</v>
      </c>
      <c r="G65" s="490">
        <f>COUNTIFS($B$9:$B$38,"on",[0]!SEPTEMBER,"Skema 1")</f>
        <v>4</v>
      </c>
      <c r="H65" s="490"/>
      <c r="I65" s="668" t="s">
        <v>590</v>
      </c>
      <c r="J65" s="650"/>
      <c r="K65" s="503"/>
      <c r="L65" s="653"/>
      <c r="M65" s="651"/>
      <c r="N65" s="651"/>
      <c r="O65" s="651"/>
      <c r="P65" s="669"/>
      <c r="Q65" s="671">
        <f>IF(Stamoplysninger!$B$22="Ulempetillæg afspadseres med 25%(Kræver en aftale imellem ledelsen og den ansatte)",EC40+ED40+EE40+EF40-EG40-EH40-EI40-EJ40,0)</f>
        <v>0</v>
      </c>
      <c r="R65" s="227"/>
      <c r="S65" s="227"/>
      <c r="T65" s="227"/>
      <c r="U65" s="227"/>
      <c r="V65" s="227"/>
      <c r="W65" s="117"/>
      <c r="X65" s="117"/>
      <c r="Y65" s="507"/>
      <c r="AC65" s="490"/>
      <c r="AD65" s="490"/>
      <c r="BK65" s="509"/>
      <c r="CH65" s="509"/>
      <c r="CS65" s="510"/>
      <c r="CT65" s="510"/>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row>
    <row r="66" spans="1:185" s="493" customFormat="1" hidden="1">
      <c r="A66" s="1128" t="s">
        <v>209</v>
      </c>
      <c r="B66" s="1128"/>
      <c r="C66" s="1128"/>
      <c r="D66" s="490">
        <f>COUNTIF([0]!SEPTEMBER,"Skema 4")</f>
        <v>0</v>
      </c>
      <c r="E66" s="491"/>
      <c r="F66" s="490" t="s">
        <v>190</v>
      </c>
      <c r="G66" s="490">
        <f>COUNTIFS($B$9:$B$38,"to",[0]!SEPTEMBER,"Skema 1")</f>
        <v>4</v>
      </c>
      <c r="H66" s="490"/>
      <c r="I66" s="668" t="s">
        <v>591</v>
      </c>
      <c r="J66" s="650"/>
      <c r="K66" s="503"/>
      <c r="L66" s="653"/>
      <c r="M66" s="656"/>
      <c r="N66" s="656"/>
      <c r="O66" s="4"/>
      <c r="P66" s="669"/>
      <c r="Q66" s="671"/>
      <c r="R66" s="227"/>
      <c r="S66" s="227"/>
      <c r="T66" s="227"/>
      <c r="U66" s="227"/>
      <c r="V66" s="227"/>
      <c r="W66" s="117"/>
      <c r="X66" s="117"/>
      <c r="Y66" s="507"/>
      <c r="Z66" s="507"/>
      <c r="AA66" s="507"/>
      <c r="AB66" s="507"/>
      <c r="AC66" s="507"/>
      <c r="AD66" s="508"/>
      <c r="AE66" s="508"/>
      <c r="AF66" s="508"/>
      <c r="AG66" s="508"/>
      <c r="AH66" s="508"/>
      <c r="AI66" s="507"/>
      <c r="AK66" s="507"/>
      <c r="AL66" s="507"/>
      <c r="AP66" s="490"/>
      <c r="AQ66" s="490"/>
      <c r="BX66" s="509"/>
      <c r="CU66" s="509"/>
      <c r="DF66" s="510"/>
      <c r="DG66" s="510"/>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row>
    <row r="67" spans="1:185" s="493" customFormat="1" hidden="1">
      <c r="A67" s="490" t="s">
        <v>112</v>
      </c>
      <c r="B67" s="490"/>
      <c r="C67" s="490"/>
      <c r="D67" s="490">
        <f>COUNTIF([0]!SEPTEMBER,"Fagdag")+COUNTIF([0]!SEPTEMBER,"emnedag")</f>
        <v>0</v>
      </c>
      <c r="E67" s="491"/>
      <c r="F67" s="490" t="s">
        <v>189</v>
      </c>
      <c r="G67" s="490">
        <f>COUNTIFS($B$9:$B$38,"fr",[0]!SEPTEMBER,"Skema 1")</f>
        <v>4</v>
      </c>
      <c r="H67" s="490"/>
      <c r="I67" s="653" t="s">
        <v>592</v>
      </c>
      <c r="J67" s="650"/>
      <c r="K67" s="503"/>
      <c r="L67" s="653"/>
      <c r="M67" s="656"/>
      <c r="N67" s="656"/>
      <c r="O67" s="4"/>
      <c r="P67" s="669"/>
      <c r="Q67" s="671">
        <f>IF(Stamoplysninger!$B$26="Weekendtimer og weekendtillæg afspadseres.",EK40+EL40-EM40-EN40,0)</f>
        <v>0</v>
      </c>
      <c r="R67" s="227"/>
      <c r="S67" s="227"/>
      <c r="T67" s="227"/>
      <c r="U67" s="227"/>
      <c r="V67" s="227"/>
      <c r="W67" s="117"/>
      <c r="X67" s="117"/>
      <c r="Y67" s="490"/>
      <c r="Z67" s="507"/>
      <c r="AA67" s="507"/>
      <c r="AB67" s="507"/>
      <c r="AC67" s="507"/>
      <c r="AD67" s="507"/>
      <c r="AE67" s="508"/>
      <c r="AF67" s="508"/>
      <c r="AG67" s="508"/>
      <c r="AH67" s="508"/>
      <c r="AI67" s="508"/>
      <c r="AJ67" s="507"/>
      <c r="AL67" s="507"/>
      <c r="AM67" s="507"/>
      <c r="AQ67" s="490"/>
      <c r="AR67" s="490"/>
      <c r="BY67" s="509"/>
      <c r="CV67" s="509"/>
      <c r="DG67" s="510"/>
      <c r="DH67" s="510"/>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row>
    <row r="68" spans="1:185" s="493" customFormat="1" hidden="1">
      <c r="A68" s="494" t="s">
        <v>111</v>
      </c>
      <c r="B68" s="490"/>
      <c r="C68" s="490"/>
      <c r="D68" s="490">
        <f>COUNTIF([0]!SEPTEMBER,"Lejrskole")+COUNTIF([0]!SEPTEMBER,"Ekskursion")</f>
        <v>0</v>
      </c>
      <c r="E68" s="491"/>
      <c r="F68" s="490"/>
      <c r="G68" s="490"/>
      <c r="H68" s="490"/>
      <c r="I68" s="653" t="s">
        <v>593</v>
      </c>
      <c r="J68" s="653"/>
      <c r="K68" s="653"/>
      <c r="L68" s="653"/>
      <c r="M68" s="657"/>
      <c r="N68" s="657"/>
      <c r="O68" s="4"/>
      <c r="P68" s="670">
        <f>IF(Stamoplysninger!$B$26="Weekendtimer og weekendtillæg udbetales.",EO40+EP40-EQ40-ER40,0)</f>
        <v>0</v>
      </c>
      <c r="Q68" s="671"/>
      <c r="R68" s="227"/>
      <c r="S68" s="227"/>
      <c r="T68" s="227"/>
      <c r="U68" s="227"/>
      <c r="V68" s="227"/>
      <c r="W68" s="117"/>
      <c r="X68" s="117"/>
      <c r="Y68" s="490"/>
      <c r="Z68" s="507"/>
      <c r="AA68" s="507"/>
      <c r="AB68" s="507"/>
      <c r="AC68" s="507"/>
      <c r="AD68" s="507"/>
      <c r="AE68" s="508"/>
      <c r="AF68" s="508"/>
      <c r="AG68" s="508"/>
      <c r="AH68" s="508"/>
      <c r="AI68" s="508"/>
      <c r="AJ68" s="507"/>
      <c r="AL68" s="507"/>
      <c r="AM68" s="507"/>
      <c r="AQ68" s="490"/>
      <c r="AR68" s="490"/>
      <c r="BY68" s="509"/>
      <c r="CV68" s="509"/>
      <c r="DG68" s="510"/>
      <c r="DH68" s="510"/>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row>
    <row r="69" spans="1:185" s="493" customFormat="1" hidden="1">
      <c r="A69" s="490" t="s">
        <v>110</v>
      </c>
      <c r="B69" s="490"/>
      <c r="C69" s="490"/>
      <c r="D69" s="490">
        <f>COUNTIF([0]!SEPTEMBER,"Pæd.dag")</f>
        <v>0</v>
      </c>
      <c r="E69" s="491"/>
      <c r="F69" s="490" t="s">
        <v>191</v>
      </c>
      <c r="G69" s="490">
        <f>COUNTIFS($B$9:$B$38,"ma",[0]!SEPTEMBER,"Skema 2")</f>
        <v>0</v>
      </c>
      <c r="H69" s="490"/>
      <c r="I69" s="653" t="s">
        <v>594</v>
      </c>
      <c r="J69" s="653"/>
      <c r="K69" s="653"/>
      <c r="L69" s="653"/>
      <c r="M69" s="657"/>
      <c r="N69" s="657"/>
      <c r="O69" s="4"/>
      <c r="P69" s="669"/>
      <c r="Q69" s="671"/>
      <c r="R69" s="227"/>
      <c r="S69" s="227"/>
      <c r="T69" s="227"/>
      <c r="U69" s="227"/>
      <c r="V69" s="227"/>
      <c r="W69" s="117"/>
      <c r="X69" s="117"/>
      <c r="Y69" s="490"/>
      <c r="Z69" s="507"/>
      <c r="AA69" s="507"/>
      <c r="AB69" s="507"/>
      <c r="AC69" s="507"/>
      <c r="AD69" s="507"/>
      <c r="AE69" s="508"/>
      <c r="AF69" s="508"/>
      <c r="AG69" s="508"/>
      <c r="AH69" s="508"/>
      <c r="AI69" s="508"/>
      <c r="AJ69" s="507"/>
      <c r="AL69" s="507"/>
      <c r="AM69" s="507"/>
      <c r="AQ69" s="490"/>
      <c r="AR69" s="490"/>
      <c r="BY69" s="509"/>
      <c r="CV69" s="509"/>
      <c r="DG69" s="510"/>
      <c r="DH69" s="510"/>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row>
    <row r="70" spans="1:185" s="493" customFormat="1" ht="16" hidden="1" customHeight="1">
      <c r="A70" s="490" t="s">
        <v>120</v>
      </c>
      <c r="B70" s="490"/>
      <c r="C70" s="490"/>
      <c r="D70" s="490">
        <f>COUNTIF([0]!SEPTEMBER,"Weekend")</f>
        <v>9</v>
      </c>
      <c r="E70" s="491"/>
      <c r="F70" s="490" t="s">
        <v>192</v>
      </c>
      <c r="G70" s="490">
        <f>COUNTIFS($B$9:$B$38,"ti",[0]!SEPTEMBER,"Skema 2")</f>
        <v>0</v>
      </c>
      <c r="H70" s="490"/>
      <c r="I70" s="653" t="s">
        <v>595</v>
      </c>
      <c r="J70" s="653"/>
      <c r="K70" s="653"/>
      <c r="L70" s="653"/>
      <c r="M70" s="658"/>
      <c r="N70" s="658"/>
      <c r="O70" s="4"/>
      <c r="P70" s="669"/>
      <c r="Q70" s="672">
        <f>IF(Stamoplysninger!$B$26="Der er indgået lokalaftale omkring weekendtimer.(Kræver aftale med TR/FSL) Weekendtillæg afspadseres.",ES40+ET40-EU40-EV40,0)</f>
        <v>0</v>
      </c>
      <c r="R70" s="227"/>
      <c r="S70" s="227"/>
      <c r="T70" s="227"/>
      <c r="U70" s="227"/>
      <c r="V70" s="227"/>
      <c r="W70" s="117"/>
      <c r="X70" s="117"/>
      <c r="Y70" s="490"/>
      <c r="AP70" s="509"/>
      <c r="BM70" s="509"/>
      <c r="BX70" s="510"/>
      <c r="BY70" s="51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85" s="493" customFormat="1" ht="16" hidden="1" customHeight="1">
      <c r="A71" s="490" t="s">
        <v>127</v>
      </c>
      <c r="B71" s="490"/>
      <c r="C71" s="490"/>
      <c r="D71" s="490">
        <f>COUNTIF([0]!SEPTEMBER,"SH-dag")</f>
        <v>0</v>
      </c>
      <c r="E71" s="491"/>
      <c r="F71" s="490" t="s">
        <v>193</v>
      </c>
      <c r="G71" s="490">
        <f>COUNTIFS($B$9:$B$38,"on",[0]!SEPTEMBER,"Skema 2")</f>
        <v>0</v>
      </c>
      <c r="H71" s="490"/>
      <c r="I71" s="653" t="s">
        <v>596</v>
      </c>
      <c r="J71" s="653"/>
      <c r="K71" s="653"/>
      <c r="L71" s="653"/>
      <c r="M71" s="658"/>
      <c r="N71" s="658"/>
      <c r="O71" s="4"/>
      <c r="P71" s="669">
        <f>IF(Stamoplysninger!$B$26="Der er indgået lokalaftale omkring weekendtimer(Kræver aftale med TR/FSL). Weekendtillæg udbetales.",EW40+EX40-EY40-EZ40,0)</f>
        <v>0</v>
      </c>
      <c r="Q71" s="671"/>
      <c r="R71" s="227"/>
      <c r="S71" s="227"/>
      <c r="T71" s="227"/>
      <c r="U71" s="227"/>
      <c r="V71" s="227"/>
      <c r="W71" s="117"/>
      <c r="X71" s="117"/>
      <c r="Y71" s="490"/>
      <c r="AP71" s="509"/>
      <c r="BM71" s="509"/>
      <c r="BX71" s="510"/>
      <c r="BY71" s="510"/>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493" customFormat="1" ht="16" hidden="1" customHeight="1">
      <c r="A72" s="490" t="s">
        <v>109</v>
      </c>
      <c r="B72" s="490"/>
      <c r="C72" s="490"/>
      <c r="D72" s="490">
        <f>COUNTIF([0]!SEPTEMBER,"Feriedag")</f>
        <v>0</v>
      </c>
      <c r="E72" s="491"/>
      <c r="F72" s="490" t="s">
        <v>194</v>
      </c>
      <c r="G72" s="490">
        <f>COUNTIFS($B$9:$B$38,"to",[0]!SEPTEMBER,"Skema 2")</f>
        <v>0</v>
      </c>
      <c r="H72" s="490"/>
      <c r="I72" s="653" t="s">
        <v>597</v>
      </c>
      <c r="J72" s="653"/>
      <c r="K72" s="653"/>
      <c r="L72" s="653"/>
      <c r="M72" s="658"/>
      <c r="N72" s="658"/>
      <c r="O72" s="4"/>
      <c r="P72" s="669"/>
      <c r="Q72" s="620">
        <f>IF(Stamoplysninger!$B$26="Der er indgået lokalaftale omkring weekendtillæg(Kræver aftale med TR/FSL). Weekendtimerne afspadseres.",FA40+FB40-FC40-FD40,0)</f>
        <v>0</v>
      </c>
      <c r="R72" s="40"/>
      <c r="S72" s="40"/>
      <c r="T72" s="40"/>
      <c r="U72"/>
      <c r="V72"/>
      <c r="W72"/>
      <c r="X72"/>
      <c r="Y72" s="490"/>
      <c r="AP72" s="509"/>
      <c r="BM72" s="509"/>
      <c r="BX72" s="510"/>
      <c r="BY72" s="510"/>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493" customFormat="1" ht="16" hidden="1" customHeight="1">
      <c r="A73" s="490" t="s">
        <v>178</v>
      </c>
      <c r="B73" s="490"/>
      <c r="C73" s="490"/>
      <c r="D73" s="490">
        <f>COUNTIF([0]!SEPTEMBER,"Nul-dag")</f>
        <v>0</v>
      </c>
      <c r="E73" s="491"/>
      <c r="F73" s="490" t="s">
        <v>195</v>
      </c>
      <c r="G73" s="490">
        <f>COUNTIFS($B$9:$B$38,"fr",[0]!SEPTEMBER,"Skema 2")</f>
        <v>0</v>
      </c>
      <c r="H73" s="490"/>
      <c r="I73" s="653" t="s">
        <v>598</v>
      </c>
      <c r="J73" s="653"/>
      <c r="K73" s="653"/>
      <c r="L73" s="653"/>
      <c r="M73" s="658"/>
      <c r="N73" s="658"/>
      <c r="O73" s="4"/>
      <c r="P73" s="669">
        <f>IF(Stamoplysninger!$B$26="Der er indgået lokalaftale omkring weekendtillæg(Kræver aftale med TR/FSL). Weekendtimerne udbetales.",FE40+FF40-FG40-FH40,0)</f>
        <v>0</v>
      </c>
      <c r="Q73" s="620"/>
      <c r="R73"/>
      <c r="S73"/>
      <c r="T73"/>
      <c r="U73"/>
      <c r="V73" t="s">
        <v>605</v>
      </c>
      <c r="W73"/>
      <c r="X73"/>
      <c r="Y73" s="490"/>
      <c r="AP73" s="509"/>
      <c r="BM73" s="509"/>
      <c r="BX73" s="510"/>
      <c r="BY73" s="510"/>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493" customFormat="1" ht="16" hidden="1" customHeight="1">
      <c r="A74" s="495" t="s">
        <v>415</v>
      </c>
      <c r="B74" s="490"/>
      <c r="C74" s="490"/>
      <c r="D74" s="490">
        <f>COUNTIF([0]!SEPTEMBER,"Orlov")</f>
        <v>0</v>
      </c>
      <c r="E74" s="491"/>
      <c r="F74" s="496"/>
      <c r="G74" s="496"/>
      <c r="H74" s="496"/>
      <c r="I74" s="653" t="s">
        <v>604</v>
      </c>
      <c r="J74" s="653"/>
      <c r="K74" s="653"/>
      <c r="L74" s="653"/>
      <c r="M74" s="659"/>
      <c r="N74" s="659"/>
      <c r="O74" s="4"/>
      <c r="P74" s="652"/>
      <c r="Q74"/>
      <c r="R74">
        <f>IF(C9="ikke relevant",V9*-1+X9*-1,0)</f>
        <v>0</v>
      </c>
      <c r="S74" t="s">
        <v>610</v>
      </c>
      <c r="T74"/>
      <c r="U74"/>
      <c r="V74">
        <f>IF(C9="ikke relevant",R9*-1,0)</f>
        <v>0</v>
      </c>
      <c r="W74"/>
      <c r="X74"/>
      <c r="Y74" s="490"/>
      <c r="AP74" s="509"/>
      <c r="BM74" s="509"/>
      <c r="BX74" s="510"/>
      <c r="BY74" s="510"/>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493" customFormat="1" ht="16" hidden="1" customHeight="1">
      <c r="A75" s="490" t="s">
        <v>160</v>
      </c>
      <c r="B75" s="490"/>
      <c r="C75" s="490"/>
      <c r="D75" s="490">
        <f>COUNTIF([0]!SEPTEMBER,"Ikke relevant")</f>
        <v>0</v>
      </c>
      <c r="E75" s="491"/>
      <c r="F75" s="490" t="s">
        <v>196</v>
      </c>
      <c r="G75" s="490">
        <f>COUNTIFS($B$9:$B$38,"ma",[0]!SEPTEMBER,"Skema 3")</f>
        <v>0</v>
      </c>
      <c r="H75" s="490"/>
      <c r="I75" s="653"/>
      <c r="J75" s="653"/>
      <c r="K75" s="653"/>
      <c r="L75" s="503"/>
      <c r="M75" s="659"/>
      <c r="N75" s="659"/>
      <c r="O75" s="4"/>
      <c r="P75" s="652"/>
      <c r="Q75"/>
      <c r="R75">
        <f>IF(C10="ikke relevant",V10*-1+X10*-1,0)</f>
        <v>0</v>
      </c>
      <c r="S75"/>
      <c r="T75"/>
      <c r="U75"/>
      <c r="V75">
        <f>IF(C10="ikke relevant",R10*-1,0)</f>
        <v>0</v>
      </c>
      <c r="W75"/>
      <c r="X75"/>
      <c r="Y75" s="490"/>
      <c r="AP75" s="509"/>
      <c r="BM75" s="509"/>
      <c r="BX75" s="510"/>
      <c r="BY75" s="510"/>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493" customFormat="1" hidden="1">
      <c r="A76" s="490" t="s">
        <v>108</v>
      </c>
      <c r="B76" s="490"/>
      <c r="C76" s="490"/>
      <c r="D76" s="490">
        <f>SUM(D63:D75)</f>
        <v>30</v>
      </c>
      <c r="E76" s="490"/>
      <c r="F76" s="490" t="s">
        <v>197</v>
      </c>
      <c r="G76" s="490">
        <f>COUNTIFS($B$9:$B$38,"ti",[0]!SEPTEMBER,"Skema 3")</f>
        <v>0</v>
      </c>
      <c r="H76" s="490"/>
      <c r="I76" s="653"/>
      <c r="J76" s="653"/>
      <c r="K76" s="653"/>
      <c r="L76" s="503"/>
      <c r="M76" s="659"/>
      <c r="N76" s="659"/>
      <c r="O76" s="4"/>
      <c r="P76" s="652"/>
      <c r="Q76"/>
      <c r="R76">
        <f t="shared" ref="R76:R104" si="40">IF(C11="ikke relevant",V11*-1+X11*-1,0)</f>
        <v>0</v>
      </c>
      <c r="S76"/>
      <c r="T76"/>
      <c r="U76"/>
      <c r="V76">
        <f t="shared" ref="V76:V104" si="41">IF(C11="ikke relevant",R11*-1,0)</f>
        <v>0</v>
      </c>
      <c r="W76"/>
      <c r="X76"/>
      <c r="AO76" s="509"/>
      <c r="BL76" s="509"/>
      <c r="BW76" s="510"/>
      <c r="BX76" s="510"/>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493" customFormat="1" hidden="1">
      <c r="A77" s="490" t="s">
        <v>239</v>
      </c>
      <c r="B77" s="490"/>
      <c r="C77" s="490"/>
      <c r="D77" s="490">
        <f>D76-D70-A86-D75</f>
        <v>21</v>
      </c>
      <c r="E77" s="497"/>
      <c r="F77" s="490" t="s">
        <v>198</v>
      </c>
      <c r="G77" s="490">
        <f>COUNTIFS($B$9:$B$38,"on",[0]!SEPTEMBER,"Skema 3")</f>
        <v>0</v>
      </c>
      <c r="H77" s="490"/>
      <c r="I77" s="653"/>
      <c r="J77" s="653"/>
      <c r="K77" s="653"/>
      <c r="L77" s="503"/>
      <c r="M77" s="659"/>
      <c r="N77" s="659"/>
      <c r="O77" s="4"/>
      <c r="P77" s="652"/>
      <c r="Q77"/>
      <c r="R77">
        <f t="shared" si="40"/>
        <v>0</v>
      </c>
      <c r="S77"/>
      <c r="T77"/>
      <c r="U77"/>
      <c r="V77">
        <f t="shared" si="41"/>
        <v>0</v>
      </c>
      <c r="W77"/>
      <c r="X77"/>
      <c r="AO77" s="509"/>
      <c r="BL77" s="509"/>
      <c r="BW77" s="510"/>
      <c r="BX77" s="510"/>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493" customFormat="1" hidden="1">
      <c r="A78" s="490"/>
      <c r="B78" s="490"/>
      <c r="C78" s="490"/>
      <c r="D78" s="490"/>
      <c r="E78" s="490"/>
      <c r="F78" s="490" t="s">
        <v>199</v>
      </c>
      <c r="G78" s="490">
        <f>COUNTIFS($B$9:$B$38,"to",[0]!SEPTEMBER,"Skema 3")</f>
        <v>0</v>
      </c>
      <c r="H78" s="490"/>
      <c r="I78" s="655"/>
      <c r="J78" s="653"/>
      <c r="K78" s="653"/>
      <c r="L78" s="503"/>
      <c r="M78" s="651"/>
      <c r="N78" s="651"/>
      <c r="O78" s="4"/>
      <c r="P78" s="652"/>
      <c r="Q78"/>
      <c r="R78">
        <f t="shared" si="40"/>
        <v>0</v>
      </c>
      <c r="S78"/>
      <c r="T78"/>
      <c r="U78"/>
      <c r="V78">
        <f t="shared" si="41"/>
        <v>0</v>
      </c>
      <c r="W78"/>
      <c r="X78"/>
      <c r="AO78" s="509"/>
      <c r="BL78" s="509"/>
      <c r="BW78" s="510"/>
      <c r="BX78" s="510"/>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493" customFormat="1" hidden="1">
      <c r="A79" s="490"/>
      <c r="B79" s="490"/>
      <c r="C79" s="490"/>
      <c r="D79" s="490"/>
      <c r="E79" s="490"/>
      <c r="F79" s="490" t="s">
        <v>200</v>
      </c>
      <c r="G79" s="490">
        <f>COUNTIFS($B$9:$B$38,"fr",[0]!SEPTEMBER,"Skema 3")</f>
        <v>0</v>
      </c>
      <c r="H79" s="490"/>
      <c r="I79" s="498"/>
      <c r="J79" s="503"/>
      <c r="K79" s="503"/>
      <c r="L79" s="503"/>
      <c r="M79" s="4"/>
      <c r="N79" s="4"/>
      <c r="O79" s="4"/>
      <c r="P79" s="4"/>
      <c r="Q79"/>
      <c r="R79">
        <f t="shared" si="40"/>
        <v>0</v>
      </c>
      <c r="S79"/>
      <c r="T79"/>
      <c r="U79"/>
      <c r="V79">
        <f t="shared" si="41"/>
        <v>0</v>
      </c>
      <c r="W79"/>
      <c r="X79"/>
      <c r="AO79" s="509"/>
      <c r="BL79" s="509"/>
      <c r="BW79" s="510"/>
      <c r="BX79" s="510"/>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493" customFormat="1" hidden="1">
      <c r="A80" s="490" t="s">
        <v>292</v>
      </c>
      <c r="B80" s="490"/>
      <c r="C80" s="490"/>
      <c r="D80" s="490"/>
      <c r="E80" s="490"/>
      <c r="F80" s="490"/>
      <c r="G80" s="490"/>
      <c r="H80" s="490"/>
      <c r="I80" s="498"/>
      <c r="J80" s="503"/>
      <c r="K80" s="503"/>
      <c r="L80" s="503"/>
      <c r="M80" s="4"/>
      <c r="N80" s="4"/>
      <c r="O80" s="4"/>
      <c r="P80" s="4"/>
      <c r="Q80"/>
      <c r="R80">
        <f t="shared" si="40"/>
        <v>0</v>
      </c>
      <c r="S80"/>
      <c r="T80"/>
      <c r="U80"/>
      <c r="V80">
        <f t="shared" si="41"/>
        <v>0</v>
      </c>
      <c r="W80"/>
      <c r="X80"/>
      <c r="AO80" s="509"/>
      <c r="BL80" s="509"/>
      <c r="BW80" s="510"/>
      <c r="BX80" s="51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493" customFormat="1" hidden="1">
      <c r="A81" s="490">
        <f>COUNTIF($C$9,"Skema 1")+COUNTIF($C$9,"Skema 2")+COUNTIF($C$9,"Skema 3")+COUNTIF($C$9,"Skema 4")+COUNTIF($C$9,"Fagdag")+COUNTIF($C$9,"Emnedag")+COUNTIF($C$9,"Lejrskole")+COUNTIF($C$9,"Ekskursion")+COUNTIF($C$9,"Pæd.dag")</f>
        <v>0</v>
      </c>
      <c r="B81" s="490"/>
      <c r="C81" s="490"/>
      <c r="D81" s="490"/>
      <c r="E81" s="490"/>
      <c r="F81" s="490" t="s">
        <v>201</v>
      </c>
      <c r="G81" s="490">
        <f>COUNTIFS($B$9:$B$38,"ma",[0]!SEPTEMBER,"Skema 4")</f>
        <v>0</v>
      </c>
      <c r="H81" s="490"/>
      <c r="I81" s="498"/>
      <c r="J81" s="503"/>
      <c r="K81" s="503"/>
      <c r="L81" s="503"/>
      <c r="M81" s="4"/>
      <c r="N81" s="4"/>
      <c r="O81" s="4"/>
      <c r="P81" s="4"/>
      <c r="Q81"/>
      <c r="R81">
        <f t="shared" si="40"/>
        <v>0</v>
      </c>
      <c r="S81"/>
      <c r="T81"/>
      <c r="U81"/>
      <c r="V81">
        <f t="shared" si="41"/>
        <v>0</v>
      </c>
      <c r="W81"/>
      <c r="X81"/>
      <c r="AO81" s="509"/>
      <c r="BL81" s="509"/>
      <c r="BW81" s="510"/>
      <c r="BX81" s="510"/>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493" customFormat="1" hidden="1">
      <c r="A82" s="490">
        <f>COUNTIF($C$15:$C$16,"Skema 1")+COUNTIF($C$15:$C$16,"Skema 2")+COUNTIF($C$15:$C$16,"Skema 3")+COUNTIF($C$15:$C$16,"Skema 4")+COUNTIF($C$15:$C$16,"Fagdag")+COUNTIF($C$15:$C$16,"Emnedag")+COUNTIF($C$15:$C$16,"Lejrskole")+COUNTIF($C$15:$C$16,"Ekskursion")+COUNTIF($C$15:$C$16,"Pæd.dag")</f>
        <v>0</v>
      </c>
      <c r="B82" s="490"/>
      <c r="C82" s="490"/>
      <c r="D82" s="490"/>
      <c r="E82" s="490"/>
      <c r="F82" s="490" t="s">
        <v>202</v>
      </c>
      <c r="G82" s="490">
        <f>COUNTIFS($B$9:$B$38,"ti",[0]!SEPTEMBER,"Skema 4")</f>
        <v>0</v>
      </c>
      <c r="H82" s="490"/>
      <c r="I82" s="498"/>
      <c r="J82" s="503"/>
      <c r="K82" s="503"/>
      <c r="L82" s="503"/>
      <c r="M82" s="4"/>
      <c r="N82" s="4"/>
      <c r="O82" s="4"/>
      <c r="P82" s="4"/>
      <c r="Q82"/>
      <c r="R82">
        <f t="shared" si="40"/>
        <v>0</v>
      </c>
      <c r="S82"/>
      <c r="T82"/>
      <c r="U82"/>
      <c r="V82">
        <f t="shared" si="41"/>
        <v>0</v>
      </c>
      <c r="W82"/>
      <c r="X82"/>
      <c r="AO82" s="509"/>
      <c r="BL82" s="509"/>
      <c r="BW82" s="510"/>
      <c r="BX82" s="510"/>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493" customFormat="1" hidden="1">
      <c r="A83" s="490">
        <f>COUNTIF($C$22:$C$23,"Skema 1")+COUNTIF($C$22:$C$23,"Skema 2")+COUNTIF($C$22:$C$23,"Skema 3")+COUNTIF($C$22:$C$23,"Skema 4")+COUNTIF($C$22:$C$23,"Fagdag")+COUNTIF($C$22:$C$23,"Emnedag")+COUNTIF($C$22:$C$23,"Lejrskole")+COUNTIF($C$22:$C$23,"Ekskursion")+COUNTIF($C$22:$C$23,"Pæd.dag")</f>
        <v>0</v>
      </c>
      <c r="B83" s="490"/>
      <c r="C83" s="490"/>
      <c r="D83" s="490"/>
      <c r="E83" s="490"/>
      <c r="F83" s="490" t="s">
        <v>203</v>
      </c>
      <c r="G83" s="490">
        <f>COUNTIFS($B$9:$B$38,"on",[0]!SEPTEMBER,"Skema 4")</f>
        <v>0</v>
      </c>
      <c r="H83" s="490"/>
      <c r="I83" s="498"/>
      <c r="J83" s="503"/>
      <c r="K83" s="503"/>
      <c r="L83" s="503"/>
      <c r="M83" s="4"/>
      <c r="N83" s="4"/>
      <c r="O83" s="4"/>
      <c r="P83" s="4"/>
      <c r="Q83"/>
      <c r="R83">
        <f t="shared" si="40"/>
        <v>0</v>
      </c>
      <c r="S83"/>
      <c r="T83"/>
      <c r="U83"/>
      <c r="V83">
        <f t="shared" si="41"/>
        <v>0</v>
      </c>
      <c r="W83"/>
      <c r="X83"/>
      <c r="AO83" s="509"/>
      <c r="BL83" s="509"/>
      <c r="BW83" s="510"/>
      <c r="BX83" s="510"/>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hidden="1">
      <c r="A84" s="490">
        <f>COUNTIF($C$29:$C$30,"Skema 1")+COUNTIF($C$29:$C$30,"Skema 2")+COUNTIF($C$29:$C$30,"Skema 3")+COUNTIF($C$29:$C$30,"Skema 4")+COUNTIF($C$29:$C$30,"Fagdag")+COUNTIF($C$29:$C$30,"Emnedag")+COUNTIF($C$29:$C$30,"Lejrskole")+COUNTIF($C$29:$C$30,"Ekskursion")+COUNTIF($C$29:$C$30,"Pæd.dag")</f>
        <v>0</v>
      </c>
      <c r="B84" s="490"/>
      <c r="C84" s="490"/>
      <c r="D84" s="490"/>
      <c r="E84" s="490"/>
      <c r="F84" s="490" t="s">
        <v>204</v>
      </c>
      <c r="G84" s="490">
        <f>COUNTIFS($B$9:$B$38,"to",[0]!SEPTEMBER,"Skema 4")</f>
        <v>0</v>
      </c>
      <c r="H84" s="490"/>
      <c r="I84" s="498"/>
      <c r="J84" s="503"/>
      <c r="K84" s="503"/>
      <c r="L84" s="503"/>
      <c r="M84" s="4"/>
      <c r="N84" s="4"/>
      <c r="O84" s="4"/>
      <c r="P84" s="4"/>
      <c r="R84">
        <f t="shared" si="40"/>
        <v>0</v>
      </c>
      <c r="V84">
        <f t="shared" si="41"/>
        <v>0</v>
      </c>
      <c r="Y84"/>
      <c r="Z84"/>
      <c r="AO84" s="1">
        <f>SUM(N84:AN84)</f>
        <v>0</v>
      </c>
      <c r="BL84" s="1">
        <f>SUM(AI84:BK84)</f>
        <v>0</v>
      </c>
      <c r="BW84" s="244"/>
      <c r="BX84" s="244"/>
      <c r="CY84"/>
      <c r="CZ84"/>
    </row>
    <row r="85" spans="1:185" hidden="1">
      <c r="A85" s="490">
        <f>COUNTIF($C$36:$C$37,"Skema 1")+COUNTIF($C$36:$C$37,"Skema 2")+COUNTIF($C$36:$C$37,"Skema 3")+COUNTIF($C$36:$C$37,"Skema 4")+COUNTIF($C$36:$C$37,"Fagdag")+COUNTIF($C$36:$C$37,"Emnedag")+COUNTIF($C$36:$C$37,"Lejrskole")+COUNTIF($C$36:$C$37,"Ekskursion")+COUNTIF($C$36:$C$37,"Pæd.dag")</f>
        <v>0</v>
      </c>
      <c r="B85" s="490"/>
      <c r="C85" s="490"/>
      <c r="D85" s="490"/>
      <c r="E85" s="490"/>
      <c r="F85" s="490" t="s">
        <v>205</v>
      </c>
      <c r="G85" s="490">
        <f>COUNTIFS($B$9:$B$38,"fr",[0]!SEPTEMBER,"Skema 4")</f>
        <v>0</v>
      </c>
      <c r="H85" s="490"/>
      <c r="I85" s="490"/>
      <c r="J85" s="493"/>
      <c r="K85" s="493"/>
      <c r="L85" s="40"/>
      <c r="R85">
        <f t="shared" si="40"/>
        <v>0</v>
      </c>
      <c r="V85">
        <f t="shared" si="41"/>
        <v>0</v>
      </c>
      <c r="Y85"/>
      <c r="Z85"/>
      <c r="AO85" s="1">
        <f>SUM(N85:AN85)</f>
        <v>0</v>
      </c>
      <c r="BL85" s="1">
        <f>SUM(AI85:BK85)</f>
        <v>0</v>
      </c>
      <c r="BW85" s="244"/>
      <c r="BX85" s="244"/>
      <c r="CY85"/>
      <c r="CZ85"/>
    </row>
    <row r="86" spans="1:185" hidden="1">
      <c r="A86" s="490">
        <f>SUM(A81:A85)</f>
        <v>0</v>
      </c>
      <c r="B86" s="490"/>
      <c r="C86" s="490"/>
      <c r="D86" s="490"/>
      <c r="E86" s="490"/>
      <c r="F86" s="490"/>
      <c r="G86" s="490">
        <f>SUM(G63:G85)</f>
        <v>21</v>
      </c>
      <c r="H86" s="493"/>
      <c r="I86" s="490"/>
      <c r="J86" s="493"/>
      <c r="K86" s="493"/>
      <c r="L86" s="40"/>
      <c r="R86">
        <f t="shared" si="40"/>
        <v>0</v>
      </c>
      <c r="V86">
        <f t="shared" si="41"/>
        <v>0</v>
      </c>
      <c r="Y86"/>
      <c r="Z86"/>
      <c r="AO86" s="1">
        <f>SUM(N86:AN86)</f>
        <v>0</v>
      </c>
      <c r="BL86" s="1">
        <f>SUM(AI86:BK86)</f>
        <v>0</v>
      </c>
      <c r="BW86" s="244"/>
      <c r="BX86" s="244"/>
      <c r="CY86"/>
      <c r="CZ86"/>
    </row>
    <row r="87" spans="1:185" hidden="1">
      <c r="A87" s="40"/>
      <c r="B87" s="40"/>
      <c r="C87" s="40"/>
      <c r="D87" s="40"/>
      <c r="E87" s="122"/>
      <c r="F87" s="122"/>
      <c r="G87" s="122"/>
      <c r="H87" s="40"/>
      <c r="I87" s="493"/>
      <c r="J87" s="493"/>
      <c r="K87" s="493"/>
      <c r="L87" s="40"/>
      <c r="R87">
        <f t="shared" si="40"/>
        <v>0</v>
      </c>
      <c r="V87">
        <f t="shared" si="41"/>
        <v>0</v>
      </c>
      <c r="Y87"/>
      <c r="Z87"/>
      <c r="AO87" s="1">
        <f>SUM(N87:AN87)</f>
        <v>0</v>
      </c>
      <c r="BL87" s="1">
        <f>SUM(AI87:BK87)</f>
        <v>0</v>
      </c>
      <c r="BW87" s="244"/>
      <c r="BX87" s="244"/>
      <c r="CY87"/>
      <c r="CZ87"/>
    </row>
    <row r="88" spans="1:185" hidden="1">
      <c r="A88" s="40"/>
      <c r="B88" s="40"/>
      <c r="C88" s="40"/>
      <c r="D88" s="40"/>
      <c r="E88" s="122"/>
      <c r="F88" s="122"/>
      <c r="G88" s="122"/>
      <c r="H88" s="40"/>
      <c r="I88" s="40"/>
      <c r="J88" s="493"/>
      <c r="K88" s="493"/>
      <c r="L88" s="40"/>
      <c r="R88">
        <f t="shared" si="40"/>
        <v>0</v>
      </c>
      <c r="V88">
        <f t="shared" si="41"/>
        <v>0</v>
      </c>
      <c r="Y88"/>
      <c r="Z88"/>
      <c r="BW88" s="244"/>
      <c r="BX88" s="244"/>
      <c r="CY88"/>
      <c r="CZ88"/>
    </row>
    <row r="89" spans="1:185" hidden="1">
      <c r="A89" s="40"/>
      <c r="B89" s="40"/>
      <c r="C89" s="40"/>
      <c r="D89" s="40"/>
      <c r="E89" s="122"/>
      <c r="F89" s="122"/>
      <c r="G89" s="122"/>
      <c r="H89" s="40"/>
      <c r="I89" s="40"/>
      <c r="J89" s="40"/>
      <c r="K89" s="40"/>
      <c r="L89" s="40"/>
      <c r="R89">
        <f t="shared" si="40"/>
        <v>0</v>
      </c>
      <c r="V89">
        <f t="shared" si="41"/>
        <v>0</v>
      </c>
      <c r="Y89"/>
      <c r="Z89"/>
      <c r="BW89" s="244"/>
      <c r="BX89" s="244"/>
      <c r="CY89"/>
      <c r="CZ89"/>
    </row>
    <row r="90" spans="1:185" hidden="1">
      <c r="A90" s="40"/>
      <c r="B90" s="40"/>
      <c r="C90" s="40"/>
      <c r="D90" s="40"/>
      <c r="E90" s="122"/>
      <c r="F90" s="122"/>
      <c r="G90" s="122"/>
      <c r="H90" s="40"/>
      <c r="I90" s="40"/>
      <c r="J90" s="40"/>
      <c r="K90" s="40"/>
      <c r="L90" s="40"/>
      <c r="R90">
        <f t="shared" si="40"/>
        <v>0</v>
      </c>
      <c r="V90">
        <f t="shared" si="41"/>
        <v>0</v>
      </c>
      <c r="Y90"/>
      <c r="Z90"/>
      <c r="BW90" s="244"/>
      <c r="BX90" s="244"/>
      <c r="CY90"/>
      <c r="CZ90"/>
    </row>
    <row r="91" spans="1:185" hidden="1">
      <c r="A91" s="439"/>
      <c r="B91" s="439"/>
      <c r="C91" s="439"/>
      <c r="D91" s="439"/>
      <c r="E91" s="89"/>
      <c r="F91" s="89"/>
      <c r="G91" s="89"/>
      <c r="I91" s="40"/>
      <c r="J91" s="40"/>
      <c r="K91" s="40"/>
      <c r="L91" s="40"/>
      <c r="R91">
        <f t="shared" si="40"/>
        <v>0</v>
      </c>
      <c r="V91">
        <f t="shared" si="41"/>
        <v>0</v>
      </c>
      <c r="Y91"/>
      <c r="Z91"/>
      <c r="BW91" s="244"/>
      <c r="BX91" s="244"/>
      <c r="CY91"/>
      <c r="CZ91"/>
    </row>
    <row r="92" spans="1:185" hidden="1">
      <c r="E92" s="89"/>
      <c r="F92" s="89"/>
      <c r="G92" s="89"/>
      <c r="I92" s="40"/>
      <c r="J92" s="40"/>
      <c r="K92" s="40"/>
      <c r="L92" s="40"/>
      <c r="R92">
        <f t="shared" si="40"/>
        <v>0</v>
      </c>
      <c r="V92">
        <f t="shared" si="41"/>
        <v>0</v>
      </c>
      <c r="Y92"/>
      <c r="Z92"/>
      <c r="BW92" s="244"/>
      <c r="BX92" s="244"/>
      <c r="CY92"/>
      <c r="CZ92"/>
    </row>
    <row r="93" spans="1:185" hidden="1">
      <c r="E93" s="89"/>
      <c r="F93" s="89"/>
      <c r="G93" s="89"/>
      <c r="I93" s="40"/>
      <c r="J93" s="40"/>
      <c r="K93" s="40"/>
      <c r="L93" s="40"/>
      <c r="R93">
        <f t="shared" si="40"/>
        <v>0</v>
      </c>
      <c r="V93">
        <f t="shared" si="41"/>
        <v>0</v>
      </c>
      <c r="Y93"/>
      <c r="Z93"/>
      <c r="AD93" s="4"/>
      <c r="AE93" s="228"/>
      <c r="AF93" s="228"/>
      <c r="AG93" s="228"/>
      <c r="AH93" s="228"/>
      <c r="CY93"/>
      <c r="CZ93"/>
      <c r="DF93" s="244"/>
      <c r="DG93" s="244"/>
    </row>
    <row r="94" spans="1:185" hidden="1">
      <c r="E94" s="89"/>
      <c r="F94" s="89"/>
      <c r="G94" s="89"/>
      <c r="I94" s="40"/>
      <c r="J94" s="40"/>
      <c r="K94" s="40"/>
      <c r="L94" s="40"/>
      <c r="R94">
        <f t="shared" si="40"/>
        <v>0</v>
      </c>
      <c r="V94">
        <f t="shared" si="41"/>
        <v>0</v>
      </c>
      <c r="Y94"/>
      <c r="Z94"/>
      <c r="AD94" s="4"/>
      <c r="AE94" s="228"/>
      <c r="AF94" s="228"/>
      <c r="AG94" s="228"/>
      <c r="AH94" s="228"/>
      <c r="CY94"/>
      <c r="CZ94"/>
      <c r="DF94" s="244"/>
      <c r="DG94" s="244"/>
    </row>
    <row r="95" spans="1:185" hidden="1">
      <c r="E95" s="89"/>
      <c r="F95" s="89"/>
      <c r="G95" s="89"/>
      <c r="I95" s="40"/>
      <c r="J95" s="40"/>
      <c r="K95" s="40"/>
      <c r="L95" s="40"/>
      <c r="R95">
        <f t="shared" si="40"/>
        <v>0</v>
      </c>
      <c r="V95">
        <f t="shared" si="41"/>
        <v>0</v>
      </c>
    </row>
    <row r="96" spans="1:185" hidden="1">
      <c r="E96" s="89"/>
      <c r="F96" s="89"/>
      <c r="G96" s="89"/>
      <c r="I96" s="40"/>
      <c r="J96" s="40"/>
      <c r="K96" s="40"/>
      <c r="L96" s="40"/>
      <c r="R96">
        <f t="shared" si="40"/>
        <v>0</v>
      </c>
      <c r="V96">
        <f t="shared" si="41"/>
        <v>0</v>
      </c>
    </row>
    <row r="97" spans="9:22" hidden="1">
      <c r="I97" s="40"/>
      <c r="J97" s="40"/>
      <c r="K97" s="40"/>
      <c r="L97" s="40"/>
      <c r="R97">
        <f t="shared" si="40"/>
        <v>0</v>
      </c>
      <c r="V97">
        <f t="shared" si="41"/>
        <v>0</v>
      </c>
    </row>
    <row r="98" spans="9:22" hidden="1">
      <c r="I98" s="40"/>
      <c r="J98" s="40"/>
      <c r="K98" s="40"/>
      <c r="L98" s="40"/>
      <c r="R98">
        <f t="shared" si="40"/>
        <v>0</v>
      </c>
      <c r="V98">
        <f t="shared" si="41"/>
        <v>0</v>
      </c>
    </row>
    <row r="99" spans="9:22" hidden="1">
      <c r="I99" s="40"/>
      <c r="J99" s="40"/>
      <c r="K99" s="40"/>
      <c r="L99" s="439"/>
      <c r="R99">
        <f t="shared" si="40"/>
        <v>0</v>
      </c>
      <c r="V99">
        <f t="shared" si="41"/>
        <v>0</v>
      </c>
    </row>
    <row r="100" spans="9:22" hidden="1">
      <c r="I100" s="40"/>
      <c r="J100" s="40"/>
      <c r="K100" s="40"/>
      <c r="L100" s="439"/>
      <c r="R100">
        <f t="shared" si="40"/>
        <v>0</v>
      </c>
      <c r="V100">
        <f t="shared" si="41"/>
        <v>0</v>
      </c>
    </row>
    <row r="101" spans="9:22" hidden="1">
      <c r="I101" s="40"/>
      <c r="J101" s="40"/>
      <c r="K101" s="40"/>
      <c r="L101" s="439"/>
      <c r="R101">
        <f t="shared" si="40"/>
        <v>0</v>
      </c>
      <c r="V101">
        <f t="shared" si="41"/>
        <v>0</v>
      </c>
    </row>
    <row r="102" spans="9:22" hidden="1">
      <c r="I102" s="439"/>
      <c r="J102" s="40"/>
      <c r="K102" s="40"/>
      <c r="L102" s="439"/>
      <c r="R102">
        <f t="shared" si="40"/>
        <v>0</v>
      </c>
      <c r="V102">
        <f t="shared" si="41"/>
        <v>0</v>
      </c>
    </row>
    <row r="103" spans="9:22" hidden="1">
      <c r="I103" s="439"/>
      <c r="J103" s="439"/>
      <c r="K103" s="439"/>
      <c r="L103" s="439"/>
      <c r="R103">
        <f t="shared" si="40"/>
        <v>0</v>
      </c>
      <c r="V103">
        <f t="shared" si="41"/>
        <v>0</v>
      </c>
    </row>
    <row r="104" spans="9:22" ht="17" hidden="1" thickBot="1">
      <c r="I104" s="439"/>
      <c r="J104" s="439"/>
      <c r="K104" s="439"/>
      <c r="L104" s="439"/>
      <c r="R104">
        <f t="shared" si="40"/>
        <v>0</v>
      </c>
      <c r="V104">
        <f t="shared" si="41"/>
        <v>0</v>
      </c>
    </row>
    <row r="105" spans="9:22" ht="17" hidden="1" thickBot="1">
      <c r="I105" s="439"/>
      <c r="J105" s="439"/>
      <c r="K105" s="439"/>
      <c r="L105" s="439"/>
      <c r="R105" s="684">
        <f>SUM(R74:R104)+FB40</f>
        <v>0</v>
      </c>
      <c r="V105" s="684">
        <f>SUM(V74:V104)</f>
        <v>0</v>
      </c>
    </row>
    <row r="106" spans="9:22" hidden="1">
      <c r="I106" s="439"/>
      <c r="J106" s="439"/>
      <c r="K106" s="439"/>
      <c r="L106" s="439"/>
    </row>
    <row r="107" spans="9:22" hidden="1"/>
    <row r="108" spans="9:22" hidden="1"/>
    <row r="109" spans="9:22" hidden="1"/>
    <row r="110" spans="9:22" hidden="1"/>
  </sheetData>
  <sheetProtection sheet="1" objects="1" scenarios="1"/>
  <mergeCells count="173">
    <mergeCell ref="FQ8:FR8"/>
    <mergeCell ref="DS8:DV8"/>
    <mergeCell ref="DZ8:EB8"/>
    <mergeCell ref="EG8:EI8"/>
    <mergeCell ref="EM8:EN8"/>
    <mergeCell ref="EQ8:ER8"/>
    <mergeCell ref="EU8:EV8"/>
    <mergeCell ref="FC8:FD8"/>
    <mergeCell ref="FG8:FH8"/>
    <mergeCell ref="FK8:FL8"/>
    <mergeCell ref="EY8:EZ8"/>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GB6:GC6"/>
    <mergeCell ref="EW6:EZ6"/>
    <mergeCell ref="A61:G61"/>
    <mergeCell ref="I61:K61"/>
    <mergeCell ref="I57:K57"/>
    <mergeCell ref="I58:K58"/>
    <mergeCell ref="I59:K59"/>
    <mergeCell ref="I60:K60"/>
    <mergeCell ref="A66:C66"/>
    <mergeCell ref="E32:G32"/>
    <mergeCell ref="A64:C64"/>
    <mergeCell ref="A65:C65"/>
    <mergeCell ref="I50:K50"/>
    <mergeCell ref="A55:K55"/>
    <mergeCell ref="A56:B56"/>
    <mergeCell ref="C56:D56"/>
    <mergeCell ref="E56:G56"/>
    <mergeCell ref="H56:K56"/>
    <mergeCell ref="A57:B57"/>
    <mergeCell ref="C57:D57"/>
    <mergeCell ref="E57:G57"/>
    <mergeCell ref="A43:G43"/>
    <mergeCell ref="I43:K43"/>
    <mergeCell ref="A44:G44"/>
    <mergeCell ref="I44:K44"/>
    <mergeCell ref="A41:G41"/>
    <mergeCell ref="A48:H48"/>
    <mergeCell ref="I48:K48"/>
    <mergeCell ref="A49:H49"/>
    <mergeCell ref="I49:K49"/>
    <mergeCell ref="A45:G45"/>
    <mergeCell ref="I45:K45"/>
    <mergeCell ref="A46:G46"/>
    <mergeCell ref="I46:K46"/>
    <mergeCell ref="V45:X45"/>
    <mergeCell ref="V47:X47"/>
    <mergeCell ref="V48:X48"/>
    <mergeCell ref="M46:X46"/>
    <mergeCell ref="M45:U45"/>
    <mergeCell ref="M47:U47"/>
    <mergeCell ref="M48:U48"/>
    <mergeCell ref="A47:H47"/>
    <mergeCell ref="I47:K47"/>
    <mergeCell ref="V42:X42"/>
    <mergeCell ref="V43:X43"/>
    <mergeCell ref="V44:X44"/>
    <mergeCell ref="M41:X41"/>
    <mergeCell ref="M42:U42"/>
    <mergeCell ref="M43:U43"/>
    <mergeCell ref="M44:U44"/>
    <mergeCell ref="V49:X49"/>
    <mergeCell ref="V50:X50"/>
    <mergeCell ref="M49:U49"/>
    <mergeCell ref="M50:U50"/>
    <mergeCell ref="K6:L6"/>
    <mergeCell ref="N6:N7"/>
    <mergeCell ref="O6:O7"/>
    <mergeCell ref="E25:G25"/>
    <mergeCell ref="E26:G26"/>
    <mergeCell ref="I8:J8"/>
    <mergeCell ref="K8:R8"/>
    <mergeCell ref="V8:X8"/>
    <mergeCell ref="S6:X6"/>
    <mergeCell ref="S8:U8"/>
    <mergeCell ref="E11:G11"/>
    <mergeCell ref="E17:G17"/>
    <mergeCell ref="E18:G18"/>
    <mergeCell ref="E19:G19"/>
    <mergeCell ref="E20:G20"/>
    <mergeCell ref="E21:G21"/>
    <mergeCell ref="E22:G22"/>
    <mergeCell ref="A60:B60"/>
    <mergeCell ref="C60:D60"/>
    <mergeCell ref="E60:G60"/>
    <mergeCell ref="A52:G53"/>
    <mergeCell ref="I52:K52"/>
    <mergeCell ref="M52:U52"/>
    <mergeCell ref="V52:X52"/>
    <mergeCell ref="I53:K53"/>
    <mergeCell ref="B2:E2"/>
    <mergeCell ref="E4:G4"/>
    <mergeCell ref="K4:L4"/>
    <mergeCell ref="A5:R5"/>
    <mergeCell ref="P6:P7"/>
    <mergeCell ref="Q6:Q7"/>
    <mergeCell ref="R6:R7"/>
    <mergeCell ref="A4:D4"/>
    <mergeCell ref="A3:X3"/>
    <mergeCell ref="S5:X5"/>
    <mergeCell ref="E12:G12"/>
    <mergeCell ref="E13:G13"/>
    <mergeCell ref="E14:G14"/>
    <mergeCell ref="E15:G15"/>
    <mergeCell ref="E16:G16"/>
    <mergeCell ref="E23:G23"/>
    <mergeCell ref="A54:G54"/>
    <mergeCell ref="I54:K54"/>
    <mergeCell ref="A58:B58"/>
    <mergeCell ref="C58:D58"/>
    <mergeCell ref="E58:G58"/>
    <mergeCell ref="A59:B59"/>
    <mergeCell ref="C59:D59"/>
    <mergeCell ref="E59:G59"/>
    <mergeCell ref="E24:G24"/>
    <mergeCell ref="E27:G27"/>
    <mergeCell ref="E28:G28"/>
    <mergeCell ref="E36:G36"/>
    <mergeCell ref="E37:G37"/>
    <mergeCell ref="E38:G38"/>
    <mergeCell ref="A39:I39"/>
    <mergeCell ref="E29:G29"/>
    <mergeCell ref="E30:G30"/>
    <mergeCell ref="E31:G31"/>
    <mergeCell ref="E33:G33"/>
    <mergeCell ref="E34:G34"/>
    <mergeCell ref="E35:G35"/>
    <mergeCell ref="I41:K41"/>
    <mergeCell ref="A42:G42"/>
    <mergeCell ref="I42:K42"/>
    <mergeCell ref="M51:U51"/>
    <mergeCell ref="V51:X51"/>
    <mergeCell ref="DA6:DE6"/>
    <mergeCell ref="A7:D8"/>
    <mergeCell ref="H7:H8"/>
    <mergeCell ref="E9:G9"/>
    <mergeCell ref="E10:G10"/>
    <mergeCell ref="BQ6:BU6"/>
    <mergeCell ref="BV6:BZ6"/>
    <mergeCell ref="CD6:CH6"/>
    <mergeCell ref="CI6:CM6"/>
    <mergeCell ref="CN6:CR6"/>
    <mergeCell ref="CS6:CW6"/>
    <mergeCell ref="AL6:AP6"/>
    <mergeCell ref="AQ6:AU6"/>
    <mergeCell ref="AV6:AZ6"/>
    <mergeCell ref="BC6:BF6"/>
    <mergeCell ref="BG6:BK6"/>
    <mergeCell ref="BL6:BP6"/>
    <mergeCell ref="I6:I7"/>
    <mergeCell ref="AA6:AE6"/>
    <mergeCell ref="AG6:AK6"/>
    <mergeCell ref="J6:J7"/>
    <mergeCell ref="E6:G8"/>
  </mergeCells>
  <phoneticPr fontId="5" type="noConversion"/>
  <conditionalFormatting sqref="A9:H38">
    <cfRule type="expression" dxfId="887" priority="137">
      <formula>OR($C9="Orlov")</formula>
    </cfRule>
    <cfRule type="expression" dxfId="886" priority="190" stopIfTrue="1">
      <formula>OR($C9="skoledag")</formula>
    </cfRule>
    <cfRule type="expression" dxfId="885" priority="189">
      <formula>OR($C9="weekend")</formula>
    </cfRule>
    <cfRule type="expression" dxfId="884" priority="188">
      <formula>OR($C9="feriedag")</formula>
    </cfRule>
    <cfRule type="expression" dxfId="883" priority="187">
      <formula>OR($C9="fagdag")</formula>
    </cfRule>
    <cfRule type="expression" dxfId="882" priority="186">
      <formula>OR($C9="emnedag")</formula>
    </cfRule>
    <cfRule type="expression" dxfId="881" priority="185">
      <formula>OR($C9="lejrskole")</formula>
    </cfRule>
    <cfRule type="expression" dxfId="880" priority="184">
      <formula>OR($C9="ekskursion")</formula>
    </cfRule>
    <cfRule type="expression" dxfId="879" priority="183">
      <formula>OR($C9="SH-dag")</formula>
    </cfRule>
    <cfRule type="expression" dxfId="878" priority="182">
      <formula>OR($C9="nul-dag")</formula>
    </cfRule>
    <cfRule type="expression" dxfId="877" priority="181">
      <formula>OR($C9="pæd.dag")</formula>
    </cfRule>
    <cfRule type="expression" dxfId="876" priority="180">
      <formula>OR($C9="Ikke relevant")</formula>
    </cfRule>
    <cfRule type="expression" dxfId="875" priority="179">
      <formula>OR($C9="Skema 4")</formula>
    </cfRule>
    <cfRule type="expression" dxfId="874" priority="178">
      <formula>OR($C9="Skema 3")</formula>
    </cfRule>
    <cfRule type="expression" dxfId="873" priority="177">
      <formula>OR($C9="skema 2")</formula>
    </cfRule>
    <cfRule type="expression" dxfId="872" priority="176">
      <formula>OR($C9="Skema 1")</formula>
    </cfRule>
  </conditionalFormatting>
  <conditionalFormatting sqref="C10:C14">
    <cfRule type="expression" dxfId="871" priority="64" stopIfTrue="1">
      <formula>OR($C10="skoledag")</formula>
    </cfRule>
    <cfRule type="expression" dxfId="870" priority="63">
      <formula>OR($C10="weekend")</formula>
    </cfRule>
    <cfRule type="expression" dxfId="869" priority="62">
      <formula>OR($C10="feriedag")</formula>
    </cfRule>
    <cfRule type="expression" dxfId="868" priority="61">
      <formula>OR($C10="fagdag")</formula>
    </cfRule>
    <cfRule type="expression" dxfId="867" priority="60">
      <formula>OR($C10="emnedag")</formula>
    </cfRule>
    <cfRule type="expression" dxfId="866" priority="59">
      <formula>OR($C10="lejrskole")</formula>
    </cfRule>
    <cfRule type="expression" dxfId="865" priority="58">
      <formula>OR($C10="ekskursion")</formula>
    </cfRule>
    <cfRule type="expression" dxfId="864" priority="57">
      <formula>OR($C10="SH-dag")</formula>
    </cfRule>
    <cfRule type="expression" dxfId="863" priority="56">
      <formula>OR($C10="nul-dag")</formula>
    </cfRule>
    <cfRule type="expression" dxfId="862" priority="55">
      <formula>OR($C10="pæd.dag")</formula>
    </cfRule>
    <cfRule type="expression" dxfId="861" priority="54">
      <formula>OR($C10="Ikke relevant")</formula>
    </cfRule>
    <cfRule type="expression" dxfId="860" priority="53">
      <formula>OR($C10="Skema 4")</formula>
    </cfRule>
    <cfRule type="expression" dxfId="859" priority="52">
      <formula>OR($C10="Skema 3")</formula>
    </cfRule>
    <cfRule type="expression" dxfId="858" priority="51">
      <formula>OR($C10="skema 2")</formula>
    </cfRule>
    <cfRule type="expression" dxfId="857" priority="50">
      <formula>OR($C10="Orlov")</formula>
    </cfRule>
    <cfRule type="expression" dxfId="856" priority="49">
      <formula>OR($C10="Skema 1")</formula>
    </cfRule>
  </conditionalFormatting>
  <conditionalFormatting sqref="C17:C21">
    <cfRule type="expression" dxfId="855" priority="33">
      <formula>OR($C17="Skema 1")</formula>
    </cfRule>
    <cfRule type="expression" dxfId="854" priority="34">
      <formula>OR($C17="Orlov")</formula>
    </cfRule>
    <cfRule type="expression" dxfId="853" priority="35">
      <formula>OR($C17="skema 2")</formula>
    </cfRule>
    <cfRule type="expression" dxfId="852" priority="36">
      <formula>OR($C17="Skema 3")</formula>
    </cfRule>
    <cfRule type="expression" dxfId="851" priority="37">
      <formula>OR($C17="Skema 4")</formula>
    </cfRule>
    <cfRule type="expression" dxfId="850" priority="38">
      <formula>OR($C17="Ikke relevant")</formula>
    </cfRule>
    <cfRule type="expression" dxfId="849" priority="39">
      <formula>OR($C17="pæd.dag")</formula>
    </cfRule>
    <cfRule type="expression" dxfId="848" priority="40">
      <formula>OR($C17="nul-dag")</formula>
    </cfRule>
    <cfRule type="expression" dxfId="847" priority="41">
      <formula>OR($C17="SH-dag")</formula>
    </cfRule>
    <cfRule type="expression" dxfId="846" priority="42">
      <formula>OR($C17="ekskursion")</formula>
    </cfRule>
    <cfRule type="expression" dxfId="845" priority="43">
      <formula>OR($C17="lejrskole")</formula>
    </cfRule>
    <cfRule type="expression" dxfId="844" priority="44">
      <formula>OR($C17="emnedag")</formula>
    </cfRule>
    <cfRule type="expression" dxfId="843" priority="45">
      <formula>OR($C17="fagdag")</formula>
    </cfRule>
    <cfRule type="expression" dxfId="842" priority="46">
      <formula>OR($C17="feriedag")</formula>
    </cfRule>
    <cfRule type="expression" dxfId="841" priority="47">
      <formula>OR($C17="weekend")</formula>
    </cfRule>
    <cfRule type="expression" dxfId="840" priority="48" stopIfTrue="1">
      <formula>OR($C17="skoledag")</formula>
    </cfRule>
  </conditionalFormatting>
  <conditionalFormatting sqref="C24:C28">
    <cfRule type="expression" dxfId="839" priority="32" stopIfTrue="1">
      <formula>OR($C24="skoledag")</formula>
    </cfRule>
    <cfRule type="expression" dxfId="838" priority="31">
      <formula>OR($C24="weekend")</formula>
    </cfRule>
    <cfRule type="expression" dxfId="837" priority="30">
      <formula>OR($C24="feriedag")</formula>
    </cfRule>
    <cfRule type="expression" dxfId="836" priority="29">
      <formula>OR($C24="fagdag")</formula>
    </cfRule>
    <cfRule type="expression" dxfId="835" priority="28">
      <formula>OR($C24="emnedag")</formula>
    </cfRule>
    <cfRule type="expression" dxfId="834" priority="27">
      <formula>OR($C24="lejrskole")</formula>
    </cfRule>
    <cfRule type="expression" dxfId="833" priority="26">
      <formula>OR($C24="ekskursion")</formula>
    </cfRule>
    <cfRule type="expression" dxfId="832" priority="25">
      <formula>OR($C24="SH-dag")</formula>
    </cfRule>
    <cfRule type="expression" dxfId="831" priority="24">
      <formula>OR($C24="nul-dag")</formula>
    </cfRule>
    <cfRule type="expression" dxfId="830" priority="23">
      <formula>OR($C24="pæd.dag")</formula>
    </cfRule>
    <cfRule type="expression" dxfId="829" priority="22">
      <formula>OR($C24="Ikke relevant")</formula>
    </cfRule>
    <cfRule type="expression" dxfId="828" priority="21">
      <formula>OR($C24="Skema 4")</formula>
    </cfRule>
    <cfRule type="expression" dxfId="827" priority="20">
      <formula>OR($C24="Skema 3")</formula>
    </cfRule>
    <cfRule type="expression" dxfId="826" priority="19">
      <formula>OR($C24="skema 2")</formula>
    </cfRule>
    <cfRule type="expression" dxfId="825" priority="17">
      <formula>OR($C24="Skema 1")</formula>
    </cfRule>
    <cfRule type="expression" dxfId="824" priority="18">
      <formula>OR($C24="Orlov")</formula>
    </cfRule>
  </conditionalFormatting>
  <conditionalFormatting sqref="C31:C35">
    <cfRule type="expression" dxfId="823" priority="1">
      <formula>OR($C31="Skema 1")</formula>
    </cfRule>
    <cfRule type="expression" dxfId="822" priority="8">
      <formula>OR($C31="nul-dag")</formula>
    </cfRule>
    <cfRule type="expression" dxfId="821" priority="2">
      <formula>OR($C31="Orlov")</formula>
    </cfRule>
    <cfRule type="expression" dxfId="820" priority="3">
      <formula>OR($C31="skema 2")</formula>
    </cfRule>
    <cfRule type="expression" dxfId="819" priority="4">
      <formula>OR($C31="Skema 3")</formula>
    </cfRule>
    <cfRule type="expression" dxfId="818" priority="5">
      <formula>OR($C31="Skema 4")</formula>
    </cfRule>
    <cfRule type="expression" dxfId="817" priority="6">
      <formula>OR($C31="Ikke relevant")</formula>
    </cfRule>
    <cfRule type="expression" dxfId="816" priority="7">
      <formula>OR($C31="pæd.dag")</formula>
    </cfRule>
    <cfRule type="expression" dxfId="815" priority="9">
      <formula>OR($C31="SH-dag")</formula>
    </cfRule>
    <cfRule type="expression" dxfId="814" priority="10">
      <formula>OR($C31="ekskursion")</formula>
    </cfRule>
    <cfRule type="expression" dxfId="813" priority="11">
      <formula>OR($C31="lejrskole")</formula>
    </cfRule>
    <cfRule type="expression" dxfId="812" priority="12">
      <formula>OR($C31="emnedag")</formula>
    </cfRule>
    <cfRule type="expression" dxfId="811" priority="16" stopIfTrue="1">
      <formula>OR($C31="skoledag")</formula>
    </cfRule>
    <cfRule type="expression" dxfId="810" priority="15">
      <formula>OR($C31="weekend")</formula>
    </cfRule>
    <cfRule type="expression" dxfId="809" priority="14">
      <formula>OR($C31="feriedag")</formula>
    </cfRule>
    <cfRule type="expression" dxfId="808" priority="13">
      <formula>OR($C31="fagdag")</formula>
    </cfRule>
  </conditionalFormatting>
  <conditionalFormatting sqref="E20">
    <cfRule type="expression" dxfId="807" priority="193">
      <formula>OR($D19="SH-dag")</formula>
    </cfRule>
    <cfRule type="expression" dxfId="806" priority="194">
      <formula>OR($D19="ekskursion")</formula>
    </cfRule>
    <cfRule type="expression" dxfId="805" priority="195">
      <formula>OR($D19="lejrskole")</formula>
    </cfRule>
    <cfRule type="expression" dxfId="804" priority="196">
      <formula>OR($D19="emnedag")</formula>
    </cfRule>
    <cfRule type="expression" dxfId="803" priority="192">
      <formula>OR($D19="nul-dag")</formula>
    </cfRule>
    <cfRule type="expression" dxfId="802" priority="197">
      <formula>OR($D19="fagdag")</formula>
    </cfRule>
    <cfRule type="expression" dxfId="801" priority="198">
      <formula>OR($D19="feriedag")</formula>
    </cfRule>
    <cfRule type="expression" dxfId="800" priority="199">
      <formula>OR($D19="weekend")</formula>
    </cfRule>
    <cfRule type="expression" dxfId="799" priority="200" stopIfTrue="1">
      <formula>OR($D19="skoledag")</formula>
    </cfRule>
    <cfRule type="expression" dxfId="798" priority="191">
      <formula>OR($D19="pæd.dag")</formula>
    </cfRule>
    <cfRule type="expression" dxfId="797" priority="201">
      <formula>OR($D19="Ikke relevant")</formula>
    </cfRule>
  </conditionalFormatting>
  <conditionalFormatting sqref="H57:H60">
    <cfRule type="expression" dxfId="796" priority="129">
      <formula>OR($A57&gt;0,)</formula>
    </cfRule>
  </conditionalFormatting>
  <conditionalFormatting sqref="I57:I60">
    <cfRule type="expression" dxfId="795" priority="130">
      <formula>OR($C57&gt;0,)</formula>
    </cfRule>
  </conditionalFormatting>
  <conditionalFormatting sqref="K9:K38">
    <cfRule type="expression" dxfId="794" priority="173">
      <formula>OR($C9="Pæd.dag",)</formula>
    </cfRule>
  </conditionalFormatting>
  <conditionalFormatting sqref="K9:L38">
    <cfRule type="expression" dxfId="793" priority="175">
      <formula>OR($C9="Ekskursion",)</formula>
    </cfRule>
    <cfRule type="expression" dxfId="792" priority="174">
      <formula>OR($C9="Lejrskole",)</formula>
    </cfRule>
  </conditionalFormatting>
  <conditionalFormatting sqref="K9:M38">
    <cfRule type="expression" dxfId="791" priority="172">
      <formula>OR($C9="emnedag",)</formula>
    </cfRule>
    <cfRule type="expression" dxfId="790" priority="171">
      <formula>OR($C9="fagdag",)</formula>
    </cfRule>
  </conditionalFormatting>
  <conditionalFormatting sqref="R9:R38">
    <cfRule type="expression" dxfId="789" priority="202">
      <formula>OR($H9&gt;"0",)</formula>
    </cfRule>
  </conditionalFormatting>
  <conditionalFormatting sqref="V9:V38">
    <cfRule type="expression" dxfId="788" priority="170">
      <formula>OR($S9="X",)</formula>
    </cfRule>
  </conditionalFormatting>
  <conditionalFormatting sqref="V48:X51">
    <cfRule type="expression" dxfId="787" priority="131">
      <formula>OR($M48&gt;0,)</formula>
    </cfRule>
  </conditionalFormatting>
  <conditionalFormatting sqref="W9:W38">
    <cfRule type="expression" dxfId="786" priority="138">
      <formula>OR($T9="X",)</formula>
    </cfRule>
  </conditionalFormatting>
  <conditionalFormatting sqref="X9:X38">
    <cfRule type="expression" dxfId="785" priority="169">
      <formula>OR($U9="X",)</formula>
    </cfRule>
  </conditionalFormatting>
  <dataValidations count="3">
    <dataValidation type="list" allowBlank="1" showInputMessage="1" showErrorMessage="1" sqref="S9:U38 A57:D60" xr:uid="{3AD7A720-4573-A241-A118-77292E8C1E64}">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15:I16 I29:I30 I9 I22:I23 I36:I37" xr:uid="{635FF951-77D8-6A42-942C-77FE506D0DE4}">
      <formula1>$W$1:$W$2</formula1>
    </dataValidation>
    <dataValidation type="list" allowBlank="1" showInputMessage="1" showErrorMessage="1" promptTitle="OBS:" prompt="Ved arrangementer med overnatning ydes istedet for ulempe- og weekendgodtgørelse på hhv. 25% og 50% faste tillæg pr. påbegyndt dag. " sqref="J9:J38" xr:uid="{3CEB2FBA-FF57-6544-A101-F08D9DBD0975}">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August!$A$89:$A$103</xm:f>
          </x14:formula1>
          <xm:sqref>C9:C38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GC108"/>
  <sheetViews>
    <sheetView topLeftCell="A4" zoomScale="90" workbookViewId="0">
      <selection activeCell="E6" sqref="E6:G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8" hidden="1" customWidth="1"/>
    <col min="26" max="26" width="7" style="228"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4" hidden="1" customWidth="1"/>
    <col min="105" max="111" width="10.83203125" hidden="1" customWidth="1"/>
    <col min="112" max="112" width="21.33203125" hidden="1" customWidth="1"/>
    <col min="113" max="185" width="10.83203125" hidden="1" customWidth="1"/>
    <col min="186" max="188" width="10.83203125" customWidth="1"/>
  </cols>
  <sheetData>
    <row r="1" spans="1:185" ht="16" customHeight="1">
      <c r="A1" s="92"/>
      <c r="B1" s="89"/>
      <c r="C1" s="89"/>
      <c r="D1" s="89"/>
      <c r="E1" s="89"/>
      <c r="F1" s="89"/>
      <c r="G1" s="89"/>
      <c r="H1" s="275"/>
      <c r="I1" s="274"/>
      <c r="J1" s="89"/>
      <c r="K1" s="227"/>
      <c r="L1" s="227"/>
      <c r="M1" s="227"/>
      <c r="N1" s="227"/>
      <c r="O1" s="227"/>
      <c r="P1" s="89"/>
      <c r="Q1" s="89"/>
      <c r="R1" s="89"/>
      <c r="S1" s="89"/>
      <c r="T1" s="89"/>
      <c r="U1" s="89"/>
      <c r="V1" s="89"/>
      <c r="W1" s="89"/>
      <c r="X1" s="40"/>
      <c r="Y1" s="242"/>
      <c r="Z1" s="89"/>
      <c r="AB1" s="89"/>
      <c r="AC1" s="89"/>
      <c r="AH1" s="89"/>
      <c r="AI1" s="89"/>
      <c r="CX1" s="244"/>
      <c r="CZ1"/>
    </row>
    <row r="2" spans="1:185" ht="21" thickBot="1">
      <c r="A2" s="91">
        <v>10</v>
      </c>
      <c r="B2" s="1101"/>
      <c r="C2" s="1101"/>
      <c r="D2" s="1101"/>
      <c r="E2" s="1101"/>
      <c r="F2" s="89"/>
      <c r="G2" s="89"/>
      <c r="H2" s="275"/>
      <c r="I2" s="274"/>
      <c r="J2" s="227"/>
      <c r="K2" s="227"/>
      <c r="L2" s="227"/>
      <c r="M2" s="227"/>
      <c r="N2" s="227"/>
      <c r="O2" s="227"/>
      <c r="P2" s="89"/>
      <c r="Q2" s="89"/>
      <c r="R2" s="89"/>
      <c r="S2" s="89"/>
      <c r="T2" s="89"/>
      <c r="U2" s="89"/>
      <c r="V2" s="89"/>
      <c r="W2" s="122" t="s">
        <v>31</v>
      </c>
      <c r="X2" s="122" t="s">
        <v>31</v>
      </c>
      <c r="Y2" s="242"/>
      <c r="Z2" s="89"/>
      <c r="AB2" s="89"/>
      <c r="AC2" s="89"/>
      <c r="AH2" s="89"/>
      <c r="AI2" s="89"/>
      <c r="CX2" s="244"/>
      <c r="CZ2"/>
    </row>
    <row r="3" spans="1:185" ht="17" thickBot="1">
      <c r="A3" s="1130" t="s">
        <v>309</v>
      </c>
      <c r="B3" s="1131"/>
      <c r="C3" s="1131"/>
      <c r="D3" s="1131"/>
      <c r="E3" s="1131"/>
      <c r="F3" s="1131"/>
      <c r="G3" s="1131"/>
      <c r="H3" s="1131"/>
      <c r="I3" s="1131"/>
      <c r="J3" s="1131"/>
      <c r="K3" s="1131"/>
      <c r="L3" s="1131"/>
      <c r="M3" s="1131"/>
      <c r="N3" s="1131"/>
      <c r="O3" s="1131"/>
      <c r="P3" s="1131"/>
      <c r="Q3" s="1131"/>
      <c r="R3" s="1131"/>
      <c r="S3" s="1131"/>
      <c r="T3" s="1131"/>
      <c r="U3" s="1131"/>
      <c r="V3" s="1131"/>
      <c r="W3" s="1131"/>
      <c r="X3" s="1132"/>
      <c r="Y3" s="89"/>
      <c r="Z3"/>
      <c r="AC3" s="89"/>
      <c r="AD3" s="89"/>
      <c r="AF3" s="89"/>
      <c r="CT3" s="244"/>
      <c r="CU3" s="244"/>
      <c r="CY3"/>
      <c r="CZ3"/>
      <c r="FI3" s="893" t="s">
        <v>623</v>
      </c>
      <c r="FJ3" s="894"/>
      <c r="FK3" s="894"/>
      <c r="FL3" s="894"/>
      <c r="FM3" s="894"/>
      <c r="FN3" s="894"/>
      <c r="FO3" s="894"/>
      <c r="FP3" s="894"/>
      <c r="FQ3" s="894"/>
      <c r="FR3" s="894"/>
      <c r="FS3" s="894"/>
      <c r="FT3" s="894"/>
      <c r="FU3" s="894"/>
      <c r="FV3" s="894"/>
      <c r="FW3" s="894"/>
      <c r="FX3" s="894"/>
      <c r="FY3" s="894"/>
      <c r="FZ3" s="894"/>
      <c r="GA3" s="894"/>
      <c r="GB3" s="894"/>
      <c r="GC3" s="895"/>
    </row>
    <row r="4" spans="1:185" ht="254" customHeight="1" thickBot="1">
      <c r="A4" s="930" t="s">
        <v>431</v>
      </c>
      <c r="B4" s="931"/>
      <c r="C4" s="931"/>
      <c r="D4" s="931"/>
      <c r="E4" s="935" t="s">
        <v>310</v>
      </c>
      <c r="F4" s="935"/>
      <c r="G4" s="935"/>
      <c r="H4" s="276" t="s">
        <v>413</v>
      </c>
      <c r="I4" s="432" t="s">
        <v>466</v>
      </c>
      <c r="J4" s="432" t="s">
        <v>467</v>
      </c>
      <c r="K4" s="946" t="s">
        <v>514</v>
      </c>
      <c r="L4" s="946"/>
      <c r="M4" s="478" t="s">
        <v>456</v>
      </c>
      <c r="N4" s="478" t="s">
        <v>432</v>
      </c>
      <c r="O4" s="478" t="s">
        <v>433</v>
      </c>
      <c r="P4" s="479" t="s">
        <v>457</v>
      </c>
      <c r="Q4" s="479" t="s">
        <v>308</v>
      </c>
      <c r="R4" s="479" t="s">
        <v>434</v>
      </c>
      <c r="S4" s="480" t="s">
        <v>464</v>
      </c>
      <c r="T4" s="480" t="s">
        <v>435</v>
      </c>
      <c r="U4" s="480" t="s">
        <v>436</v>
      </c>
      <c r="V4" s="481" t="s">
        <v>458</v>
      </c>
      <c r="W4" s="481" t="s">
        <v>399</v>
      </c>
      <c r="X4" s="482" t="s">
        <v>398</v>
      </c>
      <c r="Y4" s="242"/>
      <c r="Z4" s="89"/>
      <c r="AB4" s="89"/>
      <c r="AC4" s="89"/>
      <c r="AH4" s="89"/>
      <c r="AI4" s="89"/>
      <c r="CX4" s="244"/>
      <c r="CZ4"/>
      <c r="FI4" s="745" t="s">
        <v>621</v>
      </c>
      <c r="FJ4" s="745"/>
      <c r="FK4" s="745"/>
      <c r="FL4" s="745"/>
      <c r="FM4" t="s">
        <v>614</v>
      </c>
      <c r="FO4" s="745" t="s">
        <v>620</v>
      </c>
      <c r="FP4" s="745"/>
      <c r="FQ4" s="745"/>
      <c r="FR4" s="745"/>
    </row>
    <row r="5" spans="1:185" ht="26" customHeight="1" thickBot="1">
      <c r="A5" s="947" t="str">
        <f>""&amp;A7&amp;" måneds kalender for: "&amp;Stamoplysninger!E8&amp;". Måneden vedr. normperioden: "&amp;Stamoplysninger!E11&amp;" - "&amp;Stamoplysninger!G11&amp;"."</f>
        <v>Oktober måneds kalender for: . Måneden vedr. normperioden:  - .</v>
      </c>
      <c r="B5" s="948"/>
      <c r="C5" s="948"/>
      <c r="D5" s="948"/>
      <c r="E5" s="948"/>
      <c r="F5" s="948"/>
      <c r="G5" s="948"/>
      <c r="H5" s="948"/>
      <c r="I5" s="948"/>
      <c r="J5" s="948"/>
      <c r="K5" s="948"/>
      <c r="L5" s="948"/>
      <c r="M5" s="948"/>
      <c r="N5" s="948"/>
      <c r="O5" s="948"/>
      <c r="P5" s="948"/>
      <c r="Q5" s="948"/>
      <c r="R5" s="948"/>
      <c r="S5" s="940" t="s">
        <v>305</v>
      </c>
      <c r="T5" s="941"/>
      <c r="U5" s="941"/>
      <c r="V5" s="941"/>
      <c r="W5" s="941"/>
      <c r="X5" s="942"/>
      <c r="Y5" s="242"/>
      <c r="Z5" s="89"/>
      <c r="AB5" s="89"/>
      <c r="AC5" s="89"/>
      <c r="AH5" s="89"/>
      <c r="AI5" s="89"/>
      <c r="CX5" s="244"/>
      <c r="CZ5"/>
      <c r="FI5" s="896" t="s">
        <v>607</v>
      </c>
      <c r="FJ5" s="896"/>
      <c r="FK5" s="896"/>
      <c r="FL5" s="896"/>
      <c r="FM5" s="896"/>
      <c r="FN5" s="896"/>
      <c r="FO5" s="896"/>
      <c r="FP5" s="896"/>
      <c r="FQ5" s="896"/>
      <c r="FR5" s="896"/>
      <c r="FU5" t="s">
        <v>622</v>
      </c>
      <c r="FV5" t="s">
        <v>615</v>
      </c>
      <c r="FX5" t="s">
        <v>616</v>
      </c>
      <c r="FZ5" t="s">
        <v>617</v>
      </c>
      <c r="GB5" s="518" t="s">
        <v>618</v>
      </c>
    </row>
    <row r="6" spans="1:185" ht="47" customHeight="1">
      <c r="A6" s="324">
        <f>August!A7</f>
        <v>2024</v>
      </c>
      <c r="B6" s="238"/>
      <c r="C6" s="239"/>
      <c r="D6" s="240"/>
      <c r="E6" s="955" t="s">
        <v>470</v>
      </c>
      <c r="F6" s="956"/>
      <c r="G6" s="957"/>
      <c r="H6" s="321" t="s">
        <v>323</v>
      </c>
      <c r="I6" s="903" t="s">
        <v>465</v>
      </c>
      <c r="J6" s="953" t="s">
        <v>486</v>
      </c>
      <c r="K6" s="949" t="s">
        <v>302</v>
      </c>
      <c r="L6" s="950"/>
      <c r="M6" s="322" t="s">
        <v>303</v>
      </c>
      <c r="N6" s="903" t="s">
        <v>446</v>
      </c>
      <c r="O6" s="903" t="s">
        <v>307</v>
      </c>
      <c r="P6" s="903" t="s">
        <v>455</v>
      </c>
      <c r="Q6" s="903" t="s">
        <v>386</v>
      </c>
      <c r="R6" s="906" t="s">
        <v>515</v>
      </c>
      <c r="S6" s="968" t="s">
        <v>304</v>
      </c>
      <c r="T6" s="969"/>
      <c r="U6" s="969"/>
      <c r="V6" s="969"/>
      <c r="W6" s="969"/>
      <c r="X6" s="970"/>
      <c r="Y6" s="211"/>
      <c r="Z6" s="211"/>
      <c r="AA6" s="905" t="s">
        <v>261</v>
      </c>
      <c r="AB6" s="905"/>
      <c r="AC6" s="905"/>
      <c r="AD6" s="905"/>
      <c r="AE6" s="905"/>
      <c r="AF6" s="208"/>
      <c r="AG6" s="905" t="s">
        <v>222</v>
      </c>
      <c r="AH6" s="905"/>
      <c r="AI6" s="905"/>
      <c r="AJ6" s="905"/>
      <c r="AK6" s="905"/>
      <c r="AL6" s="905" t="s">
        <v>223</v>
      </c>
      <c r="AM6" s="905"/>
      <c r="AN6" s="905"/>
      <c r="AO6" s="905"/>
      <c r="AP6" s="905"/>
      <c r="AQ6" s="905" t="s">
        <v>224</v>
      </c>
      <c r="AR6" s="905"/>
      <c r="AS6" s="905"/>
      <c r="AT6" s="905"/>
      <c r="AU6" s="905"/>
      <c r="AV6" s="905" t="s">
        <v>225</v>
      </c>
      <c r="AW6" s="905"/>
      <c r="AX6" s="905"/>
      <c r="AY6" s="905"/>
      <c r="AZ6" s="905"/>
      <c r="BA6" s="295"/>
      <c r="BB6" s="208"/>
      <c r="BC6" s="905" t="s">
        <v>264</v>
      </c>
      <c r="BD6" s="905"/>
      <c r="BE6" s="905"/>
      <c r="BF6" s="905"/>
      <c r="BG6" s="905" t="s">
        <v>227</v>
      </c>
      <c r="BH6" s="905"/>
      <c r="BI6" s="905"/>
      <c r="BJ6" s="905"/>
      <c r="BK6" s="905"/>
      <c r="BL6" s="905" t="s">
        <v>228</v>
      </c>
      <c r="BM6" s="905"/>
      <c r="BN6" s="905"/>
      <c r="BO6" s="905"/>
      <c r="BP6" s="905"/>
      <c r="BQ6" s="905" t="s">
        <v>229</v>
      </c>
      <c r="BR6" s="905"/>
      <c r="BS6" s="905"/>
      <c r="BT6" s="905"/>
      <c r="BU6" s="905"/>
      <c r="BV6" s="905" t="s">
        <v>230</v>
      </c>
      <c r="BW6" s="905"/>
      <c r="BX6" s="905"/>
      <c r="BY6" s="905"/>
      <c r="BZ6" s="905"/>
      <c r="CD6" s="905" t="s">
        <v>265</v>
      </c>
      <c r="CE6" s="905"/>
      <c r="CF6" s="905"/>
      <c r="CG6" s="905"/>
      <c r="CH6" s="905"/>
      <c r="CI6" s="905" t="s">
        <v>267</v>
      </c>
      <c r="CJ6" s="905"/>
      <c r="CK6" s="905"/>
      <c r="CL6" s="905"/>
      <c r="CM6" s="905"/>
      <c r="CN6" s="905" t="s">
        <v>266</v>
      </c>
      <c r="CO6" s="905"/>
      <c r="CP6" s="905"/>
      <c r="CQ6" s="905"/>
      <c r="CR6" s="905"/>
      <c r="CS6" s="905" t="s">
        <v>268</v>
      </c>
      <c r="CT6" s="905"/>
      <c r="CU6" s="905"/>
      <c r="CV6" s="905"/>
      <c r="CW6" s="905"/>
      <c r="CX6" s="244"/>
      <c r="CZ6"/>
      <c r="DA6" s="745" t="s">
        <v>212</v>
      </c>
      <c r="DB6" s="745"/>
      <c r="DC6" s="745"/>
      <c r="DD6" s="745"/>
      <c r="DE6" s="745"/>
      <c r="DO6" s="1064" t="s">
        <v>319</v>
      </c>
      <c r="DP6" s="1065"/>
      <c r="DQ6" s="1065"/>
      <c r="DR6" s="1065"/>
      <c r="DS6" s="1065"/>
      <c r="DT6" s="1065"/>
      <c r="DU6" s="1065"/>
      <c r="DV6" s="1066"/>
      <c r="DW6" s="1067" t="s">
        <v>319</v>
      </c>
      <c r="DX6" s="1068"/>
      <c r="DY6" s="1068"/>
      <c r="DZ6" s="1068"/>
      <c r="EA6" s="1068"/>
      <c r="EB6" s="1069"/>
      <c r="EC6" s="1070" t="s">
        <v>375</v>
      </c>
      <c r="ED6" s="1071"/>
      <c r="EE6" s="1071"/>
      <c r="EF6" s="1071"/>
      <c r="EG6" s="1071"/>
      <c r="EH6" s="1071"/>
      <c r="EI6" s="1071"/>
      <c r="EJ6" s="1072"/>
      <c r="EK6" s="1073" t="s">
        <v>320</v>
      </c>
      <c r="EL6" s="1074"/>
      <c r="EM6" s="1074"/>
      <c r="EN6" s="1075"/>
      <c r="EO6" s="1073" t="s">
        <v>324</v>
      </c>
      <c r="EP6" s="1074"/>
      <c r="EQ6" s="1074"/>
      <c r="ER6" s="1075"/>
      <c r="ES6" s="888" t="s">
        <v>378</v>
      </c>
      <c r="ET6" s="889"/>
      <c r="EU6" s="889"/>
      <c r="EV6" s="890"/>
      <c r="EW6" s="888" t="s">
        <v>379</v>
      </c>
      <c r="EX6" s="889"/>
      <c r="EY6" s="889"/>
      <c r="EZ6" s="890"/>
      <c r="FA6" s="888" t="s">
        <v>380</v>
      </c>
      <c r="FB6" s="889"/>
      <c r="FC6" s="889"/>
      <c r="FD6" s="890"/>
      <c r="FE6" s="888" t="s">
        <v>381</v>
      </c>
      <c r="FF6" s="889"/>
      <c r="FG6" s="889"/>
      <c r="FH6" s="890"/>
      <c r="FI6" s="898" t="s">
        <v>592</v>
      </c>
      <c r="FJ6" s="899"/>
      <c r="FK6" s="899"/>
      <c r="FL6" s="1076"/>
      <c r="FM6" s="897" t="s">
        <v>380</v>
      </c>
      <c r="FN6" s="897"/>
      <c r="FO6" s="898" t="s">
        <v>619</v>
      </c>
      <c r="FP6" s="899"/>
      <c r="FQ6" s="899"/>
      <c r="FR6" s="900"/>
      <c r="FS6" s="901" t="s">
        <v>609</v>
      </c>
      <c r="FT6" s="902"/>
      <c r="FU6" t="s">
        <v>612</v>
      </c>
      <c r="FV6" s="897" t="s">
        <v>378</v>
      </c>
      <c r="FW6" s="897"/>
      <c r="FX6" s="897" t="s">
        <v>379</v>
      </c>
      <c r="FY6" s="897"/>
      <c r="FZ6" s="897" t="s">
        <v>381</v>
      </c>
      <c r="GA6" s="897"/>
      <c r="GB6" s="897" t="s">
        <v>377</v>
      </c>
      <c r="GC6" s="897"/>
    </row>
    <row r="7" spans="1:185" ht="187" customHeight="1">
      <c r="A7" s="1012" t="s">
        <v>237</v>
      </c>
      <c r="B7" s="1013"/>
      <c r="C7" s="1013"/>
      <c r="D7" s="1014"/>
      <c r="E7" s="958"/>
      <c r="F7" s="959"/>
      <c r="G7" s="960"/>
      <c r="H7" s="967" t="s">
        <v>485</v>
      </c>
      <c r="I7" s="952"/>
      <c r="J7" s="954"/>
      <c r="K7" s="323" t="s">
        <v>516</v>
      </c>
      <c r="L7" s="323" t="s">
        <v>517</v>
      </c>
      <c r="M7" s="323" t="s">
        <v>518</v>
      </c>
      <c r="N7" s="904"/>
      <c r="O7" s="904"/>
      <c r="P7" s="904"/>
      <c r="Q7" s="904"/>
      <c r="R7" s="907"/>
      <c r="S7" s="484" t="s">
        <v>668</v>
      </c>
      <c r="T7" s="322" t="s">
        <v>306</v>
      </c>
      <c r="U7" s="322" t="s">
        <v>400</v>
      </c>
      <c r="V7" s="437" t="s">
        <v>438</v>
      </c>
      <c r="W7" s="437" t="s">
        <v>437</v>
      </c>
      <c r="X7" s="438" t="s">
        <v>397</v>
      </c>
      <c r="Y7" s="211" t="s">
        <v>279</v>
      </c>
      <c r="Z7" s="211" t="s">
        <v>280</v>
      </c>
      <c r="AA7" s="296" t="s">
        <v>211</v>
      </c>
      <c r="AB7" t="s">
        <v>136</v>
      </c>
      <c r="AC7" t="s">
        <v>139</v>
      </c>
      <c r="AD7" t="s">
        <v>138</v>
      </c>
      <c r="AE7" t="s">
        <v>137</v>
      </c>
      <c r="AF7" t="s">
        <v>415</v>
      </c>
      <c r="AG7" t="s">
        <v>34</v>
      </c>
      <c r="AH7" t="s">
        <v>35</v>
      </c>
      <c r="AI7" t="s">
        <v>36</v>
      </c>
      <c r="AJ7" t="s">
        <v>37</v>
      </c>
      <c r="AK7" t="s">
        <v>38</v>
      </c>
      <c r="AL7" t="s">
        <v>34</v>
      </c>
      <c r="AM7" t="s">
        <v>35</v>
      </c>
      <c r="AN7" t="s">
        <v>36</v>
      </c>
      <c r="AO7" t="s">
        <v>37</v>
      </c>
      <c r="AP7" t="s">
        <v>38</v>
      </c>
      <c r="AQ7" t="s">
        <v>34</v>
      </c>
      <c r="AR7" t="s">
        <v>35</v>
      </c>
      <c r="AS7" t="s">
        <v>36</v>
      </c>
      <c r="AT7" t="s">
        <v>37</v>
      </c>
      <c r="AU7" t="s">
        <v>38</v>
      </c>
      <c r="AV7" t="s">
        <v>34</v>
      </c>
      <c r="AW7" t="s">
        <v>35</v>
      </c>
      <c r="AX7" t="s">
        <v>36</v>
      </c>
      <c r="AY7" t="s">
        <v>37</v>
      </c>
      <c r="AZ7" t="s">
        <v>38</v>
      </c>
      <c r="BA7" t="s">
        <v>226</v>
      </c>
      <c r="BB7" s="225" t="s">
        <v>213</v>
      </c>
      <c r="BC7" t="s">
        <v>263</v>
      </c>
      <c r="BD7" t="s">
        <v>262</v>
      </c>
      <c r="BE7" t="s">
        <v>248</v>
      </c>
      <c r="BF7" t="s">
        <v>249</v>
      </c>
      <c r="BG7" t="s">
        <v>34</v>
      </c>
      <c r="BH7" t="s">
        <v>35</v>
      </c>
      <c r="BI7" t="s">
        <v>36</v>
      </c>
      <c r="BJ7" t="s">
        <v>37</v>
      </c>
      <c r="BK7" t="s">
        <v>38</v>
      </c>
      <c r="BL7" t="s">
        <v>34</v>
      </c>
      <c r="BM7" t="s">
        <v>35</v>
      </c>
      <c r="BN7" t="s">
        <v>36</v>
      </c>
      <c r="BO7" t="s">
        <v>37</v>
      </c>
      <c r="BP7" t="s">
        <v>38</v>
      </c>
      <c r="BQ7" t="s">
        <v>34</v>
      </c>
      <c r="BR7" t="s">
        <v>35</v>
      </c>
      <c r="BS7" t="s">
        <v>36</v>
      </c>
      <c r="BT7" t="s">
        <v>37</v>
      </c>
      <c r="BU7" t="s">
        <v>38</v>
      </c>
      <c r="BV7" t="s">
        <v>34</v>
      </c>
      <c r="BW7" t="s">
        <v>35</v>
      </c>
      <c r="BX7" t="s">
        <v>36</v>
      </c>
      <c r="BY7" t="s">
        <v>37</v>
      </c>
      <c r="BZ7" t="s">
        <v>38</v>
      </c>
      <c r="CA7" s="111" t="s">
        <v>231</v>
      </c>
      <c r="CB7" s="230" t="s">
        <v>251</v>
      </c>
      <c r="CC7" s="296" t="s">
        <v>252</v>
      </c>
      <c r="CD7" t="s">
        <v>34</v>
      </c>
      <c r="CE7" t="s">
        <v>35</v>
      </c>
      <c r="CF7" t="s">
        <v>36</v>
      </c>
      <c r="CG7" t="s">
        <v>37</v>
      </c>
      <c r="CH7" t="s">
        <v>38</v>
      </c>
      <c r="CI7" t="s">
        <v>34</v>
      </c>
      <c r="CJ7" t="s">
        <v>35</v>
      </c>
      <c r="CK7" t="s">
        <v>36</v>
      </c>
      <c r="CL7" t="s">
        <v>37</v>
      </c>
      <c r="CM7" t="s">
        <v>38</v>
      </c>
      <c r="CN7" t="s">
        <v>34</v>
      </c>
      <c r="CO7" t="s">
        <v>35</v>
      </c>
      <c r="CP7" t="s">
        <v>36</v>
      </c>
      <c r="CQ7" t="s">
        <v>37</v>
      </c>
      <c r="CR7" t="s">
        <v>38</v>
      </c>
      <c r="CS7" t="s">
        <v>34</v>
      </c>
      <c r="CT7" t="s">
        <v>35</v>
      </c>
      <c r="CU7" t="s">
        <v>36</v>
      </c>
      <c r="CV7" t="s">
        <v>37</v>
      </c>
      <c r="CW7" t="s">
        <v>38</v>
      </c>
      <c r="CX7" s="244" t="s">
        <v>277</v>
      </c>
      <c r="CY7" s="244" t="s">
        <v>269</v>
      </c>
      <c r="CZ7" s="244" t="s">
        <v>270</v>
      </c>
      <c r="DA7" s="244" t="s">
        <v>271</v>
      </c>
      <c r="DB7" s="244" t="s">
        <v>272</v>
      </c>
      <c r="DC7" s="244" t="s">
        <v>273</v>
      </c>
      <c r="DD7" s="244" t="s">
        <v>274</v>
      </c>
      <c r="DE7" s="244" t="s">
        <v>275</v>
      </c>
      <c r="DF7" s="244" t="s">
        <v>276</v>
      </c>
      <c r="DG7" s="244"/>
      <c r="DO7" s="640" t="s">
        <v>650</v>
      </c>
      <c r="DP7" s="296" t="s">
        <v>651</v>
      </c>
      <c r="DQ7" s="694" t="s">
        <v>655</v>
      </c>
      <c r="DR7" s="694" t="s">
        <v>652</v>
      </c>
      <c r="DS7" s="641" t="s">
        <v>657</v>
      </c>
      <c r="DT7" s="641" t="str">
        <f>DP7</f>
        <v>Ulempetillæg på weekenddage - kræver der er sat kryds i weekendarbejde. KOLONNE I</v>
      </c>
      <c r="DU7" s="696" t="s">
        <v>658</v>
      </c>
      <c r="DV7" s="695" t="str">
        <f>DR7</f>
        <v>Ulempetillæg ændringer på weekenddage. Kræver der er sat kryds i ændring i timetal og at det er en weekeend. KOLONNE I OG S</v>
      </c>
      <c r="DW7" s="640" t="s">
        <v>585</v>
      </c>
      <c r="DX7" s="296" t="s">
        <v>583</v>
      </c>
      <c r="DY7" s="296" t="s">
        <v>584</v>
      </c>
      <c r="DZ7" s="641" t="str">
        <f>DW7</f>
        <v>17-06 timer til udbetaling inkl. ændringer 17-06</v>
      </c>
      <c r="EA7" s="641" t="str">
        <f>DX7</f>
        <v>Ulempetillæg på weekenddage</v>
      </c>
      <c r="EB7" s="642" t="str">
        <f>DY7</f>
        <v>Ulempetillæg ændringer på weekenddage</v>
      </c>
      <c r="EC7" s="697" t="s">
        <v>653</v>
      </c>
      <c r="ED7" s="694" t="s">
        <v>654</v>
      </c>
      <c r="EE7" s="694" t="s">
        <v>656</v>
      </c>
      <c r="EF7" s="694" t="s">
        <v>652</v>
      </c>
      <c r="EG7" s="641" t="s">
        <v>657</v>
      </c>
      <c r="EH7" s="696" t="str">
        <f>ED7</f>
        <v>Ulempetillæg på weekenddage til afspadsering. Kræver der er sat kryds i weekendarb. KOLONNE I</v>
      </c>
      <c r="EI7" s="696" t="s">
        <v>658</v>
      </c>
      <c r="EJ7" s="695" t="str">
        <f>EF7</f>
        <v>Ulempetillæg ændringer på weekenddage. Kræver der er sat kryds i ændring i timetal og at det er en weekeend. KOLONNE I OG S</v>
      </c>
      <c r="EK7" s="647" t="s">
        <v>660</v>
      </c>
      <c r="EL7" s="645" t="s">
        <v>659</v>
      </c>
      <c r="EM7" s="646" t="s">
        <v>663</v>
      </c>
      <c r="EN7" s="648" t="s">
        <v>662</v>
      </c>
      <c r="EO7" s="647" t="s">
        <v>660</v>
      </c>
      <c r="EP7" s="645" t="s">
        <v>659</v>
      </c>
      <c r="EQ7" s="646" t="s">
        <v>663</v>
      </c>
      <c r="ER7" s="648" t="s">
        <v>662</v>
      </c>
      <c r="ES7" s="647" t="s">
        <v>664</v>
      </c>
      <c r="ET7" s="645" t="s">
        <v>665</v>
      </c>
      <c r="EU7" s="646" t="s">
        <v>661</v>
      </c>
      <c r="EV7" s="648" t="s">
        <v>666</v>
      </c>
      <c r="EW7" s="647" t="s">
        <v>664</v>
      </c>
      <c r="EX7" s="645" t="s">
        <v>665</v>
      </c>
      <c r="EY7" s="646" t="s">
        <v>661</v>
      </c>
      <c r="EZ7" s="648" t="s">
        <v>666</v>
      </c>
      <c r="FA7" s="647" t="s">
        <v>667</v>
      </c>
      <c r="FB7" s="645" t="s">
        <v>665</v>
      </c>
      <c r="FC7" s="646" t="s">
        <v>661</v>
      </c>
      <c r="FD7" s="648" t="s">
        <v>666</v>
      </c>
      <c r="FE7" s="647" t="str">
        <f>FA7</f>
        <v>Weekendtimer på weekenddage</v>
      </c>
      <c r="FF7" s="645" t="s">
        <v>665</v>
      </c>
      <c r="FG7" s="646" t="s">
        <v>661</v>
      </c>
      <c r="FH7" s="648" t="s">
        <v>666</v>
      </c>
      <c r="FI7" s="673" t="s">
        <v>606</v>
      </c>
      <c r="FJ7" s="645" t="s">
        <v>587</v>
      </c>
      <c r="FK7" s="673" t="s">
        <v>606</v>
      </c>
      <c r="FL7" s="648" t="s">
        <v>587</v>
      </c>
      <c r="FM7" s="674" t="s">
        <v>600</v>
      </c>
      <c r="FN7" s="675" t="s">
        <v>601</v>
      </c>
      <c r="FO7" s="673" t="s">
        <v>586</v>
      </c>
      <c r="FP7" s="645" t="s">
        <v>587</v>
      </c>
      <c r="FQ7" s="677" t="s">
        <v>586</v>
      </c>
      <c r="FR7" s="678" t="s">
        <v>587</v>
      </c>
      <c r="FS7" s="682" t="s">
        <v>608</v>
      </c>
      <c r="FT7" s="675" t="s">
        <v>608</v>
      </c>
      <c r="FU7" s="296" t="s">
        <v>611</v>
      </c>
      <c r="FV7" s="674" t="s">
        <v>613</v>
      </c>
      <c r="FW7" s="674" t="s">
        <v>613</v>
      </c>
      <c r="FX7" s="674" t="s">
        <v>613</v>
      </c>
      <c r="FY7" s="674" t="s">
        <v>613</v>
      </c>
      <c r="FZ7" s="674" t="s">
        <v>602</v>
      </c>
      <c r="GA7" s="675" t="s">
        <v>603</v>
      </c>
      <c r="GB7" s="674" t="s">
        <v>602</v>
      </c>
      <c r="GC7" s="675" t="s">
        <v>603</v>
      </c>
    </row>
    <row r="8" spans="1:185" ht="20" customHeight="1">
      <c r="A8" s="1015"/>
      <c r="B8" s="1016"/>
      <c r="C8" s="1016"/>
      <c r="D8" s="1017"/>
      <c r="E8" s="961"/>
      <c r="F8" s="962"/>
      <c r="G8" s="963"/>
      <c r="H8" s="904"/>
      <c r="I8" s="943" t="s">
        <v>382</v>
      </c>
      <c r="J8" s="951"/>
      <c r="K8" s="943" t="s">
        <v>325</v>
      </c>
      <c r="L8" s="944"/>
      <c r="M8" s="944"/>
      <c r="N8" s="944"/>
      <c r="O8" s="944"/>
      <c r="P8" s="944"/>
      <c r="Q8" s="944"/>
      <c r="R8" s="944"/>
      <c r="S8" s="971" t="s">
        <v>382</v>
      </c>
      <c r="T8" s="944"/>
      <c r="U8" s="951"/>
      <c r="V8" s="943" t="s">
        <v>383</v>
      </c>
      <c r="W8" s="944"/>
      <c r="X8" s="945"/>
      <c r="Y8" s="211"/>
      <c r="Z8" s="211"/>
      <c r="AA8" s="296"/>
      <c r="BB8" s="225"/>
      <c r="CA8" s="111"/>
      <c r="CB8" s="230"/>
      <c r="CC8" s="296"/>
      <c r="CX8" s="244"/>
      <c r="DA8" s="244"/>
      <c r="DB8" s="244"/>
      <c r="DC8" s="244"/>
      <c r="DD8" s="244"/>
      <c r="DE8" s="244"/>
      <c r="DF8" s="244"/>
      <c r="DG8" s="244"/>
      <c r="DH8" t="s">
        <v>492</v>
      </c>
      <c r="DI8" t="s">
        <v>493</v>
      </c>
      <c r="DJ8" t="s">
        <v>494</v>
      </c>
      <c r="DO8" s="643"/>
      <c r="DS8" s="1078" t="s">
        <v>162</v>
      </c>
      <c r="DT8" s="1078"/>
      <c r="DU8" s="1078"/>
      <c r="DV8" s="1079"/>
      <c r="DW8" s="643"/>
      <c r="DZ8" s="1080" t="s">
        <v>162</v>
      </c>
      <c r="EA8" s="1080"/>
      <c r="EB8" s="1081"/>
      <c r="EG8" s="1080" t="s">
        <v>162</v>
      </c>
      <c r="EH8" s="1080"/>
      <c r="EI8" s="1080"/>
      <c r="EJ8" s="644"/>
      <c r="EK8" s="279"/>
      <c r="EL8" s="247"/>
      <c r="EM8" s="891" t="s">
        <v>162</v>
      </c>
      <c r="EN8" s="892"/>
      <c r="EO8" s="279"/>
      <c r="EP8" s="247"/>
      <c r="EQ8" s="891" t="s">
        <v>162</v>
      </c>
      <c r="ER8" s="892"/>
      <c r="ES8" s="279"/>
      <c r="ET8" s="247"/>
      <c r="EU8" s="891" t="s">
        <v>162</v>
      </c>
      <c r="EV8" s="892"/>
      <c r="EW8" s="279"/>
      <c r="EX8" s="247"/>
      <c r="EY8" s="891" t="s">
        <v>162</v>
      </c>
      <c r="EZ8" s="892"/>
      <c r="FA8" s="279"/>
      <c r="FB8" s="247"/>
      <c r="FC8" s="891" t="s">
        <v>162</v>
      </c>
      <c r="FD8" s="892"/>
      <c r="FE8" s="279"/>
      <c r="FF8" s="247"/>
      <c r="FG8" s="891" t="s">
        <v>162</v>
      </c>
      <c r="FH8" s="892"/>
      <c r="FI8" s="279"/>
      <c r="FJ8" s="247"/>
      <c r="FK8" s="891" t="s">
        <v>162</v>
      </c>
      <c r="FL8" s="892"/>
      <c r="FN8" s="636" t="s">
        <v>160</v>
      </c>
      <c r="FO8" s="279"/>
      <c r="FP8" s="247"/>
      <c r="FQ8" s="891" t="s">
        <v>162</v>
      </c>
      <c r="FR8" s="1077"/>
      <c r="FS8" s="279"/>
      <c r="FT8" s="683" t="s">
        <v>160</v>
      </c>
      <c r="FW8" s="636" t="s">
        <v>160</v>
      </c>
      <c r="FY8" s="636" t="s">
        <v>160</v>
      </c>
      <c r="GA8" s="636" t="s">
        <v>160</v>
      </c>
      <c r="GC8" s="636" t="s">
        <v>160</v>
      </c>
    </row>
    <row r="9" spans="1:185">
      <c r="A9" s="241">
        <f>IF(ISNUMBER(A7),A7+1,1)</f>
        <v>1</v>
      </c>
      <c r="B9" s="127" t="str">
        <f t="shared" ref="B9:B39" si="0">CHOOSE(MOD(WEEKDAY(DATE(A$6,A$2,A9)),7)+1,"lø","sø","ma","ti","on","to","fr",)</f>
        <v>ti</v>
      </c>
      <c r="C9" s="128" t="s">
        <v>206</v>
      </c>
      <c r="D9" s="129" t="str">
        <f t="shared" ref="D9:D39" si="1">IF(B9="ma",(DATE(A$6,A$2,A9)-DATE(A$6,1,1)+7)/7,"")</f>
        <v/>
      </c>
      <c r="E9" s="932"/>
      <c r="F9" s="933"/>
      <c r="G9" s="934"/>
      <c r="H9" s="294"/>
      <c r="I9" s="519"/>
      <c r="J9" s="407"/>
      <c r="K9" s="374"/>
      <c r="L9" s="374"/>
      <c r="M9" s="374"/>
      <c r="N9" s="313">
        <f>BA9</f>
        <v>0</v>
      </c>
      <c r="O9" s="313">
        <f>CA9</f>
        <v>0</v>
      </c>
      <c r="P9" s="313">
        <f>IF(Stamoplysninger!$H$29="JA",Oktober!DG9,CX9)</f>
        <v>0</v>
      </c>
      <c r="Q9" s="313">
        <f>IF(OR(C9="Lejrskole",C9="Ekskursion"),0,N9-O9-P9)</f>
        <v>0</v>
      </c>
      <c r="R9" s="314"/>
      <c r="S9" s="319"/>
      <c r="T9" s="320"/>
      <c r="U9" s="320"/>
      <c r="V9" s="429"/>
      <c r="W9" s="406"/>
      <c r="X9" s="633"/>
      <c r="Y9">
        <f>IF($S$9="x",V9-N10,0)</f>
        <v>0</v>
      </c>
      <c r="Z9">
        <f t="shared" ref="Z9:Z39" si="2">IF(T9="x",W9-O10,0)</f>
        <v>0</v>
      </c>
      <c r="AA9" s="1">
        <f t="shared" ref="AA9:AA39" si="3">IF(C9="emnedag",K9,0)</f>
        <v>0</v>
      </c>
      <c r="AB9" s="1">
        <f t="shared" ref="AB9:AB39" si="4">IF(C9="fagdag",K9,0)</f>
        <v>0</v>
      </c>
      <c r="AC9" s="1">
        <f t="shared" ref="AC9:AC39" si="5">IF(C9="Pæd.dag",K9,0)</f>
        <v>0</v>
      </c>
      <c r="AD9" s="1">
        <f t="shared" ref="AD9:AD39" si="6">IF(C9="Ekskursion",K9,0)</f>
        <v>0</v>
      </c>
      <c r="AE9" s="1">
        <f t="shared" ref="AE9:AE39" si="7">IF(C9="Lejrskole",K9,0)</f>
        <v>0</v>
      </c>
      <c r="AF9" s="1">
        <f>IF(C9="Orlov",7.4*Stamoplysninger!$E$15,0)</f>
        <v>0</v>
      </c>
      <c r="AG9" t="str">
        <f>IF(AND(C9="Skema 1",B9="ma"),Arbejdstidsoversigt!$E$72,"")</f>
        <v/>
      </c>
      <c r="AH9">
        <f>IF(AND(C9="Skema 1",B9="ti"),Arbejdstidsoversigt!$E$73,"")</f>
        <v>0</v>
      </c>
      <c r="AI9" t="str">
        <f>IF(AND(C9="Skema 1",B9="on"),Arbejdstidsoversigt!$E$74,"")</f>
        <v/>
      </c>
      <c r="AJ9" t="str">
        <f>IF(AND(C9="Skema 1",B9="to"),Arbejdstidsoversigt!$E$75,"")</f>
        <v/>
      </c>
      <c r="AK9" t="str">
        <f>IF(AND(C9="Skema 1",B9="fr"),Arbejdstidsoversigt!$E$76,"")</f>
        <v/>
      </c>
      <c r="AL9" t="str">
        <f>IF(AND(C9="Skema 2",B9="ma"),Arbejdstidsoversigt!$E$81,"")</f>
        <v/>
      </c>
      <c r="AM9" t="str">
        <f>IF(AND(C9="Skema 2",B9="ti"),Arbejdstidsoversigt!$E$82,"")</f>
        <v/>
      </c>
      <c r="AN9" t="str">
        <f>IF(AND(C9="Skema 2",B9="on"),Arbejdstidsoversigt!$E$83,"")</f>
        <v/>
      </c>
      <c r="AO9" t="str">
        <f>IF(AND(C9="Skema 2",B9="to"),Arbejdstidsoversigt!$E$84,"")</f>
        <v/>
      </c>
      <c r="AP9" t="str">
        <f>IF(AND(C9="Skema 2",B9="fr"),Arbejdstidsoversigt!$E$85,"")</f>
        <v/>
      </c>
      <c r="AQ9" t="str">
        <f>IF(AND(C9="Skema 3",B9="ma"),Arbejdstidsoversigt!$E$90,"")</f>
        <v/>
      </c>
      <c r="AR9" t="str">
        <f>IF(AND(C9="Skema 3",B9="ti"),Arbejdstidsoversigt!$E$91,"")</f>
        <v/>
      </c>
      <c r="AS9" t="str">
        <f>IF(AND(C9="Skema 3",B9="on"),Arbejdstidsoversigt!$E$92,"")</f>
        <v/>
      </c>
      <c r="AT9" t="str">
        <f>IF(AND(C9="Skema 3",B9="to"),Arbejdstidsoversigt!$E$93,"")</f>
        <v/>
      </c>
      <c r="AU9" t="str">
        <f>IF(AND(C9="Skema 3",B9="fr"),Arbejdstidsoversigt!$E$94,"")</f>
        <v/>
      </c>
      <c r="AV9" t="str">
        <f>IF(AND(C9="Skema 4",B9="ma"),Arbejdstidsoversigt!$E$99,"")</f>
        <v/>
      </c>
      <c r="AW9" t="str">
        <f>IF(AND(C9="Skema 4",B9="ti"),Arbejdstidsoversigt!$E$100,"")</f>
        <v/>
      </c>
      <c r="AX9" t="str">
        <f>IF(AND(C9="Skema 4",B9="on"),Arbejdstidsoversigt!$E$101,"")</f>
        <v/>
      </c>
      <c r="AY9" t="str">
        <f>IF(AND(C9="Skema 4",B9="to"),Arbejdstidsoversigt!$E$102,"")</f>
        <v/>
      </c>
      <c r="AZ9" t="str">
        <f>IF(AND(C9="Skema 4",B9="fr"),Arbejdstidsoversigt!$E$103,"")</f>
        <v/>
      </c>
      <c r="BA9" s="1">
        <f>SUM(AA9:AZ9)</f>
        <v>0</v>
      </c>
      <c r="BB9" s="226">
        <f t="shared" ref="BB9:BB39" si="8">SUM(AG9:AK9)*24</f>
        <v>0</v>
      </c>
      <c r="BC9" s="1">
        <f>IF($C$9="Lejrskole",$L$9,0)</f>
        <v>0</v>
      </c>
      <c r="BD9" s="1">
        <f t="shared" ref="BD9:BD39" si="9">IF(C9="Ekskursion",L9,0)</f>
        <v>0</v>
      </c>
      <c r="BE9" s="1">
        <f t="shared" ref="BE9:BE39" si="10">IF(C9="fagdag",L9,0)</f>
        <v>0</v>
      </c>
      <c r="BF9" s="1">
        <f t="shared" ref="BF9:BF39" si="11">IF(C9="emnedag",L9,0)</f>
        <v>0</v>
      </c>
      <c r="BG9" s="209" t="str">
        <f>IF(AND(C9="Skema 1",B9="ma"),Skemaoplysninger!$E$30,"")</f>
        <v/>
      </c>
      <c r="BH9" s="209">
        <f>IF(AND(C9="Skema 1",B9="ti"),Skemaoplysninger!$G$30,"")</f>
        <v>0</v>
      </c>
      <c r="BI9" s="209" t="str">
        <f>IF(AND(C9="Skema 1",B9="on"),Skemaoplysninger!$I$30,"")</f>
        <v/>
      </c>
      <c r="BJ9" s="209" t="str">
        <f>IF(AND(C9="Skema 1",B9="to"),Skemaoplysninger!$K$30,"")</f>
        <v/>
      </c>
      <c r="BK9" s="209" t="str">
        <f>IF(AND(C9="Skema 1",B9="fr"),Skemaoplysninger!$M$30,"")</f>
        <v/>
      </c>
      <c r="BL9" s="209" t="str">
        <f>IF(AND(C9="Skema 2",B9="ma"),Skemaoplysninger!$S$30,"")</f>
        <v/>
      </c>
      <c r="BM9" s="209" t="str">
        <f>IF(AND(C9="Skema 2",B9="ti"),Skemaoplysninger!$U$30,"")</f>
        <v/>
      </c>
      <c r="BN9" s="209" t="str">
        <f>IF(AND(C9="Skema 2",B9="on"),Skemaoplysninger!$W$30,"")</f>
        <v/>
      </c>
      <c r="BO9" s="209" t="str">
        <f>IF(AND(C9="Skema 2",B9="to"),Skemaoplysninger!$Y$30,"")</f>
        <v/>
      </c>
      <c r="BP9" s="209" t="str">
        <f>IF(AND(C9="Skema 2",B9="fr"),Skemaoplysninger!$AA$30,"")</f>
        <v/>
      </c>
      <c r="BQ9" s="209" t="str">
        <f>IF(AND(C9="Skema 3",B9="ma"),Skemaoplysninger!$AG$30,"")</f>
        <v/>
      </c>
      <c r="BR9" s="209" t="str">
        <f>IF(AND(C9="Skema 3",B9="ti"),Skemaoplysninger!$AI$30,"")</f>
        <v/>
      </c>
      <c r="BS9" s="209" t="str">
        <f>IF(AND(C9="Skema 3",B9="on"),Skemaoplysninger!$AK$30,"")</f>
        <v/>
      </c>
      <c r="BT9" s="209" t="str">
        <f>IF(AND(C9="Skema 3",B9="to"),Skemaoplysninger!$AM$30,"")</f>
        <v/>
      </c>
      <c r="BU9" s="209" t="str">
        <f>IF(AND(C9="Skema 3",B9="fr"),Skemaoplysninger!$AO$30,"")</f>
        <v/>
      </c>
      <c r="BV9" s="209" t="str">
        <f>IF(AND(C9="Skema 4",B9="ma"),Skemaoplysninger!$AU$30,"")</f>
        <v/>
      </c>
      <c r="BW9" s="209" t="str">
        <f>IF(AND(C9="Skema 4",B9="ti"),Skemaoplysninger!$AW$30,"")</f>
        <v/>
      </c>
      <c r="BX9" s="209" t="str">
        <f>IF(AND(C9="Skema 4",B9="on"),Skemaoplysninger!$AY$30,"")</f>
        <v/>
      </c>
      <c r="BY9" s="209" t="str">
        <f>IF(AND(C9="Skema 4",B9="to"),Skemaoplysninger!$BA$30,"")</f>
        <v/>
      </c>
      <c r="BZ9" s="209" t="str">
        <f>IF(AND(C9="Skema 4",B9="fr"),Skemaoplysninger!$BC$30,"")</f>
        <v/>
      </c>
      <c r="CA9" s="1">
        <f>SUM(BG9:BZ9)*24+SUM(BC9:BF9)</f>
        <v>0</v>
      </c>
      <c r="CB9" s="1">
        <f t="shared" ref="CB9:CB39" si="12">IF(C9="fagdag",M9,0)</f>
        <v>0</v>
      </c>
      <c r="CC9" s="1">
        <f t="shared" ref="CC9:CC39" si="13">IF(C9="emnedag",M9,0)</f>
        <v>0</v>
      </c>
      <c r="CD9" s="209" t="str">
        <f>IF(AND(C9="Skema 1",B9="ma"),Skemaoplysninger!$E$31,"")</f>
        <v/>
      </c>
      <c r="CE9" s="209">
        <f>IF(AND(C9="Skema 1",B9="ti"),Skemaoplysninger!$G$31,"")</f>
        <v>0</v>
      </c>
      <c r="CF9" s="209" t="str">
        <f>IF(AND(C9="Skema 1",B9="on"),Skemaoplysninger!$I$31,"")</f>
        <v/>
      </c>
      <c r="CG9" s="209" t="str">
        <f>IF(AND(C9="Skema 1",B9="to"),Skemaoplysninger!$K$31,"")</f>
        <v/>
      </c>
      <c r="CH9" s="209" t="str">
        <f>IF(AND(C9="Skema 1",B9="fr"),Skemaoplysninger!$M$31,"")</f>
        <v/>
      </c>
      <c r="CI9" s="209" t="str">
        <f>IF(AND(C9="Skema 2",B9="ma"),Skemaoplysninger!$S$31,"")</f>
        <v/>
      </c>
      <c r="CJ9" s="209" t="str">
        <f>IF(AND(C9="Skema 2",B9="ti"),Skemaoplysninger!$U$31,"")</f>
        <v/>
      </c>
      <c r="CK9" s="209" t="str">
        <f>IF(AND(C9="Skema 2",B9="on"),Skemaoplysninger!$W$31,"")</f>
        <v/>
      </c>
      <c r="CL9" s="209" t="str">
        <f>IF(AND(C9="Skema 2",B9="to"),Skemaoplysninger!$Y$31,"")</f>
        <v/>
      </c>
      <c r="CM9" s="209" t="str">
        <f>IF(AND(C9="Skema 2",B9="fr"),Skemaoplysninger!$AA$31,"")</f>
        <v/>
      </c>
      <c r="CN9" s="209" t="str">
        <f>IF(AND(C9="Skema 3",B9="ma"),Skemaoplysninger!$AG$31,"")</f>
        <v/>
      </c>
      <c r="CO9" s="209" t="str">
        <f>IF(AND(C9="Skema 3",B9="ti"),Skemaoplysninger!$AI$31,"")</f>
        <v/>
      </c>
      <c r="CP9" s="209" t="str">
        <f>IF(AND(C9="Skema 3",B9="on"),Skemaoplysninger!$AK$31,"")</f>
        <v/>
      </c>
      <c r="CQ9" s="209" t="str">
        <f>IF(AND(C9="Skema 3",B9="to"),Skemaoplysninger!$AM$31,"")</f>
        <v/>
      </c>
      <c r="CR9" s="209" t="str">
        <f>IF(AND(C9="Skema 3",B9="fr"),Skemaoplysninger!$AO$31,"")</f>
        <v/>
      </c>
      <c r="CS9" s="209" t="str">
        <f>IF(AND(C9="Skema 4",B9="ma"),Skemaoplysninger!$AU$31,"")</f>
        <v/>
      </c>
      <c r="CT9" s="209" t="str">
        <f>IF(AND(C9="Skema 4",B9="ti"),Skemaoplysninger!$AW$31,"")</f>
        <v/>
      </c>
      <c r="CU9" s="209" t="str">
        <f>IF(AND(C9="Skema 4",B9="on"),Skemaoplysninger!$AY$31,"")</f>
        <v/>
      </c>
      <c r="CV9" s="209" t="str">
        <f>IF(AND(C9="Skema 4",B9="to"),Skemaoplysninger!$BA$31,"")</f>
        <v/>
      </c>
      <c r="CW9" s="209" t="str">
        <f>IF(AND(C9="Skema 4",B9="fr"),Skemaoplysninger!$BC$31,"")</f>
        <v/>
      </c>
      <c r="CX9" s="245">
        <f>IF(Stamoplysninger!$H$29="NEJ",SUM(CD9:CW9)*24+CB9+CC9,0)</f>
        <v>0</v>
      </c>
      <c r="CY9" s="245">
        <f>IF(C9="Skema 1",Stamoplysninger!$H$30/200,0)</f>
        <v>0</v>
      </c>
      <c r="CZ9" s="245">
        <f>IF(C9="Skema 2",Stamoplysninger!$H$30/200,0)</f>
        <v>0</v>
      </c>
      <c r="DA9" s="245">
        <f>IF(C9="Skema 3",Stamoplysninger!$H$30/200,0)</f>
        <v>0</v>
      </c>
      <c r="DB9" s="245">
        <f>IF(C9="Skema 4",Stamoplysninger!$H$30/200,0)</f>
        <v>0</v>
      </c>
      <c r="DC9" s="245">
        <f>IF(C9="fagdag",Stamoplysninger!$H$30/200,0)</f>
        <v>0</v>
      </c>
      <c r="DD9" s="245">
        <f>IF(C9="emnedag",Stamoplysninger!$H$30/200,0)</f>
        <v>0</v>
      </c>
      <c r="DE9" s="245">
        <f>IF(C9="lejrskole",Stamoplysninger!$H$30/200,0)</f>
        <v>0</v>
      </c>
      <c r="DF9" s="245">
        <f>IF(C9="ekskursion",Stamoplysninger!$H$30/200,0)</f>
        <v>0</v>
      </c>
      <c r="DG9" s="245">
        <f>SUM(CY9:DF9)</f>
        <v>0</v>
      </c>
      <c r="DH9" t="str">
        <f>IF(AND(E9&gt;0,H9&gt;0),""&amp;E9&amp;" og "&amp;H9&amp;"","")</f>
        <v/>
      </c>
      <c r="DI9">
        <f>IF(H9="",E9,"")</f>
        <v>0</v>
      </c>
      <c r="DJ9">
        <f>IF(E9="",H9,"")</f>
        <v>0</v>
      </c>
      <c r="DK9" t="str">
        <f t="shared" ref="DK9:DM39" si="14">IF(DH9=0,"",DH9)</f>
        <v/>
      </c>
      <c r="DL9" t="str">
        <f>IF(DI9=0,"",DI9)</f>
        <v/>
      </c>
      <c r="DM9" t="str">
        <f>IF(DJ9=0,"",DJ9)</f>
        <v/>
      </c>
      <c r="DN9" t="str">
        <f>DK9&amp;""&amp;DL9&amp;""&amp;DM9</f>
        <v/>
      </c>
      <c r="DO9" s="643">
        <f>IF(AND(Stamoplysninger!$B$22="Ulempetillæg udbetales med 25% af nettotimelønnen.",H9&gt;0),(R9/4),0)</f>
        <v>0</v>
      </c>
      <c r="DP9">
        <f>IF(AND(Stamoplysninger!$B$22="Ulempetillæg udbetales med 25% af nettotimelønnen.",I9="X"),K9/4,0)</f>
        <v>0</v>
      </c>
      <c r="DQ9">
        <f>IF(AND(Stamoplysninger!$B$22="Ulempetillæg udbetales med 25% af nettotimelønnen.",U9="X"),(X9/4),0)</f>
        <v>0</v>
      </c>
      <c r="DR9">
        <f>IF(AND(AND(Stamoplysninger!$B$22="Ulempetillæg udbetales med 25% af nettotimelønnen.",S9="X",I9="X")),V9/4,0)</f>
        <v>0</v>
      </c>
      <c r="DS9" s="662">
        <f>IF(AND(Stamoplysninger!$B$22="Ulempetillæg udbetales med 25% af nettotimelønnen.",C9="ikke relevant"),(R9)/4,0)</f>
        <v>0</v>
      </c>
      <c r="DT9" s="662">
        <f>IF(AND(AND(Stamoplysninger!$B$22="Ulempetillæg udbetales med 25% af nettotimelønnen.",I9="X",C9="Ikke relevant")),K9/4,0)</f>
        <v>0</v>
      </c>
      <c r="DU9" s="662">
        <f>IF(AND(AND(Stamoplysninger!$B$22="Ulempetillæg udbetales med 25% af nettotimelønnen.",C9="ikke relevant",U9="X")),(X9/4),0)</f>
        <v>0</v>
      </c>
      <c r="DV9" s="663">
        <f>IF(AND(AND(AND(Stamoplysninger!$B$22="Ulempetillæg udbetales med 25% af nettotimelønnen.",I9="X",C9="Ikke relevant",S9="X"))),V9/4,0)</f>
        <v>0</v>
      </c>
      <c r="DW9" s="643"/>
      <c r="DZ9" s="662"/>
      <c r="EA9" s="662"/>
      <c r="EB9" s="663"/>
      <c r="EC9" s="643">
        <f>IF(AND(Stamoplysninger!$B$22="Ulempetillæg afspadseres med 25%(Kræver en aftale imellem ledelsen og den ansatte)",H9&gt;0),R9/4,0)</f>
        <v>0</v>
      </c>
      <c r="ED9">
        <f>IF(AND(Stamoplysninger!$B$22="Ulempetillæg afspadseres med 25%(Kræver en aftale imellem ledelsen og den ansatte)",I9="X"),K9/4,0)</f>
        <v>0</v>
      </c>
      <c r="EE9">
        <f>IF(AND(Stamoplysninger!$B$22="Ulempetillæg afspadseres med 25%(Kræver en aftale imellem ledelsen og den ansatte)",U9="X"),X9/4,0)</f>
        <v>0</v>
      </c>
      <c r="EF9">
        <f>IF(AND(AND(Stamoplysninger!$B$22="Ulempetillæg afspadseres med 25%(Kræver en aftale imellem ledelsen og den ansatte)",I9="X",S9="X")),V9/4,0)</f>
        <v>0</v>
      </c>
      <c r="EG9" s="662">
        <f>IF(AND(Stamoplysninger!$B$22="Ulempetillæg afspadseres med 25%(Kræver en aftale imellem ledelsen og den ansatte)",C9="ikke relevant"),(R9)/4,0)</f>
        <v>0</v>
      </c>
      <c r="EH9" s="662">
        <f>IF(AND(AND(Stamoplysninger!$B$22="Ulempetillæg afspadseres med 25%(Kræver en aftale imellem ledelsen og den ansatte)",I9="X",C9="Ikke relevant")),K9/4,0)</f>
        <v>0</v>
      </c>
      <c r="EI9" s="662">
        <f>IF(AND(AND(Stamoplysninger!$B$22="Ulempetillæg afspadseres med 25%(Kræver en aftale imellem ledelsen og den ansatte)",U9="X",C9="Ikke relevant")),X9/4,0)</f>
        <v>0</v>
      </c>
      <c r="EJ9" s="662">
        <f>IF(AND(AND(AND(Stamoplysninger!$B$22="Ulempetillæg afspadseres med 25%(Kræver en aftale imellem ledelsen og den ansatte)",I9="X",C9="Ikke relevant",S9="X"))),V9/4,0)</f>
        <v>0</v>
      </c>
      <c r="EK9" s="279">
        <f>IF(AND(Stamoplysninger!$B$26="Weekendtimer og weekendtillæg afspadseres.",$I$9="X"),$K$9*1.5,0)</f>
        <v>0</v>
      </c>
      <c r="EL9" s="247">
        <f>IF(AND(AND(Stamoplysninger!$B$26="Weekendtimer og weekendtillæg afspadseres.",$I$9="X",$S$9="X")),$V$9*1.5,0)</f>
        <v>0</v>
      </c>
      <c r="EM9" s="665">
        <f>IF(AND(AND(Stamoplysninger!$B$26="Weekendtimer og weekendtillæg afspadseres.",$I$9="X",$C$9="ikke relevant")),$K$9*1.5,0)</f>
        <v>0</v>
      </c>
      <c r="EN9" s="666">
        <f>IF(AND(AND(AND(Stamoplysninger!$B$26="Weekendtimer og weekendtillæg afspadseres.",$I$9="X",$C$9="ikke relevant",$S$9="X"))),($V$9*1.5),0)</f>
        <v>0</v>
      </c>
      <c r="EO9" s="279">
        <f>IF(AND(Stamoplysninger!$B$26="Weekendtimer og weekendtillæg udbetales.",$I$9="X"),$K$9*1.5,0)</f>
        <v>0</v>
      </c>
      <c r="EP9" s="247">
        <f>IF(AND(AND(Stamoplysninger!$B$26="Weekendtimer og weekendtillæg udbetales.",$I$9="X",$S$9="X")),$V$9*1.5,0)</f>
        <v>0</v>
      </c>
      <c r="EQ9" s="665">
        <f>IF(AND(AND(Stamoplysninger!$B$26="Weekendtimer og weekendtillæg udbetales.",$I$9="X",$C$9="ikke relevant")),$K$9*1.5,0)</f>
        <v>0</v>
      </c>
      <c r="ER9" s="666">
        <f>IF(AND(AND(AND(Stamoplysninger!$B$26="Weekendtimer og weekendtillæg udbetales.",$I$9="X",$C$9="ikke relevant",$S$9="X"))),($V$9*1.5),0)</f>
        <v>0</v>
      </c>
      <c r="ES9" s="279">
        <f>IF(AND(Stamoplysninger!$B$26="Der er indgået lokalaftale omkring weekendtimer.(Kræver aftale med TR/FSL) Weekendtillæg afspadseres.",$I$9="X"),$K$9*0.5,0)</f>
        <v>0</v>
      </c>
      <c r="ET9" s="247">
        <f>IF(AND(AND(Stamoplysninger!$B$26="Der er indgået lokalaftale omkring weekendtimer.(Kræver aftale med TR/FSL) Weekendtillæg afspadseres.",$I$9="X",$S$9="X")),$V$9*0.5,0)</f>
        <v>0</v>
      </c>
      <c r="EU9" s="665">
        <f>IF(AND(AND(Stamoplysninger!$B$26="Der er indgået lokalaftale omkring weekendtimer.(Kræver aftale med TR/FSL) Weekendtillæg afspadseres.",$I$9="X",$C$9="ikke relevant")),$K$9*0.5,0)</f>
        <v>0</v>
      </c>
      <c r="EV9" s="666">
        <f>IF(AND(AND(AND(Stamoplysninger!$B$26="Der er indgået lokalaftale omkring weekendtimer.(Kræver aftale med TR/FSL) Weekendtillæg afspadseres.",$I$9="X",$C$9="ikke relevant",$S$9="X"))),($V$9*0.5),0)</f>
        <v>0</v>
      </c>
      <c r="EW9" s="279">
        <f>IF(AND(Stamoplysninger!$B$26="Der er indgået lokalaftale omkring weekendtimer(Kræver aftale med TR/FSL). Weekendtillæg udbetales.",$I$9="X"),$K$9*0.5,0)</f>
        <v>0</v>
      </c>
      <c r="EX9" s="247">
        <f>IF(AND(AND(Stamoplysninger!$B$26="Der er indgået lokalaftale omkring weekendtimer(Kræver aftale med TR/FSL). Weekendtillæg udbetales.",$I$9="X",$S$9="X")),$V$9*0.5,0)</f>
        <v>0</v>
      </c>
      <c r="EY9" s="665">
        <f>IF(AND(AND(Stamoplysninger!$B$26="Der er indgået lokalaftale omkring weekendtimer(Kræver aftale med TR/FSL). Weekendtillæg udbetales.",$I$9="X",$C$9="ikke relevant")),$K$9*0.5,0)</f>
        <v>0</v>
      </c>
      <c r="EZ9" s="666">
        <f>IF(AND(AND(AND(Stamoplysninger!$B$26="Der er indgået lokalaftale omkring weekendtimer(Kræver aftale med TR/FSL). Weekendtillæg udbetales.",$I$9="X",$C$9="ikke relevant",$S$9="X"))),($V$9*0.5),0)</f>
        <v>0</v>
      </c>
      <c r="FA9" s="279">
        <f>IF(AND(Stamoplysninger!$B$26="Der er indgået lokalaftale omkring weekendtillæg(Kræver aftale med TR/FSL). Weekendtimerne afspadseres.",I9="X"),K9,0)</f>
        <v>0</v>
      </c>
      <c r="FB9" s="247">
        <f>IF(AND(AND(Stamoplysninger!$B$26="Der er indgået lokalaftale omkring weekendtillæg(Kræver aftale med TR/FSL). Weekendtimerne afspadseres.",I9="X",S9="X")),V9,0)</f>
        <v>0</v>
      </c>
      <c r="FC9" s="665">
        <f>IF(AND(AND(Stamoplysninger!$B$26="Der er indgået lokalaftale omkring weekendtillæg(Kræver aftale med TR/FSL). Weekendtimerne afspadseres..",I9="X",C9="ikke relevant")),K9,0)</f>
        <v>0</v>
      </c>
      <c r="FD9" s="666">
        <f>IF(AND(AND(AND(Stamoplysninger!$B$26="Der er indgået lokalaftale omkring weekendtillæg(Kræver aftale med TR/FSL). Weekendtimerne afspadseres.",I9="X",C9="ikke relevant",S9="X"))),(V9),0)</f>
        <v>0</v>
      </c>
      <c r="FE9" s="279">
        <f>IF(AND(Stamoplysninger!$B$26="Der er indgået lokalaftale omkring weekendtillæg(Kræver aftale med TR/FSL). Weekendtimerne udbetales.",I9="X"),K9,0)</f>
        <v>0</v>
      </c>
      <c r="FF9" s="247">
        <f>IF(AND(AND(Stamoplysninger!$B$26="Der er indgået lokalaftale omkring weekendtillæg(Kræver aftale med TR/FSL). Weekendtimerne udbetales.",I9="X",S9="X")),V9,0)</f>
        <v>0</v>
      </c>
      <c r="FG9" s="665">
        <f>IF(AND(AND(Stamoplysninger!$B$26="Der er indgået lokalaftale omkring weekendtillæg(Kræver aftale med TR/FSL). Weekendtimerne udbetales.",I9="X",C9="ikke relevant")),K9,0)</f>
        <v>0</v>
      </c>
      <c r="FH9" s="666">
        <f>IF(AND(AND(AND(Stamoplysninger!$B$26="Der er indgået lokalaftale omkring weekendtillæg(Kræver aftale med TR/FSL). Weekendtimerne udbetales.",I9="X",C9="ikke relevant",S9="X"))),(V9),0)</f>
        <v>0</v>
      </c>
      <c r="FI9" s="279">
        <f>IF(AND(Stamoplysninger!$B$26="Weekendtimer og weekendtillæg afspadseres.",I9="X"),K9,0)</f>
        <v>0</v>
      </c>
      <c r="FJ9" s="247">
        <f>IF(AND(Stamoplysninger!$B$26="Weekendtimer og weekendtillæg afspadseres.",I9="X"),(K9+V9)/2,0)</f>
        <v>0</v>
      </c>
      <c r="FK9" s="665">
        <f>IF(AND(AND(Stamoplysninger!$B$26="Weekendtimer og weekendtillæg afspadseres.",I9="X",C9="ikke relevant")),K9,0)</f>
        <v>0</v>
      </c>
      <c r="FL9" s="666">
        <f>IF(AND(AND(Stamoplysninger!$B$26="Weekendtimer og weekendtillæg afspadseres.",I9="X",C9="ikke relevant")),(K9+V9)/2,0)</f>
        <v>0</v>
      </c>
      <c r="FM9" s="279">
        <f>IF(AND(Stamoplysninger!$B$26="Der er indgået lokalaftale omkring weekendtillæg(Kræver aftale med TR/FSL). Weekendtimerne afspadseres.",I9="X"),K9,0)</f>
        <v>0</v>
      </c>
      <c r="FN9" s="665">
        <f>IF(AND(AND(Stamoplysninger!$B$26="Der er indgået lokalaftale omkring weekendtillæg(Kræver aftale med TR/FSL). Weekendtimerne afspadseres.",I9="X",C9="ikke relevant")),K9,0)</f>
        <v>0</v>
      </c>
      <c r="FO9" s="279">
        <f>IF(AND(Stamoplysninger!$B$26="Weekendtimer og weekendtillæg udbetales.",I9="X"),K9,0)</f>
        <v>0</v>
      </c>
      <c r="FP9" s="247">
        <f>IF(AND(Stamoplysninger!$B$26="Weekendtimer og weekendtillæg udbetales.",AA9="X"),(AC9+AN9)/2,0)</f>
        <v>0</v>
      </c>
      <c r="FQ9" s="665">
        <f>IF(AND(AND(Stamoplysninger!$B$26="Weekendtimer og weekendtillæg udbetales.",I9="X",C9="ikke relevant")),K9,0)</f>
        <v>0</v>
      </c>
      <c r="FR9" s="679">
        <f>IF(AND(AND(Stamoplysninger!$B$26="Weekendtimer og weekendtillæg udbetales.",AA9="X",U9="ikke relevant")),(AC9+AN9)/2,0)</f>
        <v>0</v>
      </c>
      <c r="FS9" s="279">
        <f t="shared" ref="FS9:FS37" si="15">IF(AND(I9="X",S9="X"),V9,0)</f>
        <v>0</v>
      </c>
      <c r="FT9" s="649">
        <f t="shared" ref="FT9:FT37" si="16">IF(AND(AND(C9="ikke relevant",I9="X",S9="X")),V9,0)</f>
        <v>0</v>
      </c>
      <c r="FU9">
        <f t="shared" ref="FU9:FU28" si="17">IF(AND(C9="weekend",I9="X"),K9,0)</f>
        <v>0</v>
      </c>
      <c r="FV9" s="279">
        <f>IF(AND(Stamoplysninger!$B$26="Der er indgået lokalaftale omkring weekendtimer.(Kræver aftale med TR/FSL) Weekendtillæg afspadseres.",I9="X"),K9,0)</f>
        <v>0</v>
      </c>
      <c r="FW9" s="665">
        <f>IF(AND(AND(Stamoplysninger!$B$26="Der er indgået lokalaftale omkring weekendtimer.(Kræver aftale med TR/FSL) Weekendtillæg afspadseres.",I9="X",C9="ikke relevant")),K9,0)</f>
        <v>0</v>
      </c>
      <c r="FX9" s="279">
        <f>IF(AND(Stamoplysninger!$B$26="Der er indgået lokalaftale omkring weekendtimer(Kræver aftale med TR/FSL). Weekendtillæg udbetales.",I9="X"),K9,0)</f>
        <v>0</v>
      </c>
      <c r="FY9" s="665">
        <f>IF(AND(AND(Stamoplysninger!$B$26="Der er indgået lokalaftale omkring weekendtimer(Kræver aftale med TR/FSL). Weekendtillæg udbetales.",I9="X",C9="ikke relevant")),K9,0)</f>
        <v>0</v>
      </c>
      <c r="FZ9" s="279">
        <f>IF(AND(Stamoplysninger!$B$26="Der er indgået lokalaftale omkring weekendtillæg(Kræver aftale med TR/FSL). Weekendtimerne udbetales.",I9="X"),K9,0)</f>
        <v>0</v>
      </c>
      <c r="GA9" s="665">
        <f>IF(AND(AND(Stamoplysninger!$B$26="Der er indgået lokalaftale omkring weekendtillæg(Kræver aftale med TR/FSL). Weekendtimerne udbetales.",I9="X",C9="ikke relevant")),K9,0)</f>
        <v>0</v>
      </c>
      <c r="GB9" s="279">
        <f>IF(AND(Stamoplysninger!$B$26="Der er indgået lokalaftale omkring weekendtimer og weekendtillæg.(Kræver aftale med TR/FSL).",I9="X"),K9,0)</f>
        <v>0</v>
      </c>
      <c r="GC9" s="665">
        <f>IF(AND(AND(Stamoplysninger!$B$26="Der er indgået lokalaftale omkring weekendtimer og weekendtillæg.(Kræver aftale med TR/FSL).",I9="X",C9="ikke relevant")),K9,0)</f>
        <v>0</v>
      </c>
    </row>
    <row r="10" spans="1:185">
      <c r="A10" s="241">
        <f t="shared" ref="A10:A38" si="18">IF(ISNUMBER(A9),A9+1,1)</f>
        <v>2</v>
      </c>
      <c r="B10" s="127" t="str">
        <f t="shared" si="0"/>
        <v>on</v>
      </c>
      <c r="C10" s="128" t="s">
        <v>206</v>
      </c>
      <c r="D10" s="129" t="str">
        <f t="shared" si="1"/>
        <v/>
      </c>
      <c r="E10" s="932"/>
      <c r="F10" s="933"/>
      <c r="G10" s="934"/>
      <c r="H10" s="294"/>
      <c r="I10" s="519"/>
      <c r="J10" s="407"/>
      <c r="K10" s="374"/>
      <c r="L10" s="374"/>
      <c r="M10" s="374"/>
      <c r="N10" s="313">
        <f t="shared" ref="N10:N39" si="19">BA10</f>
        <v>0</v>
      </c>
      <c r="O10" s="313">
        <f t="shared" ref="O10:O39" si="20">CA10</f>
        <v>0</v>
      </c>
      <c r="P10" s="313">
        <f>IF(Stamoplysninger!$H$29="JA",Oktober!DG10,CX10)</f>
        <v>0</v>
      </c>
      <c r="Q10" s="313">
        <f t="shared" ref="Q10:Q39" si="21">IF(OR(C10="Lejrskole",C10="Ekskursion"),0,N10-O10-P10)</f>
        <v>0</v>
      </c>
      <c r="R10" s="314"/>
      <c r="S10" s="319"/>
      <c r="T10" s="320"/>
      <c r="U10" s="320"/>
      <c r="V10" s="429"/>
      <c r="W10" s="406"/>
      <c r="X10" s="633"/>
      <c r="Y10">
        <f t="shared" ref="Y10:Y39" si="22">IF(S10="x",V10-N11,0)</f>
        <v>0</v>
      </c>
      <c r="Z10">
        <f t="shared" si="2"/>
        <v>0</v>
      </c>
      <c r="AA10" s="1">
        <f t="shared" si="3"/>
        <v>0</v>
      </c>
      <c r="AB10" s="1">
        <f t="shared" si="4"/>
        <v>0</v>
      </c>
      <c r="AC10" s="1">
        <f t="shared" si="5"/>
        <v>0</v>
      </c>
      <c r="AD10" s="1">
        <f t="shared" si="6"/>
        <v>0</v>
      </c>
      <c r="AE10" s="1">
        <f t="shared" si="7"/>
        <v>0</v>
      </c>
      <c r="AF10" s="1">
        <f>IF(C10="Orlov",7.4*Stamoplysninger!$E$15,0)</f>
        <v>0</v>
      </c>
      <c r="AG10" t="str">
        <f>IF(AND(C10="Skema 1",B10="ma"),Arbejdstidsoversigt!$E$72,"")</f>
        <v/>
      </c>
      <c r="AH10" t="str">
        <f>IF(AND(C10="Skema 1",B10="ti"),Arbejdstidsoversigt!$E$73,"")</f>
        <v/>
      </c>
      <c r="AI10">
        <f>IF(AND(C10="Skema 1",B10="on"),Arbejdstidsoversigt!$E$74,"")</f>
        <v>0</v>
      </c>
      <c r="AJ10" t="str">
        <f>IF(AND(C10="Skema 1",B10="to"),Arbejdstidsoversigt!$E$75,"")</f>
        <v/>
      </c>
      <c r="AK10" t="str">
        <f>IF(AND(C10="Skema 1",B10="fr"),Arbejdstidsoversigt!$E$76,"")</f>
        <v/>
      </c>
      <c r="AL10" t="str">
        <f>IF(AND(C10="Skema 2",B10="ma"),Arbejdstidsoversigt!$E$81,"")</f>
        <v/>
      </c>
      <c r="AM10" t="str">
        <f>IF(AND(C10="Skema 2",B10="ti"),Arbejdstidsoversigt!$E$82,"")</f>
        <v/>
      </c>
      <c r="AN10" t="str">
        <f>IF(AND(C10="Skema 2",B10="on"),Arbejdstidsoversigt!$E$83,"")</f>
        <v/>
      </c>
      <c r="AO10" t="str">
        <f>IF(AND(C10="Skema 2",B10="to"),Arbejdstidsoversigt!$E$84,"")</f>
        <v/>
      </c>
      <c r="AP10" t="str">
        <f>IF(AND(C10="Skema 2",B10="fr"),Arbejdstidsoversigt!$E$85,"")</f>
        <v/>
      </c>
      <c r="AQ10" t="str">
        <f>IF(AND(C10="Skema 3",B10="ma"),Arbejdstidsoversigt!$E$90,"")</f>
        <v/>
      </c>
      <c r="AR10" t="str">
        <f>IF(AND(C10="Skema 3",B10="ti"),Arbejdstidsoversigt!$E$91,"")</f>
        <v/>
      </c>
      <c r="AS10" t="str">
        <f>IF(AND(C10="Skema 3",B10="on"),Arbejdstidsoversigt!$E$92,"")</f>
        <v/>
      </c>
      <c r="AT10" t="str">
        <f>IF(AND(C10="Skema 3",B10="to"),Arbejdstidsoversigt!$E$93,"")</f>
        <v/>
      </c>
      <c r="AU10" t="str">
        <f>IF(AND(C10="Skema 3",B10="fr"),Arbejdstidsoversigt!$E$94,"")</f>
        <v/>
      </c>
      <c r="AV10" t="str">
        <f>IF(AND(C10="Skema 4",B10="ma"),Arbejdstidsoversigt!$E$99,"")</f>
        <v/>
      </c>
      <c r="AW10" t="str">
        <f>IF(AND(C10="Skema 4",B10="ti"),Arbejdstidsoversigt!$E$100,"")</f>
        <v/>
      </c>
      <c r="AX10" t="str">
        <f>IF(AND(C10="Skema 4",B10="on"),Arbejdstidsoversigt!$E$101,"")</f>
        <v/>
      </c>
      <c r="AY10" t="str">
        <f>IF(AND(C10="Skema 4",B10="to"),Arbejdstidsoversigt!$E$102,"")</f>
        <v/>
      </c>
      <c r="AZ10" t="str">
        <f>IF(AND(C10="Skema 4",B10="fr"),Arbejdstidsoversigt!$E$103,"")</f>
        <v/>
      </c>
      <c r="BA10" s="1">
        <f t="shared" ref="BA10:BA39" si="23">SUM(AA10:AZ10)</f>
        <v>0</v>
      </c>
      <c r="BB10" s="226">
        <f t="shared" si="8"/>
        <v>0</v>
      </c>
      <c r="BC10" s="1">
        <f t="shared" ref="BC10:BC39" si="24">IF(C10="Lejrskole",L10,0)</f>
        <v>0</v>
      </c>
      <c r="BD10" s="1">
        <f t="shared" si="9"/>
        <v>0</v>
      </c>
      <c r="BE10" s="1">
        <f t="shared" si="10"/>
        <v>0</v>
      </c>
      <c r="BF10" s="1">
        <f t="shared" si="11"/>
        <v>0</v>
      </c>
      <c r="BG10" s="209" t="str">
        <f>IF(AND(C10="Skema 1",B10="ma"),Skemaoplysninger!$E$30,"")</f>
        <v/>
      </c>
      <c r="BH10" s="209" t="str">
        <f>IF(AND(C10="Skema 1",B10="ti"),Skemaoplysninger!$G$30,"")</f>
        <v/>
      </c>
      <c r="BI10" s="209">
        <f>IF(AND(C10="Skema 1",B10="on"),Skemaoplysninger!$I$30,"")</f>
        <v>0</v>
      </c>
      <c r="BJ10" s="209" t="str">
        <f>IF(AND(C10="Skema 1",B10="to"),Skemaoplysninger!$K$30,"")</f>
        <v/>
      </c>
      <c r="BK10" s="209" t="str">
        <f>IF(AND(C10="Skema 1",B10="fr"),Skemaoplysninger!$M$30,"")</f>
        <v/>
      </c>
      <c r="BL10" s="209" t="str">
        <f>IF(AND(C10="Skema 2",B10="ma"),Skemaoplysninger!$S$30,"")</f>
        <v/>
      </c>
      <c r="BM10" s="209" t="str">
        <f>IF(AND(C10="Skema 2",B10="ti"),Skemaoplysninger!$U$30,"")</f>
        <v/>
      </c>
      <c r="BN10" s="209" t="str">
        <f>IF(AND(C10="Skema 2",B10="on"),Skemaoplysninger!$W$30,"")</f>
        <v/>
      </c>
      <c r="BO10" s="209" t="str">
        <f>IF(AND(C10="Skema 2",B10="to"),Skemaoplysninger!$Y$30,"")</f>
        <v/>
      </c>
      <c r="BP10" s="209" t="str">
        <f>IF(AND(C10="Skema 2",B10="fr"),Skemaoplysninger!$AA$30,"")</f>
        <v/>
      </c>
      <c r="BQ10" s="209" t="str">
        <f>IF(AND(C10="Skema 3",B10="ma"),Skemaoplysninger!$AG$30,"")</f>
        <v/>
      </c>
      <c r="BR10" s="209" t="str">
        <f>IF(AND(C10="Skema 3",B10="ti"),Skemaoplysninger!$AI$30,"")</f>
        <v/>
      </c>
      <c r="BS10" s="209" t="str">
        <f>IF(AND(C10="Skema 3",B10="on"),Skemaoplysninger!$AK$30,"")</f>
        <v/>
      </c>
      <c r="BT10" s="209" t="str">
        <f>IF(AND(C10="Skema 3",B10="to"),Skemaoplysninger!$AM$30,"")</f>
        <v/>
      </c>
      <c r="BU10" s="209" t="str">
        <f>IF(AND(C10="Skema 3",B10="fr"),Skemaoplysninger!$AO$30,"")</f>
        <v/>
      </c>
      <c r="BV10" s="209" t="str">
        <f>IF(AND(C10="Skema 4",B10="ma"),Skemaoplysninger!$AU$30,"")</f>
        <v/>
      </c>
      <c r="BW10" s="209" t="str">
        <f>IF(AND(C10="Skema 4",B10="ti"),Skemaoplysninger!$AW$30,"")</f>
        <v/>
      </c>
      <c r="BX10" s="209" t="str">
        <f>IF(AND(C10="Skema 4",B10="on"),Skemaoplysninger!$AY$30,"")</f>
        <v/>
      </c>
      <c r="BY10" s="209" t="str">
        <f>IF(AND(C10="Skema 4",B10="to"),Skemaoplysninger!$BA$30,"")</f>
        <v/>
      </c>
      <c r="BZ10" s="209" t="str">
        <f>IF(AND(C10="Skema 4",B10="fr"),Skemaoplysninger!$BC$30,"")</f>
        <v/>
      </c>
      <c r="CA10" s="1">
        <f t="shared" ref="CA10:CA39" si="25">SUM(BG10:BZ10)*24+SUM(BC10:BF10)</f>
        <v>0</v>
      </c>
      <c r="CB10" s="1">
        <f t="shared" si="12"/>
        <v>0</v>
      </c>
      <c r="CC10" s="1">
        <f t="shared" si="13"/>
        <v>0</v>
      </c>
      <c r="CD10" s="209" t="str">
        <f>IF(AND(C10="Skema 1",B10="ma"),Skemaoplysninger!$E$31,"")</f>
        <v/>
      </c>
      <c r="CE10" s="209" t="str">
        <f>IF(AND(C10="Skema 1",B10="ti"),Skemaoplysninger!$G$31,"")</f>
        <v/>
      </c>
      <c r="CF10" s="209">
        <f>IF(AND(C10="Skema 1",B10="on"),Skemaoplysninger!$I$31,"")</f>
        <v>0</v>
      </c>
      <c r="CG10" s="209" t="str">
        <f>IF(AND(C10="Skema 1",B10="to"),Skemaoplysninger!$K$31,"")</f>
        <v/>
      </c>
      <c r="CH10" s="209" t="str">
        <f>IF(AND(C10="Skema 1",B10="fr"),Skemaoplysninger!$M$31,"")</f>
        <v/>
      </c>
      <c r="CI10" s="209" t="str">
        <f>IF(AND(C10="Skema 2",B10="ma"),Skemaoplysninger!$S$31,"")</f>
        <v/>
      </c>
      <c r="CJ10" s="209" t="str">
        <f>IF(AND(C10="Skema 2",B10="ti"),Skemaoplysninger!$U$31,"")</f>
        <v/>
      </c>
      <c r="CK10" s="209" t="str">
        <f>IF(AND(C10="Skema 2",B10="on"),Skemaoplysninger!$W$31,"")</f>
        <v/>
      </c>
      <c r="CL10" s="209" t="str">
        <f>IF(AND(C10="Skema 2",B10="to"),Skemaoplysninger!$Y$31,"")</f>
        <v/>
      </c>
      <c r="CM10" s="209" t="str">
        <f>IF(AND(C10="Skema 2",B10="fr"),Skemaoplysninger!$AA$31,"")</f>
        <v/>
      </c>
      <c r="CN10" s="209" t="str">
        <f>IF(AND(C10="Skema 3",B10="ma"),Skemaoplysninger!$AG$31,"")</f>
        <v/>
      </c>
      <c r="CO10" s="209" t="str">
        <f>IF(AND(C10="Skema 3",B10="ti"),Skemaoplysninger!$AI$31,"")</f>
        <v/>
      </c>
      <c r="CP10" s="209" t="str">
        <f>IF(AND(C10="Skema 3",B10="on"),Skemaoplysninger!$AK$31,"")</f>
        <v/>
      </c>
      <c r="CQ10" s="209" t="str">
        <f>IF(AND(C10="Skema 3",B10="to"),Skemaoplysninger!$AM$31,"")</f>
        <v/>
      </c>
      <c r="CR10" s="209" t="str">
        <f>IF(AND(C10="Skema 3",B10="fr"),Skemaoplysninger!$AO$31,"")</f>
        <v/>
      </c>
      <c r="CS10" s="209" t="str">
        <f>IF(AND(C10="Skema 4",B10="ma"),Skemaoplysninger!$AU$31,"")</f>
        <v/>
      </c>
      <c r="CT10" s="209" t="str">
        <f>IF(AND(C10="Skema 4",B10="ti"),Skemaoplysninger!$AW$31,"")</f>
        <v/>
      </c>
      <c r="CU10" s="209" t="str">
        <f>IF(AND(C10="Skema 4",B10="on"),Skemaoplysninger!$AY$31,"")</f>
        <v/>
      </c>
      <c r="CV10" s="209" t="str">
        <f>IF(AND(C10="Skema 4",B10="to"),Skemaoplysninger!$BA$31,"")</f>
        <v/>
      </c>
      <c r="CW10" s="209" t="str">
        <f>IF(AND(C10="Skema 4",B10="fr"),Skemaoplysninger!$BC$31,"")</f>
        <v/>
      </c>
      <c r="CX10" s="245">
        <f>IF(Stamoplysninger!$H$29="NEJ",SUM(CD10:CW10)*24+CB10+CC10,0)</f>
        <v>0</v>
      </c>
      <c r="CY10" s="245">
        <f>IF(C10="Skema 1",Stamoplysninger!$H$30/200,0)</f>
        <v>0</v>
      </c>
      <c r="CZ10" s="245">
        <f>IF(C10="Skema 2",Stamoplysninger!$H$30/200,0)</f>
        <v>0</v>
      </c>
      <c r="DA10" s="245">
        <f>IF(C10="Skema 3",Stamoplysninger!$H$30/200,0)</f>
        <v>0</v>
      </c>
      <c r="DB10" s="245">
        <f>IF(C10="Skema 4",Stamoplysninger!$H$30/200,0)</f>
        <v>0</v>
      </c>
      <c r="DC10" s="245">
        <f>IF(C10="fagdag",Stamoplysninger!$H$30/200,0)</f>
        <v>0</v>
      </c>
      <c r="DD10" s="245">
        <f>IF(C10="emnedag",Stamoplysninger!$H$30/200,0)</f>
        <v>0</v>
      </c>
      <c r="DE10" s="245">
        <f>IF(C10="lejrskole",Stamoplysninger!$H$30/200,0)</f>
        <v>0</v>
      </c>
      <c r="DF10" s="245">
        <f>IF(C10="ekskursion",Stamoplysninger!$H$30/200,0)</f>
        <v>0</v>
      </c>
      <c r="DG10" s="245">
        <f t="shared" ref="DG10:DG39" si="26">SUM(CY10:DF10)</f>
        <v>0</v>
      </c>
      <c r="DH10" t="str">
        <f t="shared" ref="DH10:DH39" si="27">IF(AND(E10&gt;0,H10&gt;0),""&amp;E10&amp;" og "&amp;H10&amp;"","")</f>
        <v/>
      </c>
      <c r="DI10">
        <f t="shared" ref="DI10:DI39" si="28">IF(H10="",E10,"")</f>
        <v>0</v>
      </c>
      <c r="DJ10">
        <f t="shared" ref="DJ10:DJ39" si="29">IF(E10="",H10,"")</f>
        <v>0</v>
      </c>
      <c r="DK10" t="str">
        <f t="shared" si="14"/>
        <v/>
      </c>
      <c r="DL10" t="str">
        <f t="shared" si="14"/>
        <v/>
      </c>
      <c r="DM10" t="str">
        <f t="shared" si="14"/>
        <v/>
      </c>
      <c r="DN10" t="str">
        <f t="shared" ref="DN10:DN39" si="30">DK10&amp;""&amp;DL10&amp;""&amp;DM10</f>
        <v/>
      </c>
      <c r="DO10" s="643">
        <f>IF(AND(Stamoplysninger!$B$22="Ulempetillæg udbetales med 25% af nettotimelønnen.",H10&gt;0),(R10/4),0)</f>
        <v>0</v>
      </c>
      <c r="DP10">
        <f>IF(AND(Stamoplysninger!$B$22="Ulempetillæg udbetales med 25% af nettotimelønnen.",I10="X"),K10/4,0)</f>
        <v>0</v>
      </c>
      <c r="DQ10">
        <f>IF(AND(Stamoplysninger!$B$22="Ulempetillæg udbetales med 25% af nettotimelønnen.",U10="X"),(X10/4),0)</f>
        <v>0</v>
      </c>
      <c r="DR10">
        <f>IF(AND(AND(Stamoplysninger!$B$22="Ulempetillæg udbetales med 25% af nettotimelønnen.",S10="X",I10="X")),V10/4,0)</f>
        <v>0</v>
      </c>
      <c r="DS10" s="662">
        <f>IF(AND(Stamoplysninger!$B$22="Ulempetillæg udbetales med 25% af nettotimelønnen.",C10="ikke relevant"),(R10)/4,0)</f>
        <v>0</v>
      </c>
      <c r="DT10" s="662">
        <f>IF(AND(AND(Stamoplysninger!$B$22="Ulempetillæg udbetales med 25% af nettotimelønnen.",I10="X",C10="Ikke relevant")),K10/4,0)</f>
        <v>0</v>
      </c>
      <c r="DU10" s="662">
        <f>IF(AND(AND(Stamoplysninger!$B$22="Ulempetillæg udbetales med 25% af nettotimelønnen.",C10="ikke relevant",U10="X")),(X10/4),0)</f>
        <v>0</v>
      </c>
      <c r="DV10" s="663">
        <f>IF(AND(AND(AND(Stamoplysninger!$B$22="Ulempetillæg udbetales med 25% af nettotimelønnen.",I10="X",C10="Ikke relevant",S10="X"))),V10/4,0)</f>
        <v>0</v>
      </c>
      <c r="DW10" s="643"/>
      <c r="DZ10" s="662"/>
      <c r="EA10" s="662"/>
      <c r="EB10" s="663"/>
      <c r="EC10" s="643">
        <f>IF(AND(Stamoplysninger!$B$22="Ulempetillæg afspadseres med 25%(Kræver en aftale imellem ledelsen og den ansatte)",H10&gt;0),R10/4,0)</f>
        <v>0</v>
      </c>
      <c r="ED10">
        <f>IF(AND(Stamoplysninger!$B$22="Ulempetillæg afspadseres med 25%(Kræver en aftale imellem ledelsen og den ansatte)",I10="X"),K10/4,0)</f>
        <v>0</v>
      </c>
      <c r="EE10">
        <f>IF(AND(Stamoplysninger!$B$22="Ulempetillæg afspadseres med 25%(Kræver en aftale imellem ledelsen og den ansatte)",U10="X"),X10/4,0)</f>
        <v>0</v>
      </c>
      <c r="EF10">
        <f>IF(AND(AND(Stamoplysninger!$B$22="Ulempetillæg afspadseres med 25%(Kræver en aftale imellem ledelsen og den ansatte)",I10="X",S10="X")),V10/4,0)</f>
        <v>0</v>
      </c>
      <c r="EG10" s="662">
        <f>IF(AND(Stamoplysninger!$B$22="Ulempetillæg afspadseres med 25%(Kræver en aftale imellem ledelsen og den ansatte)",C10="ikke relevant"),(R10)/4,0)</f>
        <v>0</v>
      </c>
      <c r="EH10" s="662">
        <f>IF(AND(AND(Stamoplysninger!$B$22="Ulempetillæg afspadseres med 25%(Kræver en aftale imellem ledelsen og den ansatte)",I10="X",C10="Ikke relevant")),K10/4,0)</f>
        <v>0</v>
      </c>
      <c r="EI10" s="662">
        <f>IF(AND(AND(Stamoplysninger!$B$22="Ulempetillæg afspadseres med 25%(Kræver en aftale imellem ledelsen og den ansatte)",U10="X",C10="Ikke relevant")),X10/4,0)</f>
        <v>0</v>
      </c>
      <c r="EJ10" s="662">
        <f>IF(AND(AND(AND(Stamoplysninger!$B$22="Ulempetillæg afspadseres med 25%(Kræver en aftale imellem ledelsen og den ansatte)",I10="X",C10="Ikke relevant",S10="X"))),V10/4,0)</f>
        <v>0</v>
      </c>
      <c r="EK10" s="279">
        <f>IF(AND(Stamoplysninger!$B$26="Weekendtimer og weekendtillæg afspadseres.",I10="X"),K10*1.5,0)</f>
        <v>0</v>
      </c>
      <c r="EL10" s="247">
        <f>IF(AND(AND(Stamoplysninger!$B$26="Weekendtimer og weekendtillæg afspadseres.",I10="X",S10="X")),V10*1.5,0)</f>
        <v>0</v>
      </c>
      <c r="EM10" s="665">
        <f>IF(AND(AND(Stamoplysninger!$B$26="Weekendtimer og weekendtillæg afspadseres.",I10="X",C10="ikke relevant")),K10*1.5,0)</f>
        <v>0</v>
      </c>
      <c r="EN10" s="666">
        <f>IF(AND(AND(AND(Stamoplysninger!$B$26="Weekendtimer og weekendtillæg afspadseres.",I10="X",C10="ikke relevant",S10="X"))),(V10*1.5),0)</f>
        <v>0</v>
      </c>
      <c r="EO10" s="279">
        <f>IF(AND(Stamoplysninger!$B$26="Weekendtimer og weekendtillæg udbetales.",I10="X"),K10*1.5,0)</f>
        <v>0</v>
      </c>
      <c r="EP10" s="247">
        <f>IF(AND(AND(Stamoplysninger!$B$26="Weekendtimer og weekendtillæg udbetales.",I10="X",S10="X")),V10*1.5,0)</f>
        <v>0</v>
      </c>
      <c r="EQ10" s="665">
        <f>IF(AND(AND(Stamoplysninger!$B$26="Weekendtimer og weekendtillæg udbetales.",I10="X",C10="ikke relevant")),K10*1.5,0)</f>
        <v>0</v>
      </c>
      <c r="ER10" s="666">
        <f>IF(AND(AND(AND(Stamoplysninger!$B$26="Weekendtimer og weekendtillæg udbetales.",I10="X",C10="ikke relevant",S10="X"))),(V10*1.5),0)</f>
        <v>0</v>
      </c>
      <c r="ES10" s="279">
        <f>IF(AND(Stamoplysninger!$B$26="Der er indgået lokalaftale omkring weekendtimer.(Kræver aftale med TR/FSL) Weekendtillæg afspadseres.",I10="X"),K10*0.5,0)</f>
        <v>0</v>
      </c>
      <c r="ET10" s="247">
        <f>IF(AND(AND(Stamoplysninger!$B$26="Der er indgået lokalaftale omkring weekendtimer.(Kræver aftale med TR/FSL) Weekendtillæg afspadseres.",I10="X",S10="X")),V10*0.5,0)</f>
        <v>0</v>
      </c>
      <c r="EU10" s="665">
        <f>IF(AND(AND(Stamoplysninger!$B$26="Der er indgået lokalaftale omkring weekendtimer.(Kræver aftale med TR/FSL) Weekendtillæg afspadseres.",I10="X",C10="ikke relevant")),K10*0.5,0)</f>
        <v>0</v>
      </c>
      <c r="EV10" s="666">
        <f>IF(AND(AND(AND(Stamoplysninger!$B$26="Der er indgået lokalaftale omkring weekendtimer.(Kræver aftale med TR/FSL) Weekendtillæg afspadseres.",I10="X",C10="ikke relevant",S10="X"))),(V10*0.5),0)</f>
        <v>0</v>
      </c>
      <c r="EW10" s="279">
        <f>IF(AND(Stamoplysninger!$B$26="Der er indgået lokalaftale omkring weekendtimer(Kræver aftale med TR/FSL). Weekendtillæg udbetales.",I10="X"),K10*0.5,0)</f>
        <v>0</v>
      </c>
      <c r="EX10" s="247">
        <f>IF(AND(AND(Stamoplysninger!$B$26="Der er indgået lokalaftale omkring weekendtimer(Kræver aftale med TR/FSL). Weekendtillæg udbetales.",I10="X",S10="X")),V10*0.5,0)</f>
        <v>0</v>
      </c>
      <c r="EY10" s="665">
        <f>IF(AND(AND(Stamoplysninger!$B$26="Der er indgået lokalaftale omkring weekendtimer(Kræver aftale med TR/FSL). Weekendtillæg udbetales.",I10="X",C10="ikke relevant")),K10*0.5,0)</f>
        <v>0</v>
      </c>
      <c r="EZ10" s="666">
        <f>IF(AND(AND(AND(Stamoplysninger!$B$26="Der er indgået lokalaftale omkring weekendtimer(Kræver aftale med TR/FSL). Weekendtillæg udbetales.",I10="X",C10="ikke relevant",S10="X"))),(V10*0.5),0)</f>
        <v>0</v>
      </c>
      <c r="FA10" s="279">
        <f>IF(AND(Stamoplysninger!$B$26="Der er indgået lokalaftale omkring weekendtillæg(Kræver aftale med TR/FSL). Weekendtimerne afspadseres.",I10="X"),K10,0)</f>
        <v>0</v>
      </c>
      <c r="FB10" s="247">
        <f>IF(AND(AND(Stamoplysninger!$B$26="Der er indgået lokalaftale omkring weekendtillæg(Kræver aftale med TR/FSL). Weekendtimerne afspadseres.",I10="X",S10="X")),V10,0)</f>
        <v>0</v>
      </c>
      <c r="FC10" s="665">
        <f>IF(AND(AND(Stamoplysninger!$B$26="Der er indgået lokalaftale omkring weekendtillæg(Kræver aftale med TR/FSL). Weekendtimerne afspadseres..",I10="X",C10="ikke relevant")),K10,0)</f>
        <v>0</v>
      </c>
      <c r="FD10" s="666">
        <f>IF(AND(AND(AND(Stamoplysninger!$B$26="Der er indgået lokalaftale omkring weekendtillæg(Kræver aftale med TR/FSL). Weekendtimerne afspadseres.",I10="X",C10="ikke relevant",S10="X"))),(V10),0)</f>
        <v>0</v>
      </c>
      <c r="FE10" s="279">
        <f>IF(AND(Stamoplysninger!$B$26="Der er indgået lokalaftale omkring weekendtillæg(Kræver aftale med TR/FSL). Weekendtimerne udbetales.",I10="X"),K10,0)</f>
        <v>0</v>
      </c>
      <c r="FF10" s="247">
        <f>IF(AND(AND(Stamoplysninger!$B$26="Der er indgået lokalaftale omkring weekendtillæg(Kræver aftale med TR/FSL). Weekendtimerne udbetales.",I10="X",S10="X")),V10,0)</f>
        <v>0</v>
      </c>
      <c r="FG10" s="665">
        <f>IF(AND(AND(Stamoplysninger!$B$26="Der er indgået lokalaftale omkring weekendtillæg(Kræver aftale med TR/FSL). Weekendtimerne udbetales.",I10="X",C10="ikke relevant")),K10,0)</f>
        <v>0</v>
      </c>
      <c r="FH10" s="666">
        <f>IF(AND(AND(AND(Stamoplysninger!$B$26="Der er indgået lokalaftale omkring weekendtillæg(Kræver aftale med TR/FSL). Weekendtimerne udbetales.",I10="X",C10="ikke relevant",S10="X"))),(V10),0)</f>
        <v>0</v>
      </c>
      <c r="FI10" s="279">
        <f>IF(AND(Stamoplysninger!$B$26="Weekendtimer og weekendtillæg afspadseres.",I10="X"),K10,0)</f>
        <v>0</v>
      </c>
      <c r="FJ10" s="247">
        <f>IF(AND(Stamoplysninger!$B$26="Weekendtimer og weekendtillæg afspadseres.",Y10="X"),(AA10+AL10)/2,0)</f>
        <v>0</v>
      </c>
      <c r="FK10" s="665">
        <f>IF(AND(AND(Stamoplysninger!$B$26="Weekendtimer og weekendtillæg afspadseres.",I10="X",C10="ikke relevant")),K10,0)</f>
        <v>0</v>
      </c>
      <c r="FL10" s="666">
        <f>IF(AND(AND(Stamoplysninger!$B$26="Weekendtimer og weekendtillæg afspadseres.",Y10="X",S10="ikke relevant")),(AA10+AL10)/2,0)</f>
        <v>0</v>
      </c>
      <c r="FM10" s="279">
        <f>IF(AND(Stamoplysninger!$B$26="Der er indgået lokalaftale omkring weekendtillæg(Kræver aftale med TR/FSL). Weekendtimerne afspadseres.",I10="X"),K10,0)</f>
        <v>0</v>
      </c>
      <c r="FN10" s="665">
        <f>IF(AND(AND(Stamoplysninger!$B$26="Der er indgået lokalaftale omkring weekendtillæg(Kræver aftale med TR/FSL). Weekendtimerne afspadseres.",I10="X",C10="ikke relevant")),K10,0)</f>
        <v>0</v>
      </c>
      <c r="FO10" s="279">
        <f>IF(AND(Stamoplysninger!$B$26="Weekendtimer og weekendtillæg udbetales.",I10="X"),K10,0)</f>
        <v>0</v>
      </c>
      <c r="FP10" s="247">
        <f>IF(AND(Stamoplysninger!$B$26="Weekendtimer og weekendtillæg udbetales.",AA10="X"),(AC10+AN10)/2,0)</f>
        <v>0</v>
      </c>
      <c r="FQ10" s="665">
        <f>IF(AND(AND(Stamoplysninger!$B$26="Weekendtimer og weekendtillæg udbetales.",I10="X",C10="ikke relevant")),K10,0)</f>
        <v>0</v>
      </c>
      <c r="FR10" s="679">
        <f>IF(AND(AND(Stamoplysninger!$B$26="Weekendtimer og weekendtillæg udbetales.",AA10="X",U10="ikke relevant")),(AC10+AN10)/2,0)</f>
        <v>0</v>
      </c>
      <c r="FS10" s="279">
        <f t="shared" si="15"/>
        <v>0</v>
      </c>
      <c r="FT10" s="649">
        <f t="shared" si="16"/>
        <v>0</v>
      </c>
      <c r="FU10">
        <f t="shared" si="17"/>
        <v>0</v>
      </c>
      <c r="FV10" s="279">
        <f>IF(AND(Stamoplysninger!$B$26="Der er indgået lokalaftale omkring weekendtimer.(Kræver aftale med TR/FSL) Weekendtillæg afspadseres.",I10="X"),K10,0)</f>
        <v>0</v>
      </c>
      <c r="FW10" s="665">
        <f>IF(AND(AND(Stamoplysninger!$B$26="Der er indgået lokalaftale omkring weekendtimer.(Kræver aftale med TR/FSL) Weekendtillæg afspadseres.",I10="X",C10="ikke relevant")),K10,0)</f>
        <v>0</v>
      </c>
      <c r="FX10" s="279">
        <f>IF(AND(Stamoplysninger!$B$26="Der er indgået lokalaftale omkring weekendtimer(Kræver aftale med TR/FSL). Weekendtillæg udbetales.",I10="X"),K10,0)</f>
        <v>0</v>
      </c>
      <c r="FY10" s="665">
        <f>IF(AND(AND(Stamoplysninger!$B$26="Der er indgået lokalaftale omkring weekendtimer(Kræver aftale med TR/FSL). Weekendtillæg udbetales.",I10="X",C10="ikke relevant")),K10,0)</f>
        <v>0</v>
      </c>
      <c r="FZ10" s="279">
        <f>IF(AND(Stamoplysninger!$B$26="Der er indgået lokalaftale omkring weekendtillæg(Kræver aftale med TR/FSL). Weekendtimerne udbetales.",I10="X"),K10,0)</f>
        <v>0</v>
      </c>
      <c r="GA10" s="665">
        <f>IF(AND(AND(Stamoplysninger!$B$26="Der er indgået lokalaftale omkring weekendtillæg(Kræver aftale med TR/FSL). Weekendtimerne udbetales.",I10="X",C10="ikke relevant")),K10,0)</f>
        <v>0</v>
      </c>
      <c r="GB10" s="279">
        <f>IF(AND(Stamoplysninger!$B$26="Der er indgået lokalaftale omkring weekendtimer og weekendtillæg.(Kræver aftale med TR/FSL).",I10="X"),K10,0)</f>
        <v>0</v>
      </c>
      <c r="GC10" s="665">
        <f>IF(AND(AND(Stamoplysninger!$B$26="Der er indgået lokalaftale omkring weekendtimer og weekendtillæg.(Kræver aftale med TR/FSL).",I10="X",C10="ikke relevant")),K10,0)</f>
        <v>0</v>
      </c>
    </row>
    <row r="11" spans="1:185">
      <c r="A11" s="241">
        <f t="shared" si="18"/>
        <v>3</v>
      </c>
      <c r="B11" s="127" t="str">
        <f t="shared" si="0"/>
        <v>to</v>
      </c>
      <c r="C11" s="128" t="s">
        <v>206</v>
      </c>
      <c r="D11" s="129" t="str">
        <f t="shared" si="1"/>
        <v/>
      </c>
      <c r="E11" s="932"/>
      <c r="F11" s="933"/>
      <c r="G11" s="934"/>
      <c r="H11" s="294"/>
      <c r="I11" s="519"/>
      <c r="J11" s="407"/>
      <c r="K11" s="374"/>
      <c r="L11" s="374"/>
      <c r="M11" s="374"/>
      <c r="N11" s="313">
        <f t="shared" si="19"/>
        <v>0</v>
      </c>
      <c r="O11" s="313">
        <f t="shared" si="20"/>
        <v>0</v>
      </c>
      <c r="P11" s="313">
        <f>IF(Stamoplysninger!$H$29="JA",Oktober!DG11,CX11)</f>
        <v>0</v>
      </c>
      <c r="Q11" s="313">
        <f t="shared" si="21"/>
        <v>0</v>
      </c>
      <c r="R11" s="314"/>
      <c r="S11" s="319"/>
      <c r="T11" s="320"/>
      <c r="U11" s="320"/>
      <c r="V11" s="429"/>
      <c r="W11" s="406"/>
      <c r="X11" s="633"/>
      <c r="Y11">
        <f t="shared" si="22"/>
        <v>0</v>
      </c>
      <c r="Z11">
        <f t="shared" si="2"/>
        <v>0</v>
      </c>
      <c r="AA11" s="1">
        <f t="shared" si="3"/>
        <v>0</v>
      </c>
      <c r="AB11" s="1">
        <f t="shared" si="4"/>
        <v>0</v>
      </c>
      <c r="AC11" s="1">
        <f t="shared" si="5"/>
        <v>0</v>
      </c>
      <c r="AD11" s="1">
        <f t="shared" si="6"/>
        <v>0</v>
      </c>
      <c r="AE11" s="1">
        <f t="shared" si="7"/>
        <v>0</v>
      </c>
      <c r="AF11" s="1">
        <f>IF(C11="Orlov",7.4*Stamoplysninger!$E$15,0)</f>
        <v>0</v>
      </c>
      <c r="AG11" t="str">
        <f>IF(AND(C11="Skema 1",B11="ma"),Arbejdstidsoversigt!$E$72,"")</f>
        <v/>
      </c>
      <c r="AH11" t="str">
        <f>IF(AND(C11="Skema 1",B11="ti"),Arbejdstidsoversigt!$E$73,"")</f>
        <v/>
      </c>
      <c r="AI11" t="str">
        <f>IF(AND(C11="Skema 1",B11="on"),Arbejdstidsoversigt!$E$74,"")</f>
        <v/>
      </c>
      <c r="AJ11">
        <f>IF(AND(C11="Skema 1",B11="to"),Arbejdstidsoversigt!$E$75,"")</f>
        <v>0</v>
      </c>
      <c r="AK11" t="str">
        <f>IF(AND(C11="Skema 1",B11="fr"),Arbejdstidsoversigt!$E$76,"")</f>
        <v/>
      </c>
      <c r="AL11" t="str">
        <f>IF(AND(C11="Skema 2",B11="ma"),Arbejdstidsoversigt!$E$81,"")</f>
        <v/>
      </c>
      <c r="AM11" t="str">
        <f>IF(AND(C11="Skema 2",B11="ti"),Arbejdstidsoversigt!$E$82,"")</f>
        <v/>
      </c>
      <c r="AN11" t="str">
        <f>IF(AND(C11="Skema 2",B11="on"),Arbejdstidsoversigt!$E$83,"")</f>
        <v/>
      </c>
      <c r="AO11" t="str">
        <f>IF(AND(C11="Skema 2",B11="to"),Arbejdstidsoversigt!$E$84,"")</f>
        <v/>
      </c>
      <c r="AP11" t="str">
        <f>IF(AND(C11="Skema 2",B11="fr"),Arbejdstidsoversigt!$E$85,"")</f>
        <v/>
      </c>
      <c r="AQ11" t="str">
        <f>IF(AND(C11="Skema 3",B11="ma"),Arbejdstidsoversigt!$E$90,"")</f>
        <v/>
      </c>
      <c r="AR11" t="str">
        <f>IF(AND(C11="Skema 3",B11="ti"),Arbejdstidsoversigt!$E$91,"")</f>
        <v/>
      </c>
      <c r="AS11" t="str">
        <f>IF(AND(C11="Skema 3",B11="on"),Arbejdstidsoversigt!$E$92,"")</f>
        <v/>
      </c>
      <c r="AT11" t="str">
        <f>IF(AND(C11="Skema 3",B11="to"),Arbejdstidsoversigt!$E$93,"")</f>
        <v/>
      </c>
      <c r="AU11" t="str">
        <f>IF(AND(C11="Skema 3",B11="fr"),Arbejdstidsoversigt!$E$94,"")</f>
        <v/>
      </c>
      <c r="AV11" t="str">
        <f>IF(AND(C11="Skema 4",B11="ma"),Arbejdstidsoversigt!$E$99,"")</f>
        <v/>
      </c>
      <c r="AW11" t="str">
        <f>IF(AND(C11="Skema 4",B11="ti"),Arbejdstidsoversigt!$E$100,"")</f>
        <v/>
      </c>
      <c r="AX11" t="str">
        <f>IF(AND(C11="Skema 4",B11="on"),Arbejdstidsoversigt!$E$101,"")</f>
        <v/>
      </c>
      <c r="AY11" t="str">
        <f>IF(AND(C11="Skema 4",B11="to"),Arbejdstidsoversigt!$E$102,"")</f>
        <v/>
      </c>
      <c r="AZ11" t="str">
        <f>IF(AND(C11="Skema 4",B11="fr"),Arbejdstidsoversigt!$E$103,"")</f>
        <v/>
      </c>
      <c r="BA11" s="1">
        <f t="shared" si="23"/>
        <v>0</v>
      </c>
      <c r="BB11" s="226">
        <f t="shared" si="8"/>
        <v>0</v>
      </c>
      <c r="BC11" s="1">
        <f t="shared" si="24"/>
        <v>0</v>
      </c>
      <c r="BD11" s="1">
        <f t="shared" si="9"/>
        <v>0</v>
      </c>
      <c r="BE11" s="1">
        <f t="shared" si="10"/>
        <v>0</v>
      </c>
      <c r="BF11" s="1">
        <f t="shared" si="11"/>
        <v>0</v>
      </c>
      <c r="BG11" s="209" t="str">
        <f>IF(AND(C11="Skema 1",B11="ma"),Skemaoplysninger!$E$30,"")</f>
        <v/>
      </c>
      <c r="BH11" s="209" t="str">
        <f>IF(AND(C11="Skema 1",B11="ti"),Skemaoplysninger!$G$30,"")</f>
        <v/>
      </c>
      <c r="BI11" s="209" t="str">
        <f>IF(AND(C11="Skema 1",B11="on"),Skemaoplysninger!$I$30,"")</f>
        <v/>
      </c>
      <c r="BJ11" s="209">
        <f>IF(AND(C11="Skema 1",B11="to"),Skemaoplysninger!$K$30,"")</f>
        <v>0</v>
      </c>
      <c r="BK11" s="209" t="str">
        <f>IF(AND(C11="Skema 1",B11="fr"),Skemaoplysninger!$M$30,"")</f>
        <v/>
      </c>
      <c r="BL11" s="209" t="str">
        <f>IF(AND(C11="Skema 2",B11="ma"),Skemaoplysninger!$S$30,"")</f>
        <v/>
      </c>
      <c r="BM11" s="209" t="str">
        <f>IF(AND(C11="Skema 2",B11="ti"),Skemaoplysninger!$U$30,"")</f>
        <v/>
      </c>
      <c r="BN11" s="209" t="str">
        <f>IF(AND(C11="Skema 2",B11="on"),Skemaoplysninger!$W$30,"")</f>
        <v/>
      </c>
      <c r="BO11" s="209" t="str">
        <f>IF(AND(C11="Skema 2",B11="to"),Skemaoplysninger!$Y$30,"")</f>
        <v/>
      </c>
      <c r="BP11" s="209" t="str">
        <f>IF(AND(C11="Skema 2",B11="fr"),Skemaoplysninger!$AA$30,"")</f>
        <v/>
      </c>
      <c r="BQ11" s="209" t="str">
        <f>IF(AND(C11="Skema 3",B11="ma"),Skemaoplysninger!$AG$30,"")</f>
        <v/>
      </c>
      <c r="BR11" s="209" t="str">
        <f>IF(AND(C11="Skema 3",B11="ti"),Skemaoplysninger!$AI$30,"")</f>
        <v/>
      </c>
      <c r="BS11" s="209" t="str">
        <f>IF(AND(C11="Skema 3",B11="on"),Skemaoplysninger!$AK$30,"")</f>
        <v/>
      </c>
      <c r="BT11" s="209" t="str">
        <f>IF(AND(C11="Skema 3",B11="to"),Skemaoplysninger!$AM$30,"")</f>
        <v/>
      </c>
      <c r="BU11" s="209" t="str">
        <f>IF(AND(C11="Skema 3",B11="fr"),Skemaoplysninger!$AO$30,"")</f>
        <v/>
      </c>
      <c r="BV11" s="209" t="str">
        <f>IF(AND(C11="Skema 4",B11="ma"),Skemaoplysninger!$AU$30,"")</f>
        <v/>
      </c>
      <c r="BW11" s="209" t="str">
        <f>IF(AND(C11="Skema 4",B11="ti"),Skemaoplysninger!$AW$30,"")</f>
        <v/>
      </c>
      <c r="BX11" s="209" t="str">
        <f>IF(AND(C11="Skema 4",B11="on"),Skemaoplysninger!$AY$30,"")</f>
        <v/>
      </c>
      <c r="BY11" s="209" t="str">
        <f>IF(AND(C11="Skema 4",B11="to"),Skemaoplysninger!$BA$30,"")</f>
        <v/>
      </c>
      <c r="BZ11" s="209" t="str">
        <f>IF(AND(C11="Skema 4",B11="fr"),Skemaoplysninger!$BC$30,"")</f>
        <v/>
      </c>
      <c r="CA11" s="1">
        <f t="shared" si="25"/>
        <v>0</v>
      </c>
      <c r="CB11" s="1">
        <f t="shared" si="12"/>
        <v>0</v>
      </c>
      <c r="CC11" s="1">
        <f t="shared" si="13"/>
        <v>0</v>
      </c>
      <c r="CD11" s="209" t="str">
        <f>IF(AND(C11="Skema 1",B11="ma"),Skemaoplysninger!$E$31,"")</f>
        <v/>
      </c>
      <c r="CE11" s="209" t="str">
        <f>IF(AND(C11="Skema 1",B11="ti"),Skemaoplysninger!$G$31,"")</f>
        <v/>
      </c>
      <c r="CF11" s="209" t="str">
        <f>IF(AND(C11="Skema 1",B11="on"),Skemaoplysninger!$I$31,"")</f>
        <v/>
      </c>
      <c r="CG11" s="209">
        <f>IF(AND(C11="Skema 1",B11="to"),Skemaoplysninger!$K$31,"")</f>
        <v>0</v>
      </c>
      <c r="CH11" s="209" t="str">
        <f>IF(AND(C11="Skema 1",B11="fr"),Skemaoplysninger!$M$31,"")</f>
        <v/>
      </c>
      <c r="CI11" s="209" t="str">
        <f>IF(AND(C11="Skema 2",B11="ma"),Skemaoplysninger!$S$31,"")</f>
        <v/>
      </c>
      <c r="CJ11" s="209" t="str">
        <f>IF(AND(C11="Skema 2",B11="ti"),Skemaoplysninger!$U$31,"")</f>
        <v/>
      </c>
      <c r="CK11" s="209" t="str">
        <f>IF(AND(C11="Skema 2",B11="on"),Skemaoplysninger!$W$31,"")</f>
        <v/>
      </c>
      <c r="CL11" s="209" t="str">
        <f>IF(AND(C11="Skema 2",B11="to"),Skemaoplysninger!$Y$31,"")</f>
        <v/>
      </c>
      <c r="CM11" s="209" t="str">
        <f>IF(AND(C11="Skema 2",B11="fr"),Skemaoplysninger!$AA$31,"")</f>
        <v/>
      </c>
      <c r="CN11" s="209" t="str">
        <f>IF(AND(C11="Skema 3",B11="ma"),Skemaoplysninger!$AG$31,"")</f>
        <v/>
      </c>
      <c r="CO11" s="209" t="str">
        <f>IF(AND(C11="Skema 3",B11="ti"),Skemaoplysninger!$AI$31,"")</f>
        <v/>
      </c>
      <c r="CP11" s="209" t="str">
        <f>IF(AND(C11="Skema 3",B11="on"),Skemaoplysninger!$AK$31,"")</f>
        <v/>
      </c>
      <c r="CQ11" s="209" t="str">
        <f>IF(AND(C11="Skema 3",B11="to"),Skemaoplysninger!$AM$31,"")</f>
        <v/>
      </c>
      <c r="CR11" s="209" t="str">
        <f>IF(AND(C11="Skema 3",B11="fr"),Skemaoplysninger!$AO$31,"")</f>
        <v/>
      </c>
      <c r="CS11" s="209" t="str">
        <f>IF(AND(C11="Skema 4",B11="ma"),Skemaoplysninger!$AU$31,"")</f>
        <v/>
      </c>
      <c r="CT11" s="209" t="str">
        <f>IF(AND(C11="Skema 4",B11="ti"),Skemaoplysninger!$AW$31,"")</f>
        <v/>
      </c>
      <c r="CU11" s="209" t="str">
        <f>IF(AND(C11="Skema 4",B11="on"),Skemaoplysninger!$AY$31,"")</f>
        <v/>
      </c>
      <c r="CV11" s="209" t="str">
        <f>IF(AND(C11="Skema 4",B11="to"),Skemaoplysninger!$BA$31,"")</f>
        <v/>
      </c>
      <c r="CW11" s="209" t="str">
        <f>IF(AND(C11="Skema 4",B11="fr"),Skemaoplysninger!$BC$31,"")</f>
        <v/>
      </c>
      <c r="CX11" s="245">
        <f>IF(Stamoplysninger!$H$29="NEJ",SUM(CD11:CW11)*24+CB11+CC11,0)</f>
        <v>0</v>
      </c>
      <c r="CY11" s="245">
        <f>IF(C11="Skema 1",Stamoplysninger!$H$30/200,0)</f>
        <v>0</v>
      </c>
      <c r="CZ11" s="245">
        <f>IF(C11="Skema 2",Stamoplysninger!$H$30/200,0)</f>
        <v>0</v>
      </c>
      <c r="DA11" s="245">
        <f>IF(C11="Skema 3",Stamoplysninger!$H$30/200,0)</f>
        <v>0</v>
      </c>
      <c r="DB11" s="245">
        <f>IF(C11="Skema 4",Stamoplysninger!$H$30/200,0)</f>
        <v>0</v>
      </c>
      <c r="DC11" s="245">
        <f>IF(C11="fagdag",Stamoplysninger!$H$30/200,0)</f>
        <v>0</v>
      </c>
      <c r="DD11" s="245">
        <f>IF(C11="emnedag",Stamoplysninger!$H$30/200,0)</f>
        <v>0</v>
      </c>
      <c r="DE11" s="245">
        <f>IF(C11="lejrskole",Stamoplysninger!$H$30/200,0)</f>
        <v>0</v>
      </c>
      <c r="DF11" s="245">
        <f>IF(C11="ekskursion",Stamoplysninger!$H$30/200,0)</f>
        <v>0</v>
      </c>
      <c r="DG11" s="245">
        <f t="shared" si="26"/>
        <v>0</v>
      </c>
      <c r="DH11" t="str">
        <f t="shared" si="27"/>
        <v/>
      </c>
      <c r="DI11">
        <f t="shared" si="28"/>
        <v>0</v>
      </c>
      <c r="DJ11">
        <f t="shared" si="29"/>
        <v>0</v>
      </c>
      <c r="DK11" t="str">
        <f t="shared" si="14"/>
        <v/>
      </c>
      <c r="DL11" t="str">
        <f t="shared" si="14"/>
        <v/>
      </c>
      <c r="DM11" t="str">
        <f t="shared" si="14"/>
        <v/>
      </c>
      <c r="DN11" t="str">
        <f t="shared" si="30"/>
        <v/>
      </c>
      <c r="DO11" s="643">
        <f>IF(AND(Stamoplysninger!$B$22="Ulempetillæg udbetales med 25% af nettotimelønnen.",H11&gt;0),(R11/4),0)</f>
        <v>0</v>
      </c>
      <c r="DP11">
        <f>IF(AND(Stamoplysninger!$B$22="Ulempetillæg udbetales med 25% af nettotimelønnen.",I11="X"),K11/4,0)</f>
        <v>0</v>
      </c>
      <c r="DQ11">
        <f>IF(AND(Stamoplysninger!$B$22="Ulempetillæg udbetales med 25% af nettotimelønnen.",U11="X"),(X11/4),0)</f>
        <v>0</v>
      </c>
      <c r="DR11">
        <f>IF(AND(AND(Stamoplysninger!$B$22="Ulempetillæg udbetales med 25% af nettotimelønnen.",S11="X",I11="X")),V11/4,0)</f>
        <v>0</v>
      </c>
      <c r="DS11" s="662">
        <f>IF(AND(Stamoplysninger!$B$22="Ulempetillæg udbetales med 25% af nettotimelønnen.",C11="ikke relevant"),(R11)/4,0)</f>
        <v>0</v>
      </c>
      <c r="DT11" s="662">
        <f>IF(AND(AND(Stamoplysninger!$B$22="Ulempetillæg udbetales med 25% af nettotimelønnen.",I11="X",C11="Ikke relevant")),K11/4,0)</f>
        <v>0</v>
      </c>
      <c r="DU11" s="662">
        <f>IF(AND(AND(Stamoplysninger!$B$22="Ulempetillæg udbetales med 25% af nettotimelønnen.",C11="ikke relevant",U11="X")),(X11/4),0)</f>
        <v>0</v>
      </c>
      <c r="DV11" s="663">
        <f>IF(AND(AND(AND(Stamoplysninger!$B$22="Ulempetillæg udbetales med 25% af nettotimelønnen.",I11="X",C11="Ikke relevant",S11="X"))),V11/4,0)</f>
        <v>0</v>
      </c>
      <c r="DW11" s="643"/>
      <c r="DZ11" s="662"/>
      <c r="EA11" s="662"/>
      <c r="EB11" s="663"/>
      <c r="EC11" s="643">
        <f>IF(AND(Stamoplysninger!$B$22="Ulempetillæg afspadseres med 25%(Kræver en aftale imellem ledelsen og den ansatte)",H11&gt;0),R11/4,0)</f>
        <v>0</v>
      </c>
      <c r="ED11">
        <f>IF(AND(Stamoplysninger!$B$22="Ulempetillæg afspadseres med 25%(Kræver en aftale imellem ledelsen og den ansatte)",I11="X"),K11/4,0)</f>
        <v>0</v>
      </c>
      <c r="EE11">
        <f>IF(AND(Stamoplysninger!$B$22="Ulempetillæg afspadseres med 25%(Kræver en aftale imellem ledelsen og den ansatte)",U11="X"),X11/4,0)</f>
        <v>0</v>
      </c>
      <c r="EF11">
        <f>IF(AND(AND(Stamoplysninger!$B$22="Ulempetillæg afspadseres med 25%(Kræver en aftale imellem ledelsen og den ansatte)",I11="X",S11="X")),V11/4,0)</f>
        <v>0</v>
      </c>
      <c r="EG11" s="662">
        <f>IF(AND(Stamoplysninger!$B$22="Ulempetillæg afspadseres med 25%(Kræver en aftale imellem ledelsen og den ansatte)",C11="ikke relevant"),(R11)/4,0)</f>
        <v>0</v>
      </c>
      <c r="EH11" s="662">
        <f>IF(AND(AND(Stamoplysninger!$B$22="Ulempetillæg afspadseres med 25%(Kræver en aftale imellem ledelsen og den ansatte)",I11="X",C11="Ikke relevant")),K11/4,0)</f>
        <v>0</v>
      </c>
      <c r="EI11" s="662">
        <f>IF(AND(AND(Stamoplysninger!$B$22="Ulempetillæg afspadseres med 25%(Kræver en aftale imellem ledelsen og den ansatte)",U11="X",C11="Ikke relevant")),X11/4,0)</f>
        <v>0</v>
      </c>
      <c r="EJ11" s="662">
        <f>IF(AND(AND(AND(Stamoplysninger!$B$22="Ulempetillæg afspadseres med 25%(Kræver en aftale imellem ledelsen og den ansatte)",I11="X",C11="Ikke relevant",S11="X"))),V11/4,0)</f>
        <v>0</v>
      </c>
      <c r="EK11" s="279">
        <f>IF(AND(Stamoplysninger!$B$26="Weekendtimer og weekendtillæg afspadseres.",I11="X"),K11*1.5,0)</f>
        <v>0</v>
      </c>
      <c r="EL11" s="247">
        <f>IF(AND(AND(Stamoplysninger!$B$26="Weekendtimer og weekendtillæg afspadseres.",I11="X",S11="X")),V11*1.5,0)</f>
        <v>0</v>
      </c>
      <c r="EM11" s="665">
        <f>IF(AND(AND(Stamoplysninger!$B$26="Weekendtimer og weekendtillæg afspadseres.",I11="X",C11="ikke relevant")),K11*1.5,0)</f>
        <v>0</v>
      </c>
      <c r="EN11" s="666">
        <f>IF(AND(AND(AND(Stamoplysninger!$B$26="Weekendtimer og weekendtillæg afspadseres.",I11="X",C11="ikke relevant",S11="X"))),(V11*1.5),0)</f>
        <v>0</v>
      </c>
      <c r="EO11" s="279">
        <f>IF(AND(Stamoplysninger!$B$26="Weekendtimer og weekendtillæg udbetales.",I11="X"),K11*1.5,0)</f>
        <v>0</v>
      </c>
      <c r="EP11" s="247">
        <f>IF(AND(AND(Stamoplysninger!$B$26="Weekendtimer og weekendtillæg udbetales.",I11="X",S11="X")),V11*1.5,0)</f>
        <v>0</v>
      </c>
      <c r="EQ11" s="665">
        <f>IF(AND(AND(Stamoplysninger!$B$26="Weekendtimer og weekendtillæg udbetales.",I11="X",C11="ikke relevant")),K11*1.5,0)</f>
        <v>0</v>
      </c>
      <c r="ER11" s="666">
        <f>IF(AND(AND(AND(Stamoplysninger!$B$26="Weekendtimer og weekendtillæg udbetales.",I11="X",C11="ikke relevant",S11="X"))),(V11*1.5),0)</f>
        <v>0</v>
      </c>
      <c r="ES11" s="279">
        <f>IF(AND(Stamoplysninger!$B$26="Der er indgået lokalaftale omkring weekendtimer.(Kræver aftale med TR/FSL) Weekendtillæg afspadseres.",I11="X"),K11*0.5,0)</f>
        <v>0</v>
      </c>
      <c r="ET11" s="247">
        <f>IF(AND(AND(Stamoplysninger!$B$26="Der er indgået lokalaftale omkring weekendtimer.(Kræver aftale med TR/FSL) Weekendtillæg afspadseres.",I11="X",S11="X")),V11*0.5,0)</f>
        <v>0</v>
      </c>
      <c r="EU11" s="665">
        <f>IF(AND(AND(Stamoplysninger!$B$26="Der er indgået lokalaftale omkring weekendtimer.(Kræver aftale med TR/FSL) Weekendtillæg afspadseres.",I11="X",C11="ikke relevant")),K11*0.5,0)</f>
        <v>0</v>
      </c>
      <c r="EV11" s="666">
        <f>IF(AND(AND(AND(Stamoplysninger!$B$26="Der er indgået lokalaftale omkring weekendtimer.(Kræver aftale med TR/FSL) Weekendtillæg afspadseres.",I11="X",C11="ikke relevant",S11="X"))),(V11*0.5),0)</f>
        <v>0</v>
      </c>
      <c r="EW11" s="279">
        <f>IF(AND(Stamoplysninger!$B$26="Der er indgået lokalaftale omkring weekendtimer(Kræver aftale med TR/FSL). Weekendtillæg udbetales.",I11="X"),K11*0.5,0)</f>
        <v>0</v>
      </c>
      <c r="EX11" s="247">
        <f>IF(AND(AND(Stamoplysninger!$B$26="Der er indgået lokalaftale omkring weekendtimer(Kræver aftale med TR/FSL). Weekendtillæg udbetales.",I11="X",S11="X")),V11*0.5,0)</f>
        <v>0</v>
      </c>
      <c r="EY11" s="665">
        <f>IF(AND(AND(Stamoplysninger!$B$26="Der er indgået lokalaftale omkring weekendtimer(Kræver aftale med TR/FSL). Weekendtillæg udbetales.",I11="X",C11="ikke relevant")),K11*0.5,0)</f>
        <v>0</v>
      </c>
      <c r="EZ11" s="666">
        <f>IF(AND(AND(AND(Stamoplysninger!$B$26="Der er indgået lokalaftale omkring weekendtimer(Kræver aftale med TR/FSL). Weekendtillæg udbetales.",I11="X",C11="ikke relevant",S11="X"))),(V11*0.5),0)</f>
        <v>0</v>
      </c>
      <c r="FA11" s="279">
        <f>IF(AND(Stamoplysninger!$B$26="Der er indgået lokalaftale omkring weekendtillæg(Kræver aftale med TR/FSL). Weekendtimerne afspadseres.",I11="X"),K11,0)</f>
        <v>0</v>
      </c>
      <c r="FB11" s="247">
        <f>IF(AND(AND(Stamoplysninger!$B$26="Der er indgået lokalaftale omkring weekendtillæg(Kræver aftale med TR/FSL). Weekendtimerne afspadseres.",I11="X",S11="X")),V11,0)</f>
        <v>0</v>
      </c>
      <c r="FC11" s="665">
        <f>IF(AND(AND(Stamoplysninger!$B$26="Der er indgået lokalaftale omkring weekendtillæg(Kræver aftale med TR/FSL). Weekendtimerne afspadseres..",I11="X",C11="ikke relevant")),K11,0)</f>
        <v>0</v>
      </c>
      <c r="FD11" s="666">
        <f>IF(AND(AND(AND(Stamoplysninger!$B$26="Der er indgået lokalaftale omkring weekendtillæg(Kræver aftale med TR/FSL). Weekendtimerne afspadseres.",I11="X",C11="ikke relevant",S11="X"))),(V11),0)</f>
        <v>0</v>
      </c>
      <c r="FE11" s="279">
        <f>IF(AND(Stamoplysninger!$B$26="Der er indgået lokalaftale omkring weekendtillæg(Kræver aftale med TR/FSL). Weekendtimerne udbetales.",I11="X"),K11,0)</f>
        <v>0</v>
      </c>
      <c r="FF11" s="247">
        <f>IF(AND(AND(Stamoplysninger!$B$26="Der er indgået lokalaftale omkring weekendtillæg(Kræver aftale med TR/FSL). Weekendtimerne udbetales.",I11="X",S11="X")),V11,0)</f>
        <v>0</v>
      </c>
      <c r="FG11" s="665">
        <f>IF(AND(AND(Stamoplysninger!$B$26="Der er indgået lokalaftale omkring weekendtillæg(Kræver aftale med TR/FSL). Weekendtimerne udbetales.",I11="X",C11="ikke relevant")),K11,0)</f>
        <v>0</v>
      </c>
      <c r="FH11" s="666">
        <f>IF(AND(AND(AND(Stamoplysninger!$B$26="Der er indgået lokalaftale omkring weekendtillæg(Kræver aftale med TR/FSL). Weekendtimerne udbetales.",I11="X",C11="ikke relevant",S11="X"))),(V11),0)</f>
        <v>0</v>
      </c>
      <c r="FI11" s="279">
        <f>IF(AND(Stamoplysninger!$B$26="Weekendtimer og weekendtillæg afspadseres.",I11="X"),K11,0)</f>
        <v>0</v>
      </c>
      <c r="FJ11" s="247">
        <f>IF(AND(Stamoplysninger!$B$26="Weekendtimer og weekendtillæg afspadseres.",Y11="X"),(AA11+AL11)/2,0)</f>
        <v>0</v>
      </c>
      <c r="FK11" s="665">
        <f>IF(AND(AND(Stamoplysninger!$B$26="Weekendtimer og weekendtillæg afspadseres.",I11="X",C11="ikke relevant")),K11,0)</f>
        <v>0</v>
      </c>
      <c r="FL11" s="666">
        <f>IF(AND(AND(Stamoplysninger!$B$26="Weekendtimer og weekendtillæg afspadseres.",Y11="X",S11="ikke relevant")),(AA11+AL11)/2,0)</f>
        <v>0</v>
      </c>
      <c r="FM11" s="279">
        <f>IF(AND(Stamoplysninger!$B$26="Der er indgået lokalaftale omkring weekendtillæg(Kræver aftale med TR/FSL). Weekendtimerne afspadseres.",I11="X"),K11,0)</f>
        <v>0</v>
      </c>
      <c r="FN11" s="665">
        <f>IF(AND(AND(Stamoplysninger!$B$26="Der er indgået lokalaftale omkring weekendtillæg(Kræver aftale med TR/FSL). Weekendtimerne afspadseres.",I11="X",C11="ikke relevant")),K11,0)</f>
        <v>0</v>
      </c>
      <c r="FO11" s="279">
        <f>IF(AND(Stamoplysninger!$B$26="Weekendtimer og weekendtillæg udbetales.",I11="X"),K11,0)</f>
        <v>0</v>
      </c>
      <c r="FP11" s="247">
        <f>IF(AND(Stamoplysninger!$B$26="Weekendtimer og weekendtillæg udbetales.",AA11="X"),(AC11+AN11)/2,0)</f>
        <v>0</v>
      </c>
      <c r="FQ11" s="665">
        <f>IF(AND(AND(Stamoplysninger!$B$26="Weekendtimer og weekendtillæg udbetales.",I11="X",C11="ikke relevant")),K11,0)</f>
        <v>0</v>
      </c>
      <c r="FR11" s="679">
        <f>IF(AND(AND(Stamoplysninger!$B$26="Weekendtimer og weekendtillæg udbetales.",AA11="X",U11="ikke relevant")),(AC11+AN11)/2,0)</f>
        <v>0</v>
      </c>
      <c r="FS11" s="279">
        <f t="shared" si="15"/>
        <v>0</v>
      </c>
      <c r="FT11" s="649">
        <f t="shared" si="16"/>
        <v>0</v>
      </c>
      <c r="FU11">
        <f t="shared" si="17"/>
        <v>0</v>
      </c>
      <c r="FV11" s="279">
        <f>IF(AND(Stamoplysninger!$B$26="Der er indgået lokalaftale omkring weekendtimer.(Kræver aftale med TR/FSL) Weekendtillæg afspadseres.",I11="X"),K11,0)</f>
        <v>0</v>
      </c>
      <c r="FW11" s="665">
        <f>IF(AND(AND(Stamoplysninger!$B$26="Der er indgået lokalaftale omkring weekendtimer.(Kræver aftale med TR/FSL) Weekendtillæg afspadseres.",I11="X",C11="ikke relevant")),K11,0)</f>
        <v>0</v>
      </c>
      <c r="FX11" s="279">
        <f>IF(AND(Stamoplysninger!$B$26="Der er indgået lokalaftale omkring weekendtimer(Kræver aftale med TR/FSL). Weekendtillæg udbetales.",I11="X"),K11,0)</f>
        <v>0</v>
      </c>
      <c r="FY11" s="665">
        <f>IF(AND(AND(Stamoplysninger!$B$26="Der er indgået lokalaftale omkring weekendtimer(Kræver aftale med TR/FSL). Weekendtillæg udbetales.",I11="X",C11="ikke relevant")),K11,0)</f>
        <v>0</v>
      </c>
      <c r="FZ11" s="279">
        <f>IF(AND(Stamoplysninger!$B$26="Der er indgået lokalaftale omkring weekendtillæg(Kræver aftale med TR/FSL). Weekendtimerne udbetales.",I11="X"),K11,0)</f>
        <v>0</v>
      </c>
      <c r="GA11" s="665">
        <f>IF(AND(AND(Stamoplysninger!$B$26="Der er indgået lokalaftale omkring weekendtillæg(Kræver aftale med TR/FSL). Weekendtimerne udbetales.",I11="X",C11="ikke relevant")),K11,0)</f>
        <v>0</v>
      </c>
      <c r="GB11" s="279">
        <f>IF(AND(Stamoplysninger!$B$26="Der er indgået lokalaftale omkring weekendtimer og weekendtillæg.(Kræver aftale med TR/FSL).",I11="X"),K11,0)</f>
        <v>0</v>
      </c>
      <c r="GC11" s="665">
        <f>IF(AND(AND(Stamoplysninger!$B$26="Der er indgået lokalaftale omkring weekendtimer og weekendtillæg.(Kræver aftale med TR/FSL).",I11="X",C11="ikke relevant")),K11,0)</f>
        <v>0</v>
      </c>
    </row>
    <row r="12" spans="1:185">
      <c r="A12" s="241">
        <f t="shared" si="18"/>
        <v>4</v>
      </c>
      <c r="B12" s="127" t="str">
        <f t="shared" si="0"/>
        <v>fr</v>
      </c>
      <c r="C12" s="128" t="s">
        <v>206</v>
      </c>
      <c r="D12" s="129" t="str">
        <f t="shared" si="1"/>
        <v/>
      </c>
      <c r="E12" s="932"/>
      <c r="F12" s="933"/>
      <c r="G12" s="934"/>
      <c r="H12" s="294"/>
      <c r="I12" s="519"/>
      <c r="J12" s="407"/>
      <c r="K12" s="374"/>
      <c r="L12" s="374"/>
      <c r="M12" s="374"/>
      <c r="N12" s="313">
        <f t="shared" si="19"/>
        <v>0</v>
      </c>
      <c r="O12" s="313">
        <f t="shared" si="20"/>
        <v>0</v>
      </c>
      <c r="P12" s="313">
        <f>IF(Stamoplysninger!$H$29="JA",Oktober!DG12,CX12)</f>
        <v>0</v>
      </c>
      <c r="Q12" s="313">
        <f t="shared" si="21"/>
        <v>0</v>
      </c>
      <c r="R12" s="314"/>
      <c r="S12" s="319"/>
      <c r="T12" s="320"/>
      <c r="U12" s="320"/>
      <c r="V12" s="429"/>
      <c r="W12" s="406"/>
      <c r="X12" s="633"/>
      <c r="Y12">
        <f t="shared" si="22"/>
        <v>0</v>
      </c>
      <c r="Z12">
        <f t="shared" si="2"/>
        <v>0</v>
      </c>
      <c r="AA12" s="1">
        <f t="shared" si="3"/>
        <v>0</v>
      </c>
      <c r="AB12" s="1">
        <f t="shared" si="4"/>
        <v>0</v>
      </c>
      <c r="AC12" s="1">
        <f t="shared" si="5"/>
        <v>0</v>
      </c>
      <c r="AD12" s="1">
        <f t="shared" si="6"/>
        <v>0</v>
      </c>
      <c r="AE12" s="1">
        <f t="shared" si="7"/>
        <v>0</v>
      </c>
      <c r="AF12" s="1">
        <f>IF(C12="Orlov",7.4*Stamoplysninger!$E$15,0)</f>
        <v>0</v>
      </c>
      <c r="AG12" t="str">
        <f>IF(AND(C12="Skema 1",B12="ma"),Arbejdstidsoversigt!$E$72,"")</f>
        <v/>
      </c>
      <c r="AH12" t="str">
        <f>IF(AND(C12="Skema 1",B12="ti"),Arbejdstidsoversigt!$E$73,"")</f>
        <v/>
      </c>
      <c r="AI12" t="str">
        <f>IF(AND(C12="Skema 1",B12="on"),Arbejdstidsoversigt!$E$74,"")</f>
        <v/>
      </c>
      <c r="AJ12" t="str">
        <f>IF(AND(C12="Skema 1",B12="to"),Arbejdstidsoversigt!$E$75,"")</f>
        <v/>
      </c>
      <c r="AK12">
        <f>IF(AND(C12="Skema 1",B12="fr"),Arbejdstidsoversigt!$E$76,"")</f>
        <v>0</v>
      </c>
      <c r="AL12" t="str">
        <f>IF(AND(C12="Skema 2",B12="ma"),Arbejdstidsoversigt!$E$81,"")</f>
        <v/>
      </c>
      <c r="AM12" t="str">
        <f>IF(AND(C12="Skema 2",B12="ti"),Arbejdstidsoversigt!$E$82,"")</f>
        <v/>
      </c>
      <c r="AN12" t="str">
        <f>IF(AND(C12="Skema 2",B12="on"),Arbejdstidsoversigt!$E$83,"")</f>
        <v/>
      </c>
      <c r="AO12" t="str">
        <f>IF(AND(C12="Skema 2",B12="to"),Arbejdstidsoversigt!$E$84,"")</f>
        <v/>
      </c>
      <c r="AP12" t="str">
        <f>IF(AND(C12="Skema 2",B12="fr"),Arbejdstidsoversigt!$E$85,"")</f>
        <v/>
      </c>
      <c r="AQ12" t="str">
        <f>IF(AND(C12="Skema 3",B12="ma"),Arbejdstidsoversigt!$E$90,"")</f>
        <v/>
      </c>
      <c r="AR12" t="str">
        <f>IF(AND(C12="Skema 3",B12="ti"),Arbejdstidsoversigt!$E$91,"")</f>
        <v/>
      </c>
      <c r="AS12" t="str">
        <f>IF(AND(C12="Skema 3",B12="on"),Arbejdstidsoversigt!$E$92,"")</f>
        <v/>
      </c>
      <c r="AT12" t="str">
        <f>IF(AND(C12="Skema 3",B12="to"),Arbejdstidsoversigt!$E$93,"")</f>
        <v/>
      </c>
      <c r="AU12" t="str">
        <f>IF(AND(C12="Skema 3",B12="fr"),Arbejdstidsoversigt!$E$94,"")</f>
        <v/>
      </c>
      <c r="AV12" t="str">
        <f>IF(AND(C12="Skema 4",B12="ma"),Arbejdstidsoversigt!$E$99,"")</f>
        <v/>
      </c>
      <c r="AW12" t="str">
        <f>IF(AND(C12="Skema 4",B12="ti"),Arbejdstidsoversigt!$E$100,"")</f>
        <v/>
      </c>
      <c r="AX12" t="str">
        <f>IF(AND(C12="Skema 4",B12="on"),Arbejdstidsoversigt!$E$101,"")</f>
        <v/>
      </c>
      <c r="AY12" t="str">
        <f>IF(AND(C12="Skema 4",B12="to"),Arbejdstidsoversigt!$E$102,"")</f>
        <v/>
      </c>
      <c r="AZ12" t="str">
        <f>IF(AND(C12="Skema 4",B12="fr"),Arbejdstidsoversigt!$E$103,"")</f>
        <v/>
      </c>
      <c r="BA12" s="1">
        <f t="shared" si="23"/>
        <v>0</v>
      </c>
      <c r="BB12" s="226">
        <f t="shared" si="8"/>
        <v>0</v>
      </c>
      <c r="BC12" s="1">
        <f t="shared" si="24"/>
        <v>0</v>
      </c>
      <c r="BD12" s="1">
        <f t="shared" si="9"/>
        <v>0</v>
      </c>
      <c r="BE12" s="1">
        <f t="shared" si="10"/>
        <v>0</v>
      </c>
      <c r="BF12" s="1">
        <f t="shared" si="11"/>
        <v>0</v>
      </c>
      <c r="BG12" s="209" t="str">
        <f>IF(AND(C12="Skema 1",B12="ma"),Skemaoplysninger!$E$30,"")</f>
        <v/>
      </c>
      <c r="BH12" s="209" t="str">
        <f>IF(AND(C12="Skema 1",B12="ti"),Skemaoplysninger!$G$30,"")</f>
        <v/>
      </c>
      <c r="BI12" s="209" t="str">
        <f>IF(AND(C12="Skema 1",B12="on"),Skemaoplysninger!$I$30,"")</f>
        <v/>
      </c>
      <c r="BJ12" s="209" t="str">
        <f>IF(AND(C12="Skema 1",B12="to"),Skemaoplysninger!$K$30,"")</f>
        <v/>
      </c>
      <c r="BK12" s="209">
        <f>IF(AND(C12="Skema 1",B12="fr"),Skemaoplysninger!$M$30,"")</f>
        <v>0</v>
      </c>
      <c r="BL12" s="209" t="str">
        <f>IF(AND(C12="Skema 2",B12="ma"),Skemaoplysninger!$S$30,"")</f>
        <v/>
      </c>
      <c r="BM12" s="209" t="str">
        <f>IF(AND(C12="Skema 2",B12="ti"),Skemaoplysninger!$U$30,"")</f>
        <v/>
      </c>
      <c r="BN12" s="209" t="str">
        <f>IF(AND(C12="Skema 2",B12="on"),Skemaoplysninger!$W$30,"")</f>
        <v/>
      </c>
      <c r="BO12" s="209" t="str">
        <f>IF(AND(C12="Skema 2",B12="to"),Skemaoplysninger!$Y$30,"")</f>
        <v/>
      </c>
      <c r="BP12" s="209" t="str">
        <f>IF(AND(C12="Skema 2",B12="fr"),Skemaoplysninger!$AA$30,"")</f>
        <v/>
      </c>
      <c r="BQ12" s="209" t="str">
        <f>IF(AND(C12="Skema 3",B12="ma"),Skemaoplysninger!$AG$30,"")</f>
        <v/>
      </c>
      <c r="BR12" s="209" t="str">
        <f>IF(AND(C12="Skema 3",B12="ti"),Skemaoplysninger!$AI$30,"")</f>
        <v/>
      </c>
      <c r="BS12" s="209" t="str">
        <f>IF(AND(C12="Skema 3",B12="on"),Skemaoplysninger!$AK$30,"")</f>
        <v/>
      </c>
      <c r="BT12" s="209" t="str">
        <f>IF(AND(C12="Skema 3",B12="to"),Skemaoplysninger!$AM$30,"")</f>
        <v/>
      </c>
      <c r="BU12" s="209" t="str">
        <f>IF(AND(C12="Skema 3",B12="fr"),Skemaoplysninger!$AO$30,"")</f>
        <v/>
      </c>
      <c r="BV12" s="209" t="str">
        <f>IF(AND(C12="Skema 4",B12="ma"),Skemaoplysninger!$AU$30,"")</f>
        <v/>
      </c>
      <c r="BW12" s="209" t="str">
        <f>IF(AND(C12="Skema 4",B12="ti"),Skemaoplysninger!$AW$30,"")</f>
        <v/>
      </c>
      <c r="BX12" s="209" t="str">
        <f>IF(AND(C12="Skema 4",B12="on"),Skemaoplysninger!$AY$30,"")</f>
        <v/>
      </c>
      <c r="BY12" s="209" t="str">
        <f>IF(AND(C12="Skema 4",B12="to"),Skemaoplysninger!$BA$30,"")</f>
        <v/>
      </c>
      <c r="BZ12" s="209" t="str">
        <f>IF(AND(C12="Skema 4",B12="fr"),Skemaoplysninger!$BC$30,"")</f>
        <v/>
      </c>
      <c r="CA12" s="1">
        <f t="shared" si="25"/>
        <v>0</v>
      </c>
      <c r="CB12" s="1">
        <f t="shared" si="12"/>
        <v>0</v>
      </c>
      <c r="CC12" s="1">
        <f t="shared" si="13"/>
        <v>0</v>
      </c>
      <c r="CD12" s="209" t="str">
        <f>IF(AND(C12="Skema 1",B12="ma"),Skemaoplysninger!$E$31,"")</f>
        <v/>
      </c>
      <c r="CE12" s="209" t="str">
        <f>IF(AND(C12="Skema 1",B12="ti"),Skemaoplysninger!$G$31,"")</f>
        <v/>
      </c>
      <c r="CF12" s="209" t="str">
        <f>IF(AND(C12="Skema 1",B12="on"),Skemaoplysninger!$I$31,"")</f>
        <v/>
      </c>
      <c r="CG12" s="209" t="str">
        <f>IF(AND(C12="Skema 1",B12="to"),Skemaoplysninger!$K$31,"")</f>
        <v/>
      </c>
      <c r="CH12" s="209">
        <f>IF(AND(C12="Skema 1",B12="fr"),Skemaoplysninger!$M$31,"")</f>
        <v>0</v>
      </c>
      <c r="CI12" s="209" t="str">
        <f>IF(AND(C12="Skema 2",B12="ma"),Skemaoplysninger!$S$31,"")</f>
        <v/>
      </c>
      <c r="CJ12" s="209" t="str">
        <f>IF(AND(C12="Skema 2",B12="ti"),Skemaoplysninger!$U$31,"")</f>
        <v/>
      </c>
      <c r="CK12" s="209" t="str">
        <f>IF(AND(C12="Skema 2",B12="on"),Skemaoplysninger!$W$31,"")</f>
        <v/>
      </c>
      <c r="CL12" s="209" t="str">
        <f>IF(AND(C12="Skema 2",B12="to"),Skemaoplysninger!$Y$31,"")</f>
        <v/>
      </c>
      <c r="CM12" s="209" t="str">
        <f>IF(AND(C12="Skema 2",B12="fr"),Skemaoplysninger!$AA$31,"")</f>
        <v/>
      </c>
      <c r="CN12" s="209" t="str">
        <f>IF(AND(C12="Skema 3",B12="ma"),Skemaoplysninger!$AG$31,"")</f>
        <v/>
      </c>
      <c r="CO12" s="209" t="str">
        <f>IF(AND(C12="Skema 3",B12="ti"),Skemaoplysninger!$AI$31,"")</f>
        <v/>
      </c>
      <c r="CP12" s="209" t="str">
        <f>IF(AND(C12="Skema 3",B12="on"),Skemaoplysninger!$AK$31,"")</f>
        <v/>
      </c>
      <c r="CQ12" s="209" t="str">
        <f>IF(AND(C12="Skema 3",B12="to"),Skemaoplysninger!$AM$31,"")</f>
        <v/>
      </c>
      <c r="CR12" s="209" t="str">
        <f>IF(AND(C12="Skema 3",B12="fr"),Skemaoplysninger!$AO$31,"")</f>
        <v/>
      </c>
      <c r="CS12" s="209" t="str">
        <f>IF(AND(C12="Skema 4",B12="ma"),Skemaoplysninger!$AU$31,"")</f>
        <v/>
      </c>
      <c r="CT12" s="209" t="str">
        <f>IF(AND(C12="Skema 4",B12="ti"),Skemaoplysninger!$AW$31,"")</f>
        <v/>
      </c>
      <c r="CU12" s="209" t="str">
        <f>IF(AND(C12="Skema 4",B12="on"),Skemaoplysninger!$AY$31,"")</f>
        <v/>
      </c>
      <c r="CV12" s="209" t="str">
        <f>IF(AND(C12="Skema 4",B12="to"),Skemaoplysninger!$BA$31,"")</f>
        <v/>
      </c>
      <c r="CW12" s="209" t="str">
        <f>IF(AND(C12="Skema 4",B12="fr"),Skemaoplysninger!$BC$31,"")</f>
        <v/>
      </c>
      <c r="CX12" s="245">
        <f>IF(Stamoplysninger!$H$29="NEJ",SUM(CD12:CW12)*24+CB12+CC12,0)</f>
        <v>0</v>
      </c>
      <c r="CY12" s="245">
        <f>IF(C12="Skema 1",Stamoplysninger!$H$30/200,0)</f>
        <v>0</v>
      </c>
      <c r="CZ12" s="245">
        <f>IF(C12="Skema 2",Stamoplysninger!$H$30/200,0)</f>
        <v>0</v>
      </c>
      <c r="DA12" s="245">
        <f>IF(C12="Skema 3",Stamoplysninger!$H$30/200,0)</f>
        <v>0</v>
      </c>
      <c r="DB12" s="245">
        <f>IF(C12="Skema 4",Stamoplysninger!$H$30/200,0)</f>
        <v>0</v>
      </c>
      <c r="DC12" s="245">
        <f>IF(C12="fagdag",Stamoplysninger!$H$30/200,0)</f>
        <v>0</v>
      </c>
      <c r="DD12" s="245">
        <f>IF(C12="emnedag",Stamoplysninger!$H$30/200,0)</f>
        <v>0</v>
      </c>
      <c r="DE12" s="245">
        <f>IF(C12="lejrskole",Stamoplysninger!$H$30/200,0)</f>
        <v>0</v>
      </c>
      <c r="DF12" s="245">
        <f>IF(C12="ekskursion",Stamoplysninger!$H$30/200,0)</f>
        <v>0</v>
      </c>
      <c r="DG12" s="245">
        <f t="shared" si="26"/>
        <v>0</v>
      </c>
      <c r="DH12" t="str">
        <f t="shared" si="27"/>
        <v/>
      </c>
      <c r="DI12">
        <f t="shared" si="28"/>
        <v>0</v>
      </c>
      <c r="DJ12">
        <f>IF(E12="",H12,"")</f>
        <v>0</v>
      </c>
      <c r="DK12" t="str">
        <f t="shared" si="14"/>
        <v/>
      </c>
      <c r="DL12" t="str">
        <f t="shared" si="14"/>
        <v/>
      </c>
      <c r="DM12" t="str">
        <f t="shared" si="14"/>
        <v/>
      </c>
      <c r="DN12" t="str">
        <f t="shared" si="30"/>
        <v/>
      </c>
      <c r="DO12" s="643">
        <f>IF(AND(Stamoplysninger!$B$22="Ulempetillæg udbetales med 25% af nettotimelønnen.",H12&gt;0),(R12/4),0)</f>
        <v>0</v>
      </c>
      <c r="DP12">
        <f>IF(AND(Stamoplysninger!$B$22="Ulempetillæg udbetales med 25% af nettotimelønnen.",I12="X"),K12/4,0)</f>
        <v>0</v>
      </c>
      <c r="DQ12">
        <f>IF(AND(Stamoplysninger!$B$22="Ulempetillæg udbetales med 25% af nettotimelønnen.",U12="X"),(X12/4),0)</f>
        <v>0</v>
      </c>
      <c r="DR12">
        <f>IF(AND(AND(Stamoplysninger!$B$22="Ulempetillæg udbetales med 25% af nettotimelønnen.",S12="X",I12="X")),V12/4,0)</f>
        <v>0</v>
      </c>
      <c r="DS12" s="662">
        <f>IF(AND(Stamoplysninger!$B$22="Ulempetillæg udbetales med 25% af nettotimelønnen.",C12="ikke relevant"),(R12)/4,0)</f>
        <v>0</v>
      </c>
      <c r="DT12" s="662">
        <f>IF(AND(AND(Stamoplysninger!$B$22="Ulempetillæg udbetales med 25% af nettotimelønnen.",I12="X",C12="Ikke relevant")),K12/4,0)</f>
        <v>0</v>
      </c>
      <c r="DU12" s="662">
        <f>IF(AND(AND(Stamoplysninger!$B$22="Ulempetillæg udbetales med 25% af nettotimelønnen.",C12="ikke relevant",U12="X")),(X12/4),0)</f>
        <v>0</v>
      </c>
      <c r="DV12" s="663">
        <f>IF(AND(AND(AND(Stamoplysninger!$B$22="Ulempetillæg udbetales med 25% af nettotimelønnen.",I12="X",C12="Ikke relevant",S12="X"))),V12/4,0)</f>
        <v>0</v>
      </c>
      <c r="DW12" s="643"/>
      <c r="DZ12" s="662"/>
      <c r="EA12" s="662"/>
      <c r="EB12" s="663"/>
      <c r="EC12" s="643">
        <f>IF(AND(Stamoplysninger!$B$22="Ulempetillæg afspadseres med 25%(Kræver en aftale imellem ledelsen og den ansatte)",H12&gt;0),R12/4,0)</f>
        <v>0</v>
      </c>
      <c r="ED12">
        <f>IF(AND(Stamoplysninger!$B$22="Ulempetillæg afspadseres med 25%(Kræver en aftale imellem ledelsen og den ansatte)",I12="X"),K12/4,0)</f>
        <v>0</v>
      </c>
      <c r="EE12">
        <f>IF(AND(Stamoplysninger!$B$22="Ulempetillæg afspadseres med 25%(Kræver en aftale imellem ledelsen og den ansatte)",U12="X"),X12/4,0)</f>
        <v>0</v>
      </c>
      <c r="EF12">
        <f>IF(AND(AND(Stamoplysninger!$B$22="Ulempetillæg afspadseres med 25%(Kræver en aftale imellem ledelsen og den ansatte)",I12="X",S12="X")),V12/4,0)</f>
        <v>0</v>
      </c>
      <c r="EG12" s="662">
        <f>IF(AND(Stamoplysninger!$B$22="Ulempetillæg afspadseres med 25%(Kræver en aftale imellem ledelsen og den ansatte)",C12="ikke relevant"),(R12)/4,0)</f>
        <v>0</v>
      </c>
      <c r="EH12" s="662">
        <f>IF(AND(AND(Stamoplysninger!$B$22="Ulempetillæg afspadseres med 25%(Kræver en aftale imellem ledelsen og den ansatte)",I12="X",C12="Ikke relevant")),K12/4,0)</f>
        <v>0</v>
      </c>
      <c r="EI12" s="662">
        <f>IF(AND(AND(Stamoplysninger!$B$22="Ulempetillæg afspadseres med 25%(Kræver en aftale imellem ledelsen og den ansatte)",U12="X",C12="Ikke relevant")),X12/4,0)</f>
        <v>0</v>
      </c>
      <c r="EJ12" s="662">
        <f>IF(AND(AND(AND(Stamoplysninger!$B$22="Ulempetillæg afspadseres med 25%(Kræver en aftale imellem ledelsen og den ansatte)",I12="X",C12="Ikke relevant",S12="X"))),V12/4,0)</f>
        <v>0</v>
      </c>
      <c r="EK12" s="279">
        <f>IF(AND(Stamoplysninger!$B$26="Weekendtimer og weekendtillæg afspadseres.",I12="X"),K12*1.5,0)</f>
        <v>0</v>
      </c>
      <c r="EL12" s="247">
        <f>IF(AND(AND(Stamoplysninger!$B$26="Weekendtimer og weekendtillæg afspadseres.",I12="X",S12="X")),V12*1.5,0)</f>
        <v>0</v>
      </c>
      <c r="EM12" s="665">
        <f>IF(AND(AND(Stamoplysninger!$B$26="Weekendtimer og weekendtillæg afspadseres.",I12="X",C12="ikke relevant")),K12*1.5,0)</f>
        <v>0</v>
      </c>
      <c r="EN12" s="666">
        <f>IF(AND(AND(AND(Stamoplysninger!$B$26="Weekendtimer og weekendtillæg afspadseres.",I12="X",C12="ikke relevant",S12="X"))),(V12*1.5),0)</f>
        <v>0</v>
      </c>
      <c r="EO12" s="279">
        <f>IF(AND(Stamoplysninger!$B$26="Weekendtimer og weekendtillæg udbetales.",I12="X"),K12*1.5,0)</f>
        <v>0</v>
      </c>
      <c r="EP12" s="247">
        <f>IF(AND(AND(Stamoplysninger!$B$26="Weekendtimer og weekendtillæg udbetales.",I12="X",S12="X")),V12*1.5,0)</f>
        <v>0</v>
      </c>
      <c r="EQ12" s="665">
        <f>IF(AND(AND(Stamoplysninger!$B$26="Weekendtimer og weekendtillæg udbetales.",I12="X",C12="ikke relevant")),K12*1.5,0)</f>
        <v>0</v>
      </c>
      <c r="ER12" s="666">
        <f>IF(AND(AND(AND(Stamoplysninger!$B$26="Weekendtimer og weekendtillæg udbetales.",I12="X",C12="ikke relevant",S12="X"))),(V12*1.5),0)</f>
        <v>0</v>
      </c>
      <c r="ES12" s="279">
        <f>IF(AND(Stamoplysninger!$B$26="Der er indgået lokalaftale omkring weekendtimer.(Kræver aftale med TR/FSL) Weekendtillæg afspadseres.",I12="X"),K12*0.5,0)</f>
        <v>0</v>
      </c>
      <c r="ET12" s="247">
        <f>IF(AND(AND(Stamoplysninger!$B$26="Der er indgået lokalaftale omkring weekendtimer.(Kræver aftale med TR/FSL) Weekendtillæg afspadseres.",I12="X",S12="X")),V12*0.5,0)</f>
        <v>0</v>
      </c>
      <c r="EU12" s="665">
        <f>IF(AND(AND(Stamoplysninger!$B$26="Der er indgået lokalaftale omkring weekendtimer.(Kræver aftale med TR/FSL) Weekendtillæg afspadseres.",I12="X",C12="ikke relevant")),K12*0.5,0)</f>
        <v>0</v>
      </c>
      <c r="EV12" s="666">
        <f>IF(AND(AND(AND(Stamoplysninger!$B$26="Der er indgået lokalaftale omkring weekendtimer.(Kræver aftale med TR/FSL) Weekendtillæg afspadseres.",I12="X",C12="ikke relevant",S12="X"))),(V12*0.5),0)</f>
        <v>0</v>
      </c>
      <c r="EW12" s="279">
        <f>IF(AND(Stamoplysninger!$B$26="Der er indgået lokalaftale omkring weekendtimer(Kræver aftale med TR/FSL). Weekendtillæg udbetales.",I12="X"),K12*0.5,0)</f>
        <v>0</v>
      </c>
      <c r="EX12" s="247">
        <f>IF(AND(AND(Stamoplysninger!$B$26="Der er indgået lokalaftale omkring weekendtimer(Kræver aftale med TR/FSL). Weekendtillæg udbetales.",I12="X",S12="X")),V12*0.5,0)</f>
        <v>0</v>
      </c>
      <c r="EY12" s="665">
        <f>IF(AND(AND(Stamoplysninger!$B$26="Der er indgået lokalaftale omkring weekendtimer(Kræver aftale med TR/FSL). Weekendtillæg udbetales.",I12="X",C12="ikke relevant")),K12*0.5,0)</f>
        <v>0</v>
      </c>
      <c r="EZ12" s="666">
        <f>IF(AND(AND(AND(Stamoplysninger!$B$26="Der er indgået lokalaftale omkring weekendtimer(Kræver aftale med TR/FSL). Weekendtillæg udbetales.",I12="X",C12="ikke relevant",S12="X"))),(V12*0.5),0)</f>
        <v>0</v>
      </c>
      <c r="FA12" s="279">
        <f>IF(AND(Stamoplysninger!$B$26="Der er indgået lokalaftale omkring weekendtillæg(Kræver aftale med TR/FSL). Weekendtimerne afspadseres.",I12="X"),K12,0)</f>
        <v>0</v>
      </c>
      <c r="FB12" s="247">
        <f>IF(AND(AND(Stamoplysninger!$B$26="Der er indgået lokalaftale omkring weekendtillæg(Kræver aftale med TR/FSL). Weekendtimerne afspadseres.",I12="X",S12="X")),V12,0)</f>
        <v>0</v>
      </c>
      <c r="FC12" s="665">
        <f>IF(AND(AND(Stamoplysninger!$B$26="Der er indgået lokalaftale omkring weekendtillæg(Kræver aftale med TR/FSL). Weekendtimerne afspadseres..",I12="X",C12="ikke relevant")),K12,0)</f>
        <v>0</v>
      </c>
      <c r="FD12" s="666">
        <f>IF(AND(AND(AND(Stamoplysninger!$B$26="Der er indgået lokalaftale omkring weekendtillæg(Kræver aftale med TR/FSL). Weekendtimerne afspadseres.",I12="X",C12="ikke relevant",S12="X"))),(V12),0)</f>
        <v>0</v>
      </c>
      <c r="FE12" s="279">
        <f>IF(AND(Stamoplysninger!$B$26="Der er indgået lokalaftale omkring weekendtillæg(Kræver aftale med TR/FSL). Weekendtimerne udbetales.",I12="X"),K12,0)</f>
        <v>0</v>
      </c>
      <c r="FF12" s="247">
        <f>IF(AND(AND(Stamoplysninger!$B$26="Der er indgået lokalaftale omkring weekendtillæg(Kræver aftale med TR/FSL). Weekendtimerne udbetales.",I12="X",S12="X")),V12,0)</f>
        <v>0</v>
      </c>
      <c r="FG12" s="665">
        <f>IF(AND(AND(Stamoplysninger!$B$26="Der er indgået lokalaftale omkring weekendtillæg(Kræver aftale med TR/FSL). Weekendtimerne udbetales.",I12="X",C12="ikke relevant")),K12,0)</f>
        <v>0</v>
      </c>
      <c r="FH12" s="666">
        <f>IF(AND(AND(AND(Stamoplysninger!$B$26="Der er indgået lokalaftale omkring weekendtillæg(Kræver aftale med TR/FSL). Weekendtimerne udbetales.",I12="X",C12="ikke relevant",S12="X"))),(V12),0)</f>
        <v>0</v>
      </c>
      <c r="FI12" s="279">
        <f>IF(AND(Stamoplysninger!$B$26="Weekendtimer og weekendtillæg afspadseres.",I12="X"),K12,0)</f>
        <v>0</v>
      </c>
      <c r="FJ12" s="247">
        <f>IF(AND(Stamoplysninger!$B$26="Weekendtimer og weekendtillæg afspadseres.",Y12="X"),(AA12+AL12)/2,0)</f>
        <v>0</v>
      </c>
      <c r="FK12" s="665">
        <f>IF(AND(AND(Stamoplysninger!$B$26="Weekendtimer og weekendtillæg afspadseres.",I12="X",C12="ikke relevant")),K12,0)</f>
        <v>0</v>
      </c>
      <c r="FL12" s="666">
        <f>IF(AND(AND(Stamoplysninger!$B$26="Weekendtimer og weekendtillæg afspadseres.",Y12="X",S12="ikke relevant")),(AA12+AL12)/2,0)</f>
        <v>0</v>
      </c>
      <c r="FM12" s="279">
        <f>IF(AND(Stamoplysninger!$B$26="Der er indgået lokalaftale omkring weekendtillæg(Kræver aftale med TR/FSL). Weekendtimerne afspadseres.",I12="X"),K12,0)</f>
        <v>0</v>
      </c>
      <c r="FN12" s="665">
        <f>IF(AND(AND(Stamoplysninger!$B$26="Der er indgået lokalaftale omkring weekendtillæg(Kræver aftale med TR/FSL). Weekendtimerne afspadseres.",I12="X",C12="ikke relevant")),K12,0)</f>
        <v>0</v>
      </c>
      <c r="FO12" s="279">
        <f>IF(AND(Stamoplysninger!$B$26="Weekendtimer og weekendtillæg udbetales.",I12="X"),K12,0)</f>
        <v>0</v>
      </c>
      <c r="FP12" s="247">
        <f>IF(AND(Stamoplysninger!$B$26="Weekendtimer og weekendtillæg udbetales.",AA12="X"),(AC12+AN12)/2,0)</f>
        <v>0</v>
      </c>
      <c r="FQ12" s="665">
        <f>IF(AND(AND(Stamoplysninger!$B$26="Weekendtimer og weekendtillæg udbetales.",I12="X",C12="ikke relevant")),K12,0)</f>
        <v>0</v>
      </c>
      <c r="FR12" s="679">
        <f>IF(AND(AND(Stamoplysninger!$B$26="Weekendtimer og weekendtillæg udbetales.",AA12="X",U12="ikke relevant")),(AC12+AN12)/2,0)</f>
        <v>0</v>
      </c>
      <c r="FS12" s="279">
        <f t="shared" si="15"/>
        <v>0</v>
      </c>
      <c r="FT12" s="649">
        <f t="shared" si="16"/>
        <v>0</v>
      </c>
      <c r="FU12">
        <f t="shared" si="17"/>
        <v>0</v>
      </c>
      <c r="FV12" s="279">
        <f>IF(AND(Stamoplysninger!$B$26="Der er indgået lokalaftale omkring weekendtimer.(Kræver aftale med TR/FSL) Weekendtillæg afspadseres.",I12="X"),K12,0)</f>
        <v>0</v>
      </c>
      <c r="FW12" s="665">
        <f>IF(AND(AND(Stamoplysninger!$B$26="Der er indgået lokalaftale omkring weekendtimer.(Kræver aftale med TR/FSL) Weekendtillæg afspadseres.",I12="X",C12="ikke relevant")),K12,0)</f>
        <v>0</v>
      </c>
      <c r="FX12" s="279">
        <f>IF(AND(Stamoplysninger!$B$26="Der er indgået lokalaftale omkring weekendtimer(Kræver aftale med TR/FSL). Weekendtillæg udbetales.",I12="X"),K12,0)</f>
        <v>0</v>
      </c>
      <c r="FY12" s="665">
        <f>IF(AND(AND(Stamoplysninger!$B$26="Der er indgået lokalaftale omkring weekendtimer(Kræver aftale med TR/FSL). Weekendtillæg udbetales.",I12="X",C12="ikke relevant")),K12,0)</f>
        <v>0</v>
      </c>
      <c r="FZ12" s="279">
        <f>IF(AND(Stamoplysninger!$B$26="Der er indgået lokalaftale omkring weekendtillæg(Kræver aftale med TR/FSL). Weekendtimerne udbetales.",I12="X"),K12,0)</f>
        <v>0</v>
      </c>
      <c r="GA12" s="665">
        <f>IF(AND(AND(Stamoplysninger!$B$26="Der er indgået lokalaftale omkring weekendtillæg(Kræver aftale med TR/FSL). Weekendtimerne udbetales.",I12="X",C12="ikke relevant")),K12,0)</f>
        <v>0</v>
      </c>
      <c r="GB12" s="279">
        <f>IF(AND(Stamoplysninger!$B$26="Der er indgået lokalaftale omkring weekendtimer og weekendtillæg.(Kræver aftale med TR/FSL).",I12="X"),K12,0)</f>
        <v>0</v>
      </c>
      <c r="GC12" s="665">
        <f>IF(AND(AND(Stamoplysninger!$B$26="Der er indgået lokalaftale omkring weekendtimer og weekendtillæg.(Kræver aftale med TR/FSL).",I12="X",C12="ikke relevant")),K12,0)</f>
        <v>0</v>
      </c>
    </row>
    <row r="13" spans="1:185">
      <c r="A13" s="241">
        <f t="shared" si="18"/>
        <v>5</v>
      </c>
      <c r="B13" s="127" t="str">
        <f t="shared" si="0"/>
        <v>lø</v>
      </c>
      <c r="C13" s="128" t="s">
        <v>120</v>
      </c>
      <c r="D13" s="129" t="str">
        <f t="shared" si="1"/>
        <v/>
      </c>
      <c r="E13" s="932"/>
      <c r="F13" s="933"/>
      <c r="G13" s="934"/>
      <c r="H13" s="294"/>
      <c r="I13" s="407"/>
      <c r="J13" s="407"/>
      <c r="K13" s="374"/>
      <c r="L13" s="374"/>
      <c r="M13" s="374"/>
      <c r="N13" s="313">
        <f t="shared" si="19"/>
        <v>0</v>
      </c>
      <c r="O13" s="313">
        <f t="shared" si="20"/>
        <v>0</v>
      </c>
      <c r="P13" s="313">
        <f>IF(Stamoplysninger!$H$29="JA",Oktober!DG13,CX13)</f>
        <v>0</v>
      </c>
      <c r="Q13" s="313">
        <f t="shared" si="21"/>
        <v>0</v>
      </c>
      <c r="R13" s="314"/>
      <c r="S13" s="319"/>
      <c r="T13" s="320"/>
      <c r="U13" s="320"/>
      <c r="V13" s="429"/>
      <c r="W13" s="406"/>
      <c r="X13" s="633"/>
      <c r="Y13">
        <f t="shared" si="22"/>
        <v>0</v>
      </c>
      <c r="Z13">
        <f t="shared" si="2"/>
        <v>0</v>
      </c>
      <c r="AA13" s="1">
        <f t="shared" si="3"/>
        <v>0</v>
      </c>
      <c r="AB13" s="1">
        <f t="shared" si="4"/>
        <v>0</v>
      </c>
      <c r="AC13" s="1">
        <f t="shared" si="5"/>
        <v>0</v>
      </c>
      <c r="AD13" s="1">
        <f t="shared" si="6"/>
        <v>0</v>
      </c>
      <c r="AE13" s="1">
        <f t="shared" si="7"/>
        <v>0</v>
      </c>
      <c r="AF13" s="1">
        <f>IF(C13="Orlov",7.4*Stamoplysninger!$E$15,0)</f>
        <v>0</v>
      </c>
      <c r="AG13" t="str">
        <f>IF(AND(C13="Skema 1",B13="ma"),Arbejdstidsoversigt!$E$72,"")</f>
        <v/>
      </c>
      <c r="AH13" t="str">
        <f>IF(AND(C13="Skema 1",B13="ti"),Arbejdstidsoversigt!$E$73,"")</f>
        <v/>
      </c>
      <c r="AI13" t="str">
        <f>IF(AND(C13="Skema 1",B13="on"),Arbejdstidsoversigt!$E$74,"")</f>
        <v/>
      </c>
      <c r="AJ13" t="str">
        <f>IF(AND(C13="Skema 1",B13="to"),Arbejdstidsoversigt!$E$75,"")</f>
        <v/>
      </c>
      <c r="AK13" t="str">
        <f>IF(AND(C13="Skema 1",B13="fr"),Arbejdstidsoversigt!$E$76,"")</f>
        <v/>
      </c>
      <c r="AL13" t="str">
        <f>IF(AND(C13="Skema 2",B13="ma"),Arbejdstidsoversigt!$E$81,"")</f>
        <v/>
      </c>
      <c r="AM13" t="str">
        <f>IF(AND(C13="Skema 2",B13="ti"),Arbejdstidsoversigt!$E$82,"")</f>
        <v/>
      </c>
      <c r="AN13" t="str">
        <f>IF(AND(C13="Skema 2",B13="on"),Arbejdstidsoversigt!$E$83,"")</f>
        <v/>
      </c>
      <c r="AO13" t="str">
        <f>IF(AND(C13="Skema 2",B13="to"),Arbejdstidsoversigt!$E$84,"")</f>
        <v/>
      </c>
      <c r="AP13" t="str">
        <f>IF(AND(C13="Skema 2",B13="fr"),Arbejdstidsoversigt!$E$85,"")</f>
        <v/>
      </c>
      <c r="AQ13" t="str">
        <f>IF(AND(C13="Skema 3",B13="ma"),Arbejdstidsoversigt!$E$90,"")</f>
        <v/>
      </c>
      <c r="AR13" t="str">
        <f>IF(AND(C13="Skema 3",B13="ti"),Arbejdstidsoversigt!$E$91,"")</f>
        <v/>
      </c>
      <c r="AS13" t="str">
        <f>IF(AND(C13="Skema 3",B13="on"),Arbejdstidsoversigt!$E$92,"")</f>
        <v/>
      </c>
      <c r="AT13" t="str">
        <f>IF(AND(C13="Skema 3",B13="to"),Arbejdstidsoversigt!$E$93,"")</f>
        <v/>
      </c>
      <c r="AU13" t="str">
        <f>IF(AND(C13="Skema 3",B13="fr"),Arbejdstidsoversigt!$E$94,"")</f>
        <v/>
      </c>
      <c r="AV13" t="str">
        <f>IF(AND(C13="Skema 4",B13="ma"),Arbejdstidsoversigt!$E$99,"")</f>
        <v/>
      </c>
      <c r="AW13" t="str">
        <f>IF(AND(C13="Skema 4",B13="ti"),Arbejdstidsoversigt!$E$100,"")</f>
        <v/>
      </c>
      <c r="AX13" t="str">
        <f>IF(AND(C13="Skema 4",B13="on"),Arbejdstidsoversigt!$E$101,"")</f>
        <v/>
      </c>
      <c r="AY13" t="str">
        <f>IF(AND(C13="Skema 4",B13="to"),Arbejdstidsoversigt!$E$102,"")</f>
        <v/>
      </c>
      <c r="AZ13" t="str">
        <f>IF(AND(C13="Skema 4",B13="fr"),Arbejdstidsoversigt!$E$103,"")</f>
        <v/>
      </c>
      <c r="BA13" s="1">
        <f t="shared" si="23"/>
        <v>0</v>
      </c>
      <c r="BB13" s="226">
        <f t="shared" si="8"/>
        <v>0</v>
      </c>
      <c r="BC13" s="1">
        <f t="shared" si="24"/>
        <v>0</v>
      </c>
      <c r="BD13" s="1">
        <f t="shared" si="9"/>
        <v>0</v>
      </c>
      <c r="BE13" s="1">
        <f t="shared" si="10"/>
        <v>0</v>
      </c>
      <c r="BF13" s="1">
        <f t="shared" si="11"/>
        <v>0</v>
      </c>
      <c r="BG13" s="209" t="str">
        <f>IF(AND(C13="Skema 1",B13="ma"),Skemaoplysninger!$E$30,"")</f>
        <v/>
      </c>
      <c r="BH13" s="209" t="str">
        <f>IF(AND(C13="Skema 1",B13="ti"),Skemaoplysninger!$G$30,"")</f>
        <v/>
      </c>
      <c r="BI13" s="209" t="str">
        <f>IF(AND(C13="Skema 1",B13="on"),Skemaoplysninger!$I$30,"")</f>
        <v/>
      </c>
      <c r="BJ13" s="209" t="str">
        <f>IF(AND(C13="Skema 1",B13="to"),Skemaoplysninger!$K$30,"")</f>
        <v/>
      </c>
      <c r="BK13" s="209" t="str">
        <f>IF(AND(C13="Skema 1",B13="fr"),Skemaoplysninger!$M$30,"")</f>
        <v/>
      </c>
      <c r="BL13" s="209" t="str">
        <f>IF(AND(C13="Skema 2",B13="ma"),Skemaoplysninger!$S$30,"")</f>
        <v/>
      </c>
      <c r="BM13" s="209" t="str">
        <f>IF(AND(C13="Skema 2",B13="ti"),Skemaoplysninger!$U$30,"")</f>
        <v/>
      </c>
      <c r="BN13" s="209" t="str">
        <f>IF(AND(C13="Skema 2",B13="on"),Skemaoplysninger!$W$30,"")</f>
        <v/>
      </c>
      <c r="BO13" s="209" t="str">
        <f>IF(AND(C13="Skema 2",B13="to"),Skemaoplysninger!$Y$30,"")</f>
        <v/>
      </c>
      <c r="BP13" s="209" t="str">
        <f>IF(AND(C13="Skema 2",B13="fr"),Skemaoplysninger!$AA$30,"")</f>
        <v/>
      </c>
      <c r="BQ13" s="209" t="str">
        <f>IF(AND(C13="Skema 3",B13="ma"),Skemaoplysninger!$AG$30,"")</f>
        <v/>
      </c>
      <c r="BR13" s="209" t="str">
        <f>IF(AND(C13="Skema 3",B13="ti"),Skemaoplysninger!$AI$30,"")</f>
        <v/>
      </c>
      <c r="BS13" s="209" t="str">
        <f>IF(AND(C13="Skema 3",B13="on"),Skemaoplysninger!$AK$30,"")</f>
        <v/>
      </c>
      <c r="BT13" s="209" t="str">
        <f>IF(AND(C13="Skema 3",B13="to"),Skemaoplysninger!$AM$30,"")</f>
        <v/>
      </c>
      <c r="BU13" s="209" t="str">
        <f>IF(AND(C13="Skema 3",B13="fr"),Skemaoplysninger!$AO$30,"")</f>
        <v/>
      </c>
      <c r="BV13" s="209" t="str">
        <f>IF(AND(C13="Skema 4",B13="ma"),Skemaoplysninger!$AU$30,"")</f>
        <v/>
      </c>
      <c r="BW13" s="209" t="str">
        <f>IF(AND(C13="Skema 4",B13="ti"),Skemaoplysninger!$AW$30,"")</f>
        <v/>
      </c>
      <c r="BX13" s="209" t="str">
        <f>IF(AND(C13="Skema 4",B13="on"),Skemaoplysninger!$AY$30,"")</f>
        <v/>
      </c>
      <c r="BY13" s="209" t="str">
        <f>IF(AND(C13="Skema 4",B13="to"),Skemaoplysninger!$BA$30,"")</f>
        <v/>
      </c>
      <c r="BZ13" s="209" t="str">
        <f>IF(AND(C13="Skema 4",B13="fr"),Skemaoplysninger!$BC$30,"")</f>
        <v/>
      </c>
      <c r="CA13" s="1">
        <f t="shared" si="25"/>
        <v>0</v>
      </c>
      <c r="CB13" s="1">
        <f t="shared" si="12"/>
        <v>0</v>
      </c>
      <c r="CC13" s="1">
        <f t="shared" si="13"/>
        <v>0</v>
      </c>
      <c r="CD13" s="209" t="str">
        <f>IF(AND(C13="Skema 1",B13="ma"),Skemaoplysninger!$E$31,"")</f>
        <v/>
      </c>
      <c r="CE13" s="209" t="str">
        <f>IF(AND(C13="Skema 1",B13="ti"),Skemaoplysninger!$G$31,"")</f>
        <v/>
      </c>
      <c r="CF13" s="209" t="str">
        <f>IF(AND(C13="Skema 1",B13="on"),Skemaoplysninger!$I$31,"")</f>
        <v/>
      </c>
      <c r="CG13" s="209" t="str">
        <f>IF(AND(C13="Skema 1",B13="to"),Skemaoplysninger!$K$31,"")</f>
        <v/>
      </c>
      <c r="CH13" s="209" t="str">
        <f>IF(AND(C13="Skema 1",B13="fr"),Skemaoplysninger!$M$31,"")</f>
        <v/>
      </c>
      <c r="CI13" s="209" t="str">
        <f>IF(AND(C13="Skema 2",B13="ma"),Skemaoplysninger!$S$31,"")</f>
        <v/>
      </c>
      <c r="CJ13" s="209" t="str">
        <f>IF(AND(C13="Skema 2",B13="ti"),Skemaoplysninger!$U$31,"")</f>
        <v/>
      </c>
      <c r="CK13" s="209" t="str">
        <f>IF(AND(C13="Skema 2",B13="on"),Skemaoplysninger!$W$31,"")</f>
        <v/>
      </c>
      <c r="CL13" s="209" t="str">
        <f>IF(AND(C13="Skema 2",B13="to"),Skemaoplysninger!$Y$31,"")</f>
        <v/>
      </c>
      <c r="CM13" s="209" t="str">
        <f>IF(AND(C13="Skema 2",B13="fr"),Skemaoplysninger!$AA$31,"")</f>
        <v/>
      </c>
      <c r="CN13" s="209" t="str">
        <f>IF(AND(C13="Skema 3",B13="ma"),Skemaoplysninger!$AG$31,"")</f>
        <v/>
      </c>
      <c r="CO13" s="209" t="str">
        <f>IF(AND(C13="Skema 3",B13="ti"),Skemaoplysninger!$AI$31,"")</f>
        <v/>
      </c>
      <c r="CP13" s="209" t="str">
        <f>IF(AND(C13="Skema 3",B13="on"),Skemaoplysninger!$AK$31,"")</f>
        <v/>
      </c>
      <c r="CQ13" s="209" t="str">
        <f>IF(AND(C13="Skema 3",B13="to"),Skemaoplysninger!$AM$31,"")</f>
        <v/>
      </c>
      <c r="CR13" s="209" t="str">
        <f>IF(AND(C13="Skema 3",B13="fr"),Skemaoplysninger!$AO$31,"")</f>
        <v/>
      </c>
      <c r="CS13" s="209" t="str">
        <f>IF(AND(C13="Skema 4",B13="ma"),Skemaoplysninger!$AU$31,"")</f>
        <v/>
      </c>
      <c r="CT13" s="209" t="str">
        <f>IF(AND(C13="Skema 4",B13="ti"),Skemaoplysninger!$AW$31,"")</f>
        <v/>
      </c>
      <c r="CU13" s="209" t="str">
        <f>IF(AND(C13="Skema 4",B13="on"),Skemaoplysninger!$AY$31,"")</f>
        <v/>
      </c>
      <c r="CV13" s="209" t="str">
        <f>IF(AND(C13="Skema 4",B13="to"),Skemaoplysninger!$BA$31,"")</f>
        <v/>
      </c>
      <c r="CW13" s="209" t="str">
        <f>IF(AND(C13="Skema 4",B13="fr"),Skemaoplysninger!$BC$31,"")</f>
        <v/>
      </c>
      <c r="CX13" s="245">
        <f>IF(Stamoplysninger!$H$29="NEJ",SUM(CD13:CW13)*24+CB13+CC13,0)</f>
        <v>0</v>
      </c>
      <c r="CY13" s="245">
        <f>IF(C13="Skema 1",Stamoplysninger!$H$30/200,0)</f>
        <v>0</v>
      </c>
      <c r="CZ13" s="245">
        <f>IF(C13="Skema 2",Stamoplysninger!$H$30/200,0)</f>
        <v>0</v>
      </c>
      <c r="DA13" s="245">
        <f>IF(C13="Skema 3",Stamoplysninger!$H$30/200,0)</f>
        <v>0</v>
      </c>
      <c r="DB13" s="245">
        <f>IF(C13="Skema 4",Stamoplysninger!$H$30/200,0)</f>
        <v>0</v>
      </c>
      <c r="DC13" s="245">
        <f>IF(C13="fagdag",Stamoplysninger!$H$30/200,0)</f>
        <v>0</v>
      </c>
      <c r="DD13" s="245">
        <f>IF(C13="emnedag",Stamoplysninger!$H$30/200,0)</f>
        <v>0</v>
      </c>
      <c r="DE13" s="245">
        <f>IF(C13="lejrskole",Stamoplysninger!$H$30/200,0)</f>
        <v>0</v>
      </c>
      <c r="DF13" s="245">
        <f>IF(C13="ekskursion",Stamoplysninger!$H$30/200,0)</f>
        <v>0</v>
      </c>
      <c r="DG13" s="245">
        <f t="shared" si="26"/>
        <v>0</v>
      </c>
      <c r="DH13" t="str">
        <f t="shared" si="27"/>
        <v/>
      </c>
      <c r="DI13">
        <f t="shared" si="28"/>
        <v>0</v>
      </c>
      <c r="DJ13">
        <f t="shared" si="29"/>
        <v>0</v>
      </c>
      <c r="DK13" t="str">
        <f t="shared" si="14"/>
        <v/>
      </c>
      <c r="DL13" t="str">
        <f t="shared" si="14"/>
        <v/>
      </c>
      <c r="DM13" t="str">
        <f t="shared" si="14"/>
        <v/>
      </c>
      <c r="DN13" t="str">
        <f t="shared" si="30"/>
        <v/>
      </c>
      <c r="DO13" s="643">
        <f>IF(AND(Stamoplysninger!$B$22="Ulempetillæg udbetales med 25% af nettotimelønnen.",H13&gt;0),(R13/4),0)</f>
        <v>0</v>
      </c>
      <c r="DP13">
        <f>IF(AND(Stamoplysninger!$B$22="Ulempetillæg udbetales med 25% af nettotimelønnen.",I13="X"),K13/4,0)</f>
        <v>0</v>
      </c>
      <c r="DQ13">
        <f>IF(AND(Stamoplysninger!$B$22="Ulempetillæg udbetales med 25% af nettotimelønnen.",U13="X"),(X13/4),0)</f>
        <v>0</v>
      </c>
      <c r="DR13">
        <f>IF(AND(AND(Stamoplysninger!$B$22="Ulempetillæg udbetales med 25% af nettotimelønnen.",S13="X",I13="X")),V13/4,0)</f>
        <v>0</v>
      </c>
      <c r="DS13" s="662">
        <f>IF(AND(Stamoplysninger!$B$22="Ulempetillæg udbetales med 25% af nettotimelønnen.",C13="ikke relevant"),(R13)/4,0)</f>
        <v>0</v>
      </c>
      <c r="DT13" s="662">
        <f>IF(AND(AND(Stamoplysninger!$B$22="Ulempetillæg udbetales med 25% af nettotimelønnen.",I13="X",C13="Ikke relevant")),K13/4,0)</f>
        <v>0</v>
      </c>
      <c r="DU13" s="662">
        <f>IF(AND(AND(Stamoplysninger!$B$22="Ulempetillæg udbetales med 25% af nettotimelønnen.",C13="ikke relevant",U13="X")),(X13/4),0)</f>
        <v>0</v>
      </c>
      <c r="DV13" s="663">
        <f>IF(AND(AND(AND(Stamoplysninger!$B$22="Ulempetillæg udbetales med 25% af nettotimelønnen.",I13="X",C13="Ikke relevant",S13="X"))),V13/4,0)</f>
        <v>0</v>
      </c>
      <c r="DW13" s="643"/>
      <c r="DZ13" s="662"/>
      <c r="EA13" s="662"/>
      <c r="EB13" s="663"/>
      <c r="EC13" s="643">
        <f>IF(AND(Stamoplysninger!$B$22="Ulempetillæg afspadseres med 25%(Kræver en aftale imellem ledelsen og den ansatte)",H13&gt;0),R13/4,0)</f>
        <v>0</v>
      </c>
      <c r="ED13">
        <f>IF(AND(Stamoplysninger!$B$22="Ulempetillæg afspadseres med 25%(Kræver en aftale imellem ledelsen og den ansatte)",I13="X"),K13/4,0)</f>
        <v>0</v>
      </c>
      <c r="EE13">
        <f>IF(AND(Stamoplysninger!$B$22="Ulempetillæg afspadseres med 25%(Kræver en aftale imellem ledelsen og den ansatte)",U13="X"),X13/4,0)</f>
        <v>0</v>
      </c>
      <c r="EF13">
        <f>IF(AND(AND(Stamoplysninger!$B$22="Ulempetillæg afspadseres med 25%(Kræver en aftale imellem ledelsen og den ansatte)",I13="X",S13="X")),V13/4,0)</f>
        <v>0</v>
      </c>
      <c r="EG13" s="662">
        <f>IF(AND(Stamoplysninger!$B$22="Ulempetillæg afspadseres med 25%(Kræver en aftale imellem ledelsen og den ansatte)",C13="ikke relevant"),(R13)/4,0)</f>
        <v>0</v>
      </c>
      <c r="EH13" s="662">
        <f>IF(AND(AND(Stamoplysninger!$B$22="Ulempetillæg afspadseres med 25%(Kræver en aftale imellem ledelsen og den ansatte)",I13="X",C13="Ikke relevant")),K13/4,0)</f>
        <v>0</v>
      </c>
      <c r="EI13" s="662">
        <f>IF(AND(AND(Stamoplysninger!$B$22="Ulempetillæg afspadseres med 25%(Kræver en aftale imellem ledelsen og den ansatte)",U13="X",C13="Ikke relevant")),X13/4,0)</f>
        <v>0</v>
      </c>
      <c r="EJ13" s="662">
        <f>IF(AND(AND(AND(Stamoplysninger!$B$22="Ulempetillæg afspadseres med 25%(Kræver en aftale imellem ledelsen og den ansatte)",I13="X",C13="Ikke relevant",S13="X"))),V13/4,0)</f>
        <v>0</v>
      </c>
      <c r="EK13" s="279">
        <f>IF(AND(Stamoplysninger!$B$26="Weekendtimer og weekendtillæg afspadseres.",I13="X"),K13*1.5,0)</f>
        <v>0</v>
      </c>
      <c r="EL13" s="247">
        <f>IF(AND(AND(Stamoplysninger!$B$26="Weekendtimer og weekendtillæg afspadseres.",I13="X",S13="X")),V13*1.5,0)</f>
        <v>0</v>
      </c>
      <c r="EM13" s="665">
        <f>IF(AND(AND(Stamoplysninger!$B$26="Weekendtimer og weekendtillæg afspadseres.",I13="X",C13="ikke relevant")),K13*1.5,0)</f>
        <v>0</v>
      </c>
      <c r="EN13" s="666">
        <f>IF(AND(AND(AND(Stamoplysninger!$B$26="Weekendtimer og weekendtillæg afspadseres.",I13="X",C13="ikke relevant",S13="X"))),(V13*1.5),0)</f>
        <v>0</v>
      </c>
      <c r="EO13" s="279">
        <f>IF(AND(Stamoplysninger!$B$26="Weekendtimer og weekendtillæg udbetales.",I13="X"),K13*1.5,0)</f>
        <v>0</v>
      </c>
      <c r="EP13" s="247">
        <f>IF(AND(AND(Stamoplysninger!$B$26="Weekendtimer og weekendtillæg udbetales.",I13="X",S13="X")),V13*1.5,0)</f>
        <v>0</v>
      </c>
      <c r="EQ13" s="665">
        <f>IF(AND(AND(Stamoplysninger!$B$26="Weekendtimer og weekendtillæg udbetales.",I13="X",C13="ikke relevant")),K13*1.5,0)</f>
        <v>0</v>
      </c>
      <c r="ER13" s="666">
        <f>IF(AND(AND(AND(Stamoplysninger!$B$26="Weekendtimer og weekendtillæg udbetales.",I13="X",C13="ikke relevant",S13="X"))),(V13*1.5),0)</f>
        <v>0</v>
      </c>
      <c r="ES13" s="279">
        <f>IF(AND(Stamoplysninger!$B$26="Der er indgået lokalaftale omkring weekendtimer.(Kræver aftale med TR/FSL) Weekendtillæg afspadseres.",I13="X"),K13*0.5,0)</f>
        <v>0</v>
      </c>
      <c r="ET13" s="247">
        <f>IF(AND(AND(Stamoplysninger!$B$26="Der er indgået lokalaftale omkring weekendtimer.(Kræver aftale med TR/FSL) Weekendtillæg afspadseres.",I13="X",S13="X")),V13*0.5,0)</f>
        <v>0</v>
      </c>
      <c r="EU13" s="665">
        <f>IF(AND(AND(Stamoplysninger!$B$26="Der er indgået lokalaftale omkring weekendtimer.(Kræver aftale med TR/FSL) Weekendtillæg afspadseres.",I13="X",C13="ikke relevant")),K13*0.5,0)</f>
        <v>0</v>
      </c>
      <c r="EV13" s="666">
        <f>IF(AND(AND(AND(Stamoplysninger!$B$26="Der er indgået lokalaftale omkring weekendtimer.(Kræver aftale med TR/FSL) Weekendtillæg afspadseres.",I13="X",C13="ikke relevant",S13="X"))),(V13*0.5),0)</f>
        <v>0</v>
      </c>
      <c r="EW13" s="279">
        <f>IF(AND(Stamoplysninger!$B$26="Der er indgået lokalaftale omkring weekendtimer(Kræver aftale med TR/FSL). Weekendtillæg udbetales.",I13="X"),K13*0.5,0)</f>
        <v>0</v>
      </c>
      <c r="EX13" s="247">
        <f>IF(AND(AND(Stamoplysninger!$B$26="Der er indgået lokalaftale omkring weekendtimer(Kræver aftale med TR/FSL). Weekendtillæg udbetales.",I13="X",S13="X")),V13*0.5,0)</f>
        <v>0</v>
      </c>
      <c r="EY13" s="665">
        <f>IF(AND(AND(Stamoplysninger!$B$26="Der er indgået lokalaftale omkring weekendtimer(Kræver aftale med TR/FSL). Weekendtillæg udbetales.",I13="X",C13="ikke relevant")),K13*0.5,0)</f>
        <v>0</v>
      </c>
      <c r="EZ13" s="666">
        <f>IF(AND(AND(AND(Stamoplysninger!$B$26="Der er indgået lokalaftale omkring weekendtimer(Kræver aftale med TR/FSL). Weekendtillæg udbetales.",I13="X",C13="ikke relevant",S13="X"))),(V13*0.5),0)</f>
        <v>0</v>
      </c>
      <c r="FA13" s="279">
        <f>IF(AND(Stamoplysninger!$B$26="Der er indgået lokalaftale omkring weekendtillæg(Kræver aftale med TR/FSL). Weekendtimerne afspadseres.",I13="X"),K13,0)</f>
        <v>0</v>
      </c>
      <c r="FB13" s="247">
        <f>IF(AND(AND(Stamoplysninger!$B$26="Der er indgået lokalaftale omkring weekendtillæg(Kræver aftale med TR/FSL). Weekendtimerne afspadseres.",I13="X",S13="X")),V13,0)</f>
        <v>0</v>
      </c>
      <c r="FC13" s="665">
        <f>IF(AND(AND(Stamoplysninger!$B$26="Der er indgået lokalaftale omkring weekendtillæg(Kræver aftale med TR/FSL). Weekendtimerne afspadseres..",I13="X",C13="ikke relevant")),K13,0)</f>
        <v>0</v>
      </c>
      <c r="FD13" s="666">
        <f>IF(AND(AND(AND(Stamoplysninger!$B$26="Der er indgået lokalaftale omkring weekendtillæg(Kræver aftale med TR/FSL). Weekendtimerne afspadseres.",I13="X",C13="ikke relevant",S13="X"))),(V13),0)</f>
        <v>0</v>
      </c>
      <c r="FE13" s="279">
        <f>IF(AND(Stamoplysninger!$B$26="Der er indgået lokalaftale omkring weekendtillæg(Kræver aftale med TR/FSL). Weekendtimerne udbetales.",I13="X"),K13,0)</f>
        <v>0</v>
      </c>
      <c r="FF13" s="247">
        <f>IF(AND(AND(Stamoplysninger!$B$26="Der er indgået lokalaftale omkring weekendtillæg(Kræver aftale med TR/FSL). Weekendtimerne udbetales.",I13="X",S13="X")),V13,0)</f>
        <v>0</v>
      </c>
      <c r="FG13" s="665">
        <f>IF(AND(AND(Stamoplysninger!$B$26="Der er indgået lokalaftale omkring weekendtillæg(Kræver aftale med TR/FSL). Weekendtimerne udbetales.",I13="X",C13="ikke relevant")),K13,0)</f>
        <v>0</v>
      </c>
      <c r="FH13" s="666">
        <f>IF(AND(AND(AND(Stamoplysninger!$B$26="Der er indgået lokalaftale omkring weekendtillæg(Kræver aftale med TR/FSL). Weekendtimerne udbetales.",I13="X",C13="ikke relevant",S13="X"))),(V13),0)</f>
        <v>0</v>
      </c>
      <c r="FI13" s="279">
        <f>IF(AND(Stamoplysninger!$B$26="Weekendtimer og weekendtillæg afspadseres.",I13="X"),K13,0)</f>
        <v>0</v>
      </c>
      <c r="FJ13" s="247">
        <f>IF(AND(Stamoplysninger!$B$26="Weekendtimer og weekendtillæg afspadseres.",Y13="X"),(AA13+AL13)/2,0)</f>
        <v>0</v>
      </c>
      <c r="FK13" s="665">
        <f>IF(AND(AND(Stamoplysninger!$B$26="Weekendtimer og weekendtillæg afspadseres.",I13="X",C13="ikke relevant")),K13,0)</f>
        <v>0</v>
      </c>
      <c r="FL13" s="666">
        <f>IF(AND(AND(Stamoplysninger!$B$26="Weekendtimer og weekendtillæg afspadseres.",Y13="X",S13="ikke relevant")),(AA13+AL13)/2,0)</f>
        <v>0</v>
      </c>
      <c r="FM13" s="279">
        <f>IF(AND(Stamoplysninger!$B$26="Der er indgået lokalaftale omkring weekendtillæg(Kræver aftale med TR/FSL). Weekendtimerne afspadseres.",I13="X"),K13,0)</f>
        <v>0</v>
      </c>
      <c r="FN13" s="665">
        <f>IF(AND(AND(Stamoplysninger!$B$26="Der er indgået lokalaftale omkring weekendtillæg(Kræver aftale med TR/FSL). Weekendtimerne afspadseres.",I13="X",C13="ikke relevant")),K13,0)</f>
        <v>0</v>
      </c>
      <c r="FO13" s="279">
        <f>IF(AND(Stamoplysninger!$B$26="Weekendtimer og weekendtillæg udbetales.",I13="X"),K13,0)</f>
        <v>0</v>
      </c>
      <c r="FP13" s="247">
        <f>IF(AND(Stamoplysninger!$B$26="Weekendtimer og weekendtillæg udbetales.",AA13="X"),(AC13+AN13)/2,0)</f>
        <v>0</v>
      </c>
      <c r="FQ13" s="665">
        <f>IF(AND(AND(Stamoplysninger!$B$26="Weekendtimer og weekendtillæg udbetales.",I13="X",C13="ikke relevant")),K13,0)</f>
        <v>0</v>
      </c>
      <c r="FR13" s="679">
        <f>IF(AND(AND(Stamoplysninger!$B$26="Weekendtimer og weekendtillæg udbetales.",AA13="X",U13="ikke relevant")),(AC13+AN13)/2,0)</f>
        <v>0</v>
      </c>
      <c r="FS13" s="279">
        <f t="shared" si="15"/>
        <v>0</v>
      </c>
      <c r="FT13" s="649">
        <f t="shared" si="16"/>
        <v>0</v>
      </c>
      <c r="FU13">
        <f t="shared" si="17"/>
        <v>0</v>
      </c>
      <c r="FV13" s="279">
        <f>IF(AND(Stamoplysninger!$B$26="Der er indgået lokalaftale omkring weekendtimer.(Kræver aftale med TR/FSL) Weekendtillæg afspadseres.",I13="X"),K13,0)</f>
        <v>0</v>
      </c>
      <c r="FW13" s="665">
        <f>IF(AND(AND(Stamoplysninger!$B$26="Der er indgået lokalaftale omkring weekendtimer.(Kræver aftale med TR/FSL) Weekendtillæg afspadseres.",I13="X",C13="ikke relevant")),K13,0)</f>
        <v>0</v>
      </c>
      <c r="FX13" s="279">
        <f>IF(AND(Stamoplysninger!$B$26="Der er indgået lokalaftale omkring weekendtimer(Kræver aftale med TR/FSL). Weekendtillæg udbetales.",I13="X"),K13,0)</f>
        <v>0</v>
      </c>
      <c r="FY13" s="665">
        <f>IF(AND(AND(Stamoplysninger!$B$26="Der er indgået lokalaftale omkring weekendtimer(Kræver aftale med TR/FSL). Weekendtillæg udbetales.",I13="X",C13="ikke relevant")),K13,0)</f>
        <v>0</v>
      </c>
      <c r="FZ13" s="279">
        <f>IF(AND(Stamoplysninger!$B$26="Der er indgået lokalaftale omkring weekendtillæg(Kræver aftale med TR/FSL). Weekendtimerne udbetales.",I13="X"),K13,0)</f>
        <v>0</v>
      </c>
      <c r="GA13" s="665">
        <f>IF(AND(AND(Stamoplysninger!$B$26="Der er indgået lokalaftale omkring weekendtillæg(Kræver aftale med TR/FSL). Weekendtimerne udbetales.",I13="X",C13="ikke relevant")),K13,0)</f>
        <v>0</v>
      </c>
      <c r="GB13" s="279">
        <f>IF(AND(Stamoplysninger!$B$26="Der er indgået lokalaftale omkring weekendtimer og weekendtillæg.(Kræver aftale med TR/FSL).",I13="X"),K13,0)</f>
        <v>0</v>
      </c>
      <c r="GC13" s="665">
        <f>IF(AND(AND(Stamoplysninger!$B$26="Der er indgået lokalaftale omkring weekendtimer og weekendtillæg.(Kræver aftale med TR/FSL).",I13="X",C13="ikke relevant")),K13,0)</f>
        <v>0</v>
      </c>
    </row>
    <row r="14" spans="1:185" ht="16" customHeight="1">
      <c r="A14" s="241">
        <f t="shared" si="18"/>
        <v>6</v>
      </c>
      <c r="B14" s="127" t="str">
        <f t="shared" si="0"/>
        <v>sø</v>
      </c>
      <c r="C14" s="128" t="s">
        <v>120</v>
      </c>
      <c r="D14" s="129" t="str">
        <f t="shared" si="1"/>
        <v/>
      </c>
      <c r="E14" s="932"/>
      <c r="F14" s="933"/>
      <c r="G14" s="934"/>
      <c r="H14" s="294"/>
      <c r="I14" s="407"/>
      <c r="J14" s="407"/>
      <c r="K14" s="374"/>
      <c r="L14" s="374"/>
      <c r="M14" s="374"/>
      <c r="N14" s="313">
        <f t="shared" si="19"/>
        <v>0</v>
      </c>
      <c r="O14" s="313">
        <f t="shared" si="20"/>
        <v>0</v>
      </c>
      <c r="P14" s="313">
        <f>IF(Stamoplysninger!$H$29="JA",Oktober!DG14,CX14)</f>
        <v>0</v>
      </c>
      <c r="Q14" s="313">
        <f t="shared" si="21"/>
        <v>0</v>
      </c>
      <c r="R14" s="314"/>
      <c r="S14" s="319"/>
      <c r="T14" s="320"/>
      <c r="U14" s="320"/>
      <c r="V14" s="429"/>
      <c r="W14" s="406"/>
      <c r="X14" s="633"/>
      <c r="Y14">
        <f t="shared" si="22"/>
        <v>0</v>
      </c>
      <c r="Z14">
        <f t="shared" si="2"/>
        <v>0</v>
      </c>
      <c r="AA14" s="1">
        <f t="shared" si="3"/>
        <v>0</v>
      </c>
      <c r="AB14" s="1">
        <f t="shared" si="4"/>
        <v>0</v>
      </c>
      <c r="AC14" s="1">
        <f t="shared" si="5"/>
        <v>0</v>
      </c>
      <c r="AD14" s="1">
        <f t="shared" si="6"/>
        <v>0</v>
      </c>
      <c r="AE14" s="1">
        <f t="shared" si="7"/>
        <v>0</v>
      </c>
      <c r="AF14" s="1">
        <f>IF(C14="Orlov",7.4*Stamoplysninger!$E$15,0)</f>
        <v>0</v>
      </c>
      <c r="AG14" t="str">
        <f>IF(AND(C14="Skema 1",B14="ma"),Arbejdstidsoversigt!$E$72,"")</f>
        <v/>
      </c>
      <c r="AH14" t="str">
        <f>IF(AND(C14="Skema 1",B14="ti"),Arbejdstidsoversigt!$E$73,"")</f>
        <v/>
      </c>
      <c r="AI14" t="str">
        <f>IF(AND(C14="Skema 1",B14="on"),Arbejdstidsoversigt!$E$74,"")</f>
        <v/>
      </c>
      <c r="AJ14" t="str">
        <f>IF(AND(C14="Skema 1",B14="to"),Arbejdstidsoversigt!$E$75,"")</f>
        <v/>
      </c>
      <c r="AK14" t="str">
        <f>IF(AND(C14="Skema 1",B14="fr"),Arbejdstidsoversigt!$E$76,"")</f>
        <v/>
      </c>
      <c r="AL14" t="str">
        <f>IF(AND(C14="Skema 2",B14="ma"),Arbejdstidsoversigt!$E$81,"")</f>
        <v/>
      </c>
      <c r="AM14" t="str">
        <f>IF(AND(C14="Skema 2",B14="ti"),Arbejdstidsoversigt!$E$82,"")</f>
        <v/>
      </c>
      <c r="AN14" t="str">
        <f>IF(AND(C14="Skema 2",B14="on"),Arbejdstidsoversigt!$E$83,"")</f>
        <v/>
      </c>
      <c r="AO14" t="str">
        <f>IF(AND(C14="Skema 2",B14="to"),Arbejdstidsoversigt!$E$84,"")</f>
        <v/>
      </c>
      <c r="AP14" t="str">
        <f>IF(AND(C14="Skema 2",B14="fr"),Arbejdstidsoversigt!$E$85,"")</f>
        <v/>
      </c>
      <c r="AQ14" t="str">
        <f>IF(AND(C14="Skema 3",B14="ma"),Arbejdstidsoversigt!$E$90,"")</f>
        <v/>
      </c>
      <c r="AR14" t="str">
        <f>IF(AND(C14="Skema 3",B14="ti"),Arbejdstidsoversigt!$E$91,"")</f>
        <v/>
      </c>
      <c r="AS14" t="str">
        <f>IF(AND(C14="Skema 3",B14="on"),Arbejdstidsoversigt!$E$92,"")</f>
        <v/>
      </c>
      <c r="AT14" t="str">
        <f>IF(AND(C14="Skema 3",B14="to"),Arbejdstidsoversigt!$E$93,"")</f>
        <v/>
      </c>
      <c r="AU14" t="str">
        <f>IF(AND(C14="Skema 3",B14="fr"),Arbejdstidsoversigt!$E$94,"")</f>
        <v/>
      </c>
      <c r="AV14" t="str">
        <f>IF(AND(C14="Skema 4",B14="ma"),Arbejdstidsoversigt!$E$99,"")</f>
        <v/>
      </c>
      <c r="AW14" t="str">
        <f>IF(AND(C14="Skema 4",B14="ti"),Arbejdstidsoversigt!$E$100,"")</f>
        <v/>
      </c>
      <c r="AX14" t="str">
        <f>IF(AND(C14="Skema 4",B14="on"),Arbejdstidsoversigt!$E$101,"")</f>
        <v/>
      </c>
      <c r="AY14" t="str">
        <f>IF(AND(C14="Skema 4",B14="to"),Arbejdstidsoversigt!$E$102,"")</f>
        <v/>
      </c>
      <c r="AZ14" t="str">
        <f>IF(AND(C14="Skema 4",B14="fr"),Arbejdstidsoversigt!$E$103,"")</f>
        <v/>
      </c>
      <c r="BA14" s="1">
        <f t="shared" si="23"/>
        <v>0</v>
      </c>
      <c r="BB14" s="226">
        <f t="shared" si="8"/>
        <v>0</v>
      </c>
      <c r="BC14" s="1">
        <f t="shared" si="24"/>
        <v>0</v>
      </c>
      <c r="BD14" s="1">
        <f t="shared" si="9"/>
        <v>0</v>
      </c>
      <c r="BE14" s="1">
        <f t="shared" si="10"/>
        <v>0</v>
      </c>
      <c r="BF14" s="1">
        <f t="shared" si="11"/>
        <v>0</v>
      </c>
      <c r="BG14" s="209" t="str">
        <f>IF(AND(C14="Skema 1",B14="ma"),Skemaoplysninger!$E$30,"")</f>
        <v/>
      </c>
      <c r="BH14" s="209" t="str">
        <f>IF(AND(C14="Skema 1",B14="ti"),Skemaoplysninger!$G$30,"")</f>
        <v/>
      </c>
      <c r="BI14" s="209" t="str">
        <f>IF(AND(C14="Skema 1",B14="on"),Skemaoplysninger!$I$30,"")</f>
        <v/>
      </c>
      <c r="BJ14" s="209" t="str">
        <f>IF(AND(C14="Skema 1",B14="to"),Skemaoplysninger!$K$30,"")</f>
        <v/>
      </c>
      <c r="BK14" s="209" t="str">
        <f>IF(AND(C14="Skema 1",B14="fr"),Skemaoplysninger!$M$30,"")</f>
        <v/>
      </c>
      <c r="BL14" s="209" t="str">
        <f>IF(AND(C14="Skema 2",B14="ma"),Skemaoplysninger!$S$30,"")</f>
        <v/>
      </c>
      <c r="BM14" s="209" t="str">
        <f>IF(AND(C14="Skema 2",B14="ti"),Skemaoplysninger!$U$30,"")</f>
        <v/>
      </c>
      <c r="BN14" s="209" t="str">
        <f>IF(AND(C14="Skema 2",B14="on"),Skemaoplysninger!$W$30,"")</f>
        <v/>
      </c>
      <c r="BO14" s="209" t="str">
        <f>IF(AND(C14="Skema 2",B14="to"),Skemaoplysninger!$Y$30,"")</f>
        <v/>
      </c>
      <c r="BP14" s="209" t="str">
        <f>IF(AND(C14="Skema 2",B14="fr"),Skemaoplysninger!$AA$30,"")</f>
        <v/>
      </c>
      <c r="BQ14" s="209" t="str">
        <f>IF(AND(C14="Skema 3",B14="ma"),Skemaoplysninger!$AG$30,"")</f>
        <v/>
      </c>
      <c r="BR14" s="209" t="str">
        <f>IF(AND(C14="Skema 3",B14="ti"),Skemaoplysninger!$AI$30,"")</f>
        <v/>
      </c>
      <c r="BS14" s="209" t="str">
        <f>IF(AND(C14="Skema 3",B14="on"),Skemaoplysninger!$AK$30,"")</f>
        <v/>
      </c>
      <c r="BT14" s="209" t="str">
        <f>IF(AND(C14="Skema 3",B14="to"),Skemaoplysninger!$AM$30,"")</f>
        <v/>
      </c>
      <c r="BU14" s="209" t="str">
        <f>IF(AND(C14="Skema 3",B14="fr"),Skemaoplysninger!$AO$30,"")</f>
        <v/>
      </c>
      <c r="BV14" s="209" t="str">
        <f>IF(AND(C14="Skema 4",B14="ma"),Skemaoplysninger!$AU$30,"")</f>
        <v/>
      </c>
      <c r="BW14" s="209" t="str">
        <f>IF(AND(C14="Skema 4",B14="ti"),Skemaoplysninger!$AW$30,"")</f>
        <v/>
      </c>
      <c r="BX14" s="209" t="str">
        <f>IF(AND(C14="Skema 4",B14="on"),Skemaoplysninger!$AY$30,"")</f>
        <v/>
      </c>
      <c r="BY14" s="209" t="str">
        <f>IF(AND(C14="Skema 4",B14="to"),Skemaoplysninger!$BA$30,"")</f>
        <v/>
      </c>
      <c r="BZ14" s="209" t="str">
        <f>IF(AND(C14="Skema 4",B14="fr"),Skemaoplysninger!$BC$30,"")</f>
        <v/>
      </c>
      <c r="CA14" s="1">
        <f t="shared" si="25"/>
        <v>0</v>
      </c>
      <c r="CB14" s="1">
        <f t="shared" si="12"/>
        <v>0</v>
      </c>
      <c r="CC14" s="1">
        <f t="shared" si="13"/>
        <v>0</v>
      </c>
      <c r="CD14" s="209" t="str">
        <f>IF(AND(C14="Skema 1",B14="ma"),Skemaoplysninger!$E$31,"")</f>
        <v/>
      </c>
      <c r="CE14" s="209" t="str">
        <f>IF(AND(C14="Skema 1",B14="ti"),Skemaoplysninger!$G$31,"")</f>
        <v/>
      </c>
      <c r="CF14" s="209" t="str">
        <f>IF(AND(C14="Skema 1",B14="on"),Skemaoplysninger!$I$31,"")</f>
        <v/>
      </c>
      <c r="CG14" s="209" t="str">
        <f>IF(AND(C14="Skema 1",B14="to"),Skemaoplysninger!$K$31,"")</f>
        <v/>
      </c>
      <c r="CH14" s="209" t="str">
        <f>IF(AND(C14="Skema 1",B14="fr"),Skemaoplysninger!$M$31,"")</f>
        <v/>
      </c>
      <c r="CI14" s="209" t="str">
        <f>IF(AND(C14="Skema 2",B14="ma"),Skemaoplysninger!$S$31,"")</f>
        <v/>
      </c>
      <c r="CJ14" s="209" t="str">
        <f>IF(AND(C14="Skema 2",B14="ti"),Skemaoplysninger!$U$31,"")</f>
        <v/>
      </c>
      <c r="CK14" s="209" t="str">
        <f>IF(AND(C14="Skema 2",B14="on"),Skemaoplysninger!$W$31,"")</f>
        <v/>
      </c>
      <c r="CL14" s="209" t="str">
        <f>IF(AND(C14="Skema 2",B14="to"),Skemaoplysninger!$Y$31,"")</f>
        <v/>
      </c>
      <c r="CM14" s="209" t="str">
        <f>IF(AND(C14="Skema 2",B14="fr"),Skemaoplysninger!$AA$31,"")</f>
        <v/>
      </c>
      <c r="CN14" s="209" t="str">
        <f>IF(AND(C14="Skema 3",B14="ma"),Skemaoplysninger!$AG$31,"")</f>
        <v/>
      </c>
      <c r="CO14" s="209" t="str">
        <f>IF(AND(C14="Skema 3",B14="ti"),Skemaoplysninger!$AI$31,"")</f>
        <v/>
      </c>
      <c r="CP14" s="209" t="str">
        <f>IF(AND(C14="Skema 3",B14="on"),Skemaoplysninger!$AK$31,"")</f>
        <v/>
      </c>
      <c r="CQ14" s="209" t="str">
        <f>IF(AND(C14="Skema 3",B14="to"),Skemaoplysninger!$AM$31,"")</f>
        <v/>
      </c>
      <c r="CR14" s="209" t="str">
        <f>IF(AND(C14="Skema 3",B14="fr"),Skemaoplysninger!$AO$31,"")</f>
        <v/>
      </c>
      <c r="CS14" s="209" t="str">
        <f>IF(AND(C14="Skema 4",B14="ma"),Skemaoplysninger!$AU$31,"")</f>
        <v/>
      </c>
      <c r="CT14" s="209" t="str">
        <f>IF(AND(C14="Skema 4",B14="ti"),Skemaoplysninger!$AW$31,"")</f>
        <v/>
      </c>
      <c r="CU14" s="209" t="str">
        <f>IF(AND(C14="Skema 4",B14="on"),Skemaoplysninger!$AY$31,"")</f>
        <v/>
      </c>
      <c r="CV14" s="209" t="str">
        <f>IF(AND(C14="Skema 4",B14="to"),Skemaoplysninger!$BA$31,"")</f>
        <v/>
      </c>
      <c r="CW14" s="209" t="str">
        <f>IF(AND(C14="Skema 4",B14="fr"),Skemaoplysninger!$BC$31,"")</f>
        <v/>
      </c>
      <c r="CX14" s="245">
        <f>IF(Stamoplysninger!$H$29="NEJ",SUM(CD14:CW14)*24+CB14+CC14,0)</f>
        <v>0</v>
      </c>
      <c r="CY14" s="245">
        <f>IF(C14="Skema 1",Stamoplysninger!$H$30/200,0)</f>
        <v>0</v>
      </c>
      <c r="CZ14" s="245">
        <f>IF(C14="Skema 2",Stamoplysninger!$H$30/200,0)</f>
        <v>0</v>
      </c>
      <c r="DA14" s="245">
        <f>IF(C14="Skema 3",Stamoplysninger!$H$30/200,0)</f>
        <v>0</v>
      </c>
      <c r="DB14" s="245">
        <f>IF(C14="Skema 4",Stamoplysninger!$H$30/200,0)</f>
        <v>0</v>
      </c>
      <c r="DC14" s="245">
        <f>IF(C14="fagdag",Stamoplysninger!$H$30/200,0)</f>
        <v>0</v>
      </c>
      <c r="DD14" s="245">
        <f>IF(C14="emnedag",Stamoplysninger!$H$30/200,0)</f>
        <v>0</v>
      </c>
      <c r="DE14" s="245">
        <f>IF(C14="lejrskole",Stamoplysninger!$H$30/200,0)</f>
        <v>0</v>
      </c>
      <c r="DF14" s="245">
        <f>IF(C14="ekskursion",Stamoplysninger!$H$30/200,0)</f>
        <v>0</v>
      </c>
      <c r="DG14" s="245">
        <f t="shared" si="26"/>
        <v>0</v>
      </c>
      <c r="DH14" t="str">
        <f t="shared" si="27"/>
        <v/>
      </c>
      <c r="DI14">
        <f t="shared" si="28"/>
        <v>0</v>
      </c>
      <c r="DJ14">
        <f t="shared" si="29"/>
        <v>0</v>
      </c>
      <c r="DK14" t="str">
        <f t="shared" si="14"/>
        <v/>
      </c>
      <c r="DL14" t="str">
        <f t="shared" si="14"/>
        <v/>
      </c>
      <c r="DM14" t="str">
        <f t="shared" si="14"/>
        <v/>
      </c>
      <c r="DN14" t="str">
        <f t="shared" si="30"/>
        <v/>
      </c>
      <c r="DO14" s="643">
        <f>IF(AND(Stamoplysninger!$B$22="Ulempetillæg udbetales med 25% af nettotimelønnen.",H14&gt;0),(R14/4),0)</f>
        <v>0</v>
      </c>
      <c r="DP14">
        <f>IF(AND(Stamoplysninger!$B$22="Ulempetillæg udbetales med 25% af nettotimelønnen.",I14="X"),K14/4,0)</f>
        <v>0</v>
      </c>
      <c r="DQ14">
        <f>IF(AND(Stamoplysninger!$B$22="Ulempetillæg udbetales med 25% af nettotimelønnen.",U14="X"),(X14/4),0)</f>
        <v>0</v>
      </c>
      <c r="DR14">
        <f>IF(AND(AND(Stamoplysninger!$B$22="Ulempetillæg udbetales med 25% af nettotimelønnen.",S14="X",I14="X")),V14/4,0)</f>
        <v>0</v>
      </c>
      <c r="DS14" s="662">
        <f>IF(AND(Stamoplysninger!$B$22="Ulempetillæg udbetales med 25% af nettotimelønnen.",C14="ikke relevant"),(R14)/4,0)</f>
        <v>0</v>
      </c>
      <c r="DT14" s="662">
        <f>IF(AND(AND(Stamoplysninger!$B$22="Ulempetillæg udbetales med 25% af nettotimelønnen.",I14="X",C14="Ikke relevant")),K14/4,0)</f>
        <v>0</v>
      </c>
      <c r="DU14" s="662">
        <f>IF(AND(AND(Stamoplysninger!$B$22="Ulempetillæg udbetales med 25% af nettotimelønnen.",C14="ikke relevant",U14="X")),(X14/4),0)</f>
        <v>0</v>
      </c>
      <c r="DV14" s="663">
        <f>IF(AND(AND(AND(Stamoplysninger!$B$22="Ulempetillæg udbetales med 25% af nettotimelønnen.",I14="X",C14="Ikke relevant",S14="X"))),V14/4,0)</f>
        <v>0</v>
      </c>
      <c r="DW14" s="643"/>
      <c r="DZ14" s="662"/>
      <c r="EA14" s="662"/>
      <c r="EB14" s="663"/>
      <c r="EC14" s="643">
        <f>IF(AND(Stamoplysninger!$B$22="Ulempetillæg afspadseres med 25%(Kræver en aftale imellem ledelsen og den ansatte)",H14&gt;0),R14/4,0)</f>
        <v>0</v>
      </c>
      <c r="ED14">
        <f>IF(AND(Stamoplysninger!$B$22="Ulempetillæg afspadseres med 25%(Kræver en aftale imellem ledelsen og den ansatte)",I14="X"),K14/4,0)</f>
        <v>0</v>
      </c>
      <c r="EE14">
        <f>IF(AND(Stamoplysninger!$B$22="Ulempetillæg afspadseres med 25%(Kræver en aftale imellem ledelsen og den ansatte)",U14="X"),X14/4,0)</f>
        <v>0</v>
      </c>
      <c r="EF14">
        <f>IF(AND(AND(Stamoplysninger!$B$22="Ulempetillæg afspadseres med 25%(Kræver en aftale imellem ledelsen og den ansatte)",I14="X",S14="X")),V14/4,0)</f>
        <v>0</v>
      </c>
      <c r="EG14" s="662">
        <f>IF(AND(Stamoplysninger!$B$22="Ulempetillæg afspadseres med 25%(Kræver en aftale imellem ledelsen og den ansatte)",C14="ikke relevant"),(R14)/4,0)</f>
        <v>0</v>
      </c>
      <c r="EH14" s="662">
        <f>IF(AND(AND(Stamoplysninger!$B$22="Ulempetillæg afspadseres med 25%(Kræver en aftale imellem ledelsen og den ansatte)",I14="X",C14="Ikke relevant")),K14/4,0)</f>
        <v>0</v>
      </c>
      <c r="EI14" s="662">
        <f>IF(AND(AND(Stamoplysninger!$B$22="Ulempetillæg afspadseres med 25%(Kræver en aftale imellem ledelsen og den ansatte)",U14="X",C14="Ikke relevant")),X14/4,0)</f>
        <v>0</v>
      </c>
      <c r="EJ14" s="662">
        <f>IF(AND(AND(AND(Stamoplysninger!$B$22="Ulempetillæg afspadseres med 25%(Kræver en aftale imellem ledelsen og den ansatte)",I14="X",C14="Ikke relevant",S14="X"))),V14/4,0)</f>
        <v>0</v>
      </c>
      <c r="EK14" s="279">
        <f>IF(AND(Stamoplysninger!$B$26="Weekendtimer og weekendtillæg afspadseres.",I14="X"),K14*1.5,0)</f>
        <v>0</v>
      </c>
      <c r="EL14" s="247">
        <f>IF(AND(AND(Stamoplysninger!$B$26="Weekendtimer og weekendtillæg afspadseres.",I14="X",S14="X")),V14*1.5,0)</f>
        <v>0</v>
      </c>
      <c r="EM14" s="665">
        <f>IF(AND(AND(Stamoplysninger!$B$26="Weekendtimer og weekendtillæg afspadseres.",I14="X",C14="ikke relevant")),K14*1.5,0)</f>
        <v>0</v>
      </c>
      <c r="EN14" s="666">
        <f>IF(AND(AND(AND(Stamoplysninger!$B$26="Weekendtimer og weekendtillæg afspadseres.",I14="X",C14="ikke relevant",S14="X"))),(V14*1.5),0)</f>
        <v>0</v>
      </c>
      <c r="EO14" s="279">
        <f>IF(AND(Stamoplysninger!$B$26="Weekendtimer og weekendtillæg udbetales.",I14="X"),K14*1.5,0)</f>
        <v>0</v>
      </c>
      <c r="EP14" s="247">
        <f>IF(AND(AND(Stamoplysninger!$B$26="Weekendtimer og weekendtillæg udbetales.",I14="X",S14="X")),V14*1.5,0)</f>
        <v>0</v>
      </c>
      <c r="EQ14" s="665">
        <f>IF(AND(AND(Stamoplysninger!$B$26="Weekendtimer og weekendtillæg udbetales.",I14="X",C14="ikke relevant")),K14*1.5,0)</f>
        <v>0</v>
      </c>
      <c r="ER14" s="666">
        <f>IF(AND(AND(AND(Stamoplysninger!$B$26="Weekendtimer og weekendtillæg udbetales.",I14="X",C14="ikke relevant",S14="X"))),(V14*1.5),0)</f>
        <v>0</v>
      </c>
      <c r="ES14" s="279">
        <f>IF(AND(Stamoplysninger!$B$26="Der er indgået lokalaftale omkring weekendtimer.(Kræver aftale med TR/FSL) Weekendtillæg afspadseres.",I14="X"),K14*0.5,0)</f>
        <v>0</v>
      </c>
      <c r="ET14" s="247">
        <f>IF(AND(AND(Stamoplysninger!$B$26="Der er indgået lokalaftale omkring weekendtimer.(Kræver aftale med TR/FSL) Weekendtillæg afspadseres.",I14="X",S14="X")),V14*0.5,0)</f>
        <v>0</v>
      </c>
      <c r="EU14" s="665">
        <f>IF(AND(AND(Stamoplysninger!$B$26="Der er indgået lokalaftale omkring weekendtimer.(Kræver aftale med TR/FSL) Weekendtillæg afspadseres.",I14="X",C14="ikke relevant")),K14*0.5,0)</f>
        <v>0</v>
      </c>
      <c r="EV14" s="666">
        <f>IF(AND(AND(AND(Stamoplysninger!$B$26="Der er indgået lokalaftale omkring weekendtimer.(Kræver aftale med TR/FSL) Weekendtillæg afspadseres.",I14="X",C14="ikke relevant",S14="X"))),(V14*0.5),0)</f>
        <v>0</v>
      </c>
      <c r="EW14" s="279">
        <f>IF(AND(Stamoplysninger!$B$26="Der er indgået lokalaftale omkring weekendtimer(Kræver aftale med TR/FSL). Weekendtillæg udbetales.",I14="X"),K14*0.5,0)</f>
        <v>0</v>
      </c>
      <c r="EX14" s="247">
        <f>IF(AND(AND(Stamoplysninger!$B$26="Der er indgået lokalaftale omkring weekendtimer(Kræver aftale med TR/FSL). Weekendtillæg udbetales.",I14="X",S14="X")),V14*0.5,0)</f>
        <v>0</v>
      </c>
      <c r="EY14" s="665">
        <f>IF(AND(AND(Stamoplysninger!$B$26="Der er indgået lokalaftale omkring weekendtimer(Kræver aftale med TR/FSL). Weekendtillæg udbetales.",I14="X",C14="ikke relevant")),K14*0.5,0)</f>
        <v>0</v>
      </c>
      <c r="EZ14" s="666">
        <f>IF(AND(AND(AND(Stamoplysninger!$B$26="Der er indgået lokalaftale omkring weekendtimer(Kræver aftale med TR/FSL). Weekendtillæg udbetales.",I14="X",C14="ikke relevant",S14="X"))),(V14*0.5),0)</f>
        <v>0</v>
      </c>
      <c r="FA14" s="279">
        <f>IF(AND(Stamoplysninger!$B$26="Der er indgået lokalaftale omkring weekendtillæg(Kræver aftale med TR/FSL). Weekendtimerne afspadseres.",I14="X"),K14,0)</f>
        <v>0</v>
      </c>
      <c r="FB14" s="247">
        <f>IF(AND(AND(Stamoplysninger!$B$26="Der er indgået lokalaftale omkring weekendtillæg(Kræver aftale med TR/FSL). Weekendtimerne afspadseres.",I14="X",S14="X")),V14,0)</f>
        <v>0</v>
      </c>
      <c r="FC14" s="665">
        <f>IF(AND(AND(Stamoplysninger!$B$26="Der er indgået lokalaftale omkring weekendtillæg(Kræver aftale med TR/FSL). Weekendtimerne afspadseres..",I14="X",C14="ikke relevant")),K14,0)</f>
        <v>0</v>
      </c>
      <c r="FD14" s="666">
        <f>IF(AND(AND(AND(Stamoplysninger!$B$26="Der er indgået lokalaftale omkring weekendtillæg(Kræver aftale med TR/FSL). Weekendtimerne afspadseres.",I14="X",C14="ikke relevant",S14="X"))),(V14),0)</f>
        <v>0</v>
      </c>
      <c r="FE14" s="279">
        <f>IF(AND(Stamoplysninger!$B$26="Der er indgået lokalaftale omkring weekendtillæg(Kræver aftale med TR/FSL). Weekendtimerne udbetales.",I14="X"),K14,0)</f>
        <v>0</v>
      </c>
      <c r="FF14" s="247">
        <f>IF(AND(AND(Stamoplysninger!$B$26="Der er indgået lokalaftale omkring weekendtillæg(Kræver aftale med TR/FSL). Weekendtimerne udbetales.",I14="X",S14="X")),V14,0)</f>
        <v>0</v>
      </c>
      <c r="FG14" s="665">
        <f>IF(AND(AND(Stamoplysninger!$B$26="Der er indgået lokalaftale omkring weekendtillæg(Kræver aftale med TR/FSL). Weekendtimerne udbetales.",I14="X",C14="ikke relevant")),K14,0)</f>
        <v>0</v>
      </c>
      <c r="FH14" s="666">
        <f>IF(AND(AND(AND(Stamoplysninger!$B$26="Der er indgået lokalaftale omkring weekendtillæg(Kræver aftale med TR/FSL). Weekendtimerne udbetales.",I14="X",C14="ikke relevant",S14="X"))),(V14),0)</f>
        <v>0</v>
      </c>
      <c r="FI14" s="279">
        <f>IF(AND(Stamoplysninger!$B$26="Weekendtimer og weekendtillæg afspadseres.",I14="X"),K14,0)</f>
        <v>0</v>
      </c>
      <c r="FJ14" s="247">
        <f>IF(AND(Stamoplysninger!$B$26="Weekendtimer og weekendtillæg afspadseres.",Y14="X"),(AA14+AL14)/2,0)</f>
        <v>0</v>
      </c>
      <c r="FK14" s="665">
        <f>IF(AND(AND(Stamoplysninger!$B$26="Weekendtimer og weekendtillæg afspadseres.",I14="X",C14="ikke relevant")),K14,0)</f>
        <v>0</v>
      </c>
      <c r="FL14" s="666">
        <f>IF(AND(AND(Stamoplysninger!$B$26="Weekendtimer og weekendtillæg afspadseres.",Y14="X",S14="ikke relevant")),(AA14+AL14)/2,0)</f>
        <v>0</v>
      </c>
      <c r="FM14" s="279">
        <f>IF(AND(Stamoplysninger!$B$26="Der er indgået lokalaftale omkring weekendtillæg(Kræver aftale med TR/FSL). Weekendtimerne afspadseres.",I14="X"),K14,0)</f>
        <v>0</v>
      </c>
      <c r="FN14" s="665">
        <f>IF(AND(AND(Stamoplysninger!$B$26="Der er indgået lokalaftale omkring weekendtillæg(Kræver aftale med TR/FSL). Weekendtimerne afspadseres.",I14="X",C14="ikke relevant")),K14,0)</f>
        <v>0</v>
      </c>
      <c r="FO14" s="279">
        <f>IF(AND(Stamoplysninger!$B$26="Weekendtimer og weekendtillæg udbetales.",I14="X"),K14,0)</f>
        <v>0</v>
      </c>
      <c r="FP14" s="247">
        <f>IF(AND(Stamoplysninger!$B$26="Weekendtimer og weekendtillæg udbetales.",AA14="X"),(AC14+AN14)/2,0)</f>
        <v>0</v>
      </c>
      <c r="FQ14" s="665">
        <f>IF(AND(AND(Stamoplysninger!$B$26="Weekendtimer og weekendtillæg udbetales.",I14="X",C14="ikke relevant")),K14,0)</f>
        <v>0</v>
      </c>
      <c r="FR14" s="679">
        <f>IF(AND(AND(Stamoplysninger!$B$26="Weekendtimer og weekendtillæg udbetales.",AA14="X",U14="ikke relevant")),(AC14+AN14)/2,0)</f>
        <v>0</v>
      </c>
      <c r="FS14" s="279">
        <f t="shared" si="15"/>
        <v>0</v>
      </c>
      <c r="FT14" s="649">
        <f t="shared" si="16"/>
        <v>0</v>
      </c>
      <c r="FU14">
        <f t="shared" si="17"/>
        <v>0</v>
      </c>
      <c r="FV14" s="279">
        <f>IF(AND(Stamoplysninger!$B$26="Der er indgået lokalaftale omkring weekendtimer.(Kræver aftale med TR/FSL) Weekendtillæg afspadseres.",I14="X"),K14,0)</f>
        <v>0</v>
      </c>
      <c r="FW14" s="665">
        <f>IF(AND(AND(Stamoplysninger!$B$26="Der er indgået lokalaftale omkring weekendtimer.(Kræver aftale med TR/FSL) Weekendtillæg afspadseres.",I14="X",C14="ikke relevant")),K14,0)</f>
        <v>0</v>
      </c>
      <c r="FX14" s="279">
        <f>IF(AND(Stamoplysninger!$B$26="Der er indgået lokalaftale omkring weekendtimer(Kræver aftale med TR/FSL). Weekendtillæg udbetales.",I14="X"),K14,0)</f>
        <v>0</v>
      </c>
      <c r="FY14" s="665">
        <f>IF(AND(AND(Stamoplysninger!$B$26="Der er indgået lokalaftale omkring weekendtimer(Kræver aftale med TR/FSL). Weekendtillæg udbetales.",I14="X",C14="ikke relevant")),K14,0)</f>
        <v>0</v>
      </c>
      <c r="FZ14" s="279">
        <f>IF(AND(Stamoplysninger!$B$26="Der er indgået lokalaftale omkring weekendtillæg(Kræver aftale med TR/FSL). Weekendtimerne udbetales.",I14="X"),K14,0)</f>
        <v>0</v>
      </c>
      <c r="GA14" s="665">
        <f>IF(AND(AND(Stamoplysninger!$B$26="Der er indgået lokalaftale omkring weekendtillæg(Kræver aftale med TR/FSL). Weekendtimerne udbetales.",I14="X",C14="ikke relevant")),K14,0)</f>
        <v>0</v>
      </c>
      <c r="GB14" s="279">
        <f>IF(AND(Stamoplysninger!$B$26="Der er indgået lokalaftale omkring weekendtimer og weekendtillæg.(Kræver aftale med TR/FSL).",I14="X"),K14,0)</f>
        <v>0</v>
      </c>
      <c r="GC14" s="665">
        <f>IF(AND(AND(Stamoplysninger!$B$26="Der er indgået lokalaftale omkring weekendtimer og weekendtillæg.(Kræver aftale med TR/FSL).",I14="X",C14="ikke relevant")),K14,0)</f>
        <v>0</v>
      </c>
    </row>
    <row r="15" spans="1:185" ht="16" customHeight="1">
      <c r="A15" s="241">
        <f t="shared" si="18"/>
        <v>7</v>
      </c>
      <c r="B15" s="127" t="str">
        <f t="shared" si="0"/>
        <v>ma</v>
      </c>
      <c r="C15" s="128" t="s">
        <v>206</v>
      </c>
      <c r="D15" s="129">
        <f t="shared" si="1"/>
        <v>41</v>
      </c>
      <c r="E15" s="932"/>
      <c r="F15" s="933"/>
      <c r="G15" s="934"/>
      <c r="H15" s="294"/>
      <c r="I15" s="519"/>
      <c r="J15" s="407"/>
      <c r="K15" s="374"/>
      <c r="L15" s="374"/>
      <c r="M15" s="374"/>
      <c r="N15" s="313">
        <f t="shared" si="19"/>
        <v>0</v>
      </c>
      <c r="O15" s="313">
        <f t="shared" si="20"/>
        <v>0</v>
      </c>
      <c r="P15" s="313">
        <f>IF(Stamoplysninger!$H$29="JA",Oktober!DG15,CX15)</f>
        <v>0</v>
      </c>
      <c r="Q15" s="313">
        <f t="shared" si="21"/>
        <v>0</v>
      </c>
      <c r="R15" s="314"/>
      <c r="S15" s="319"/>
      <c r="T15" s="320"/>
      <c r="U15" s="320"/>
      <c r="V15" s="429"/>
      <c r="W15" s="406"/>
      <c r="X15" s="633"/>
      <c r="Y15">
        <f t="shared" si="22"/>
        <v>0</v>
      </c>
      <c r="Z15">
        <f t="shared" si="2"/>
        <v>0</v>
      </c>
      <c r="AA15" s="1">
        <f t="shared" si="3"/>
        <v>0</v>
      </c>
      <c r="AB15" s="1">
        <f t="shared" si="4"/>
        <v>0</v>
      </c>
      <c r="AC15" s="1">
        <f t="shared" si="5"/>
        <v>0</v>
      </c>
      <c r="AD15" s="1">
        <f t="shared" si="6"/>
        <v>0</v>
      </c>
      <c r="AE15" s="1">
        <f t="shared" si="7"/>
        <v>0</v>
      </c>
      <c r="AF15" s="1">
        <f>IF(C15="Orlov",7.4*Stamoplysninger!$E$15,0)</f>
        <v>0</v>
      </c>
      <c r="AG15">
        <f>IF(AND(C15="Skema 1",B15="ma"),Arbejdstidsoversigt!$E$72,"")</f>
        <v>0</v>
      </c>
      <c r="AH15" t="str">
        <f>IF(AND(C15="Skema 1",B15="ti"),Arbejdstidsoversigt!$E$73,"")</f>
        <v/>
      </c>
      <c r="AI15" t="str">
        <f>IF(AND(C15="Skema 1",B15="on"),Arbejdstidsoversigt!$E$74,"")</f>
        <v/>
      </c>
      <c r="AJ15" t="str">
        <f>IF(AND(C15="Skema 1",B15="to"),Arbejdstidsoversigt!$E$75,"")</f>
        <v/>
      </c>
      <c r="AK15" t="str">
        <f>IF(AND(C15="Skema 1",B15="fr"),Arbejdstidsoversigt!$E$76,"")</f>
        <v/>
      </c>
      <c r="AL15" t="str">
        <f>IF(AND(C15="Skema 2",B15="ma"),Arbejdstidsoversigt!$E$81,"")</f>
        <v/>
      </c>
      <c r="AM15" t="str">
        <f>IF(AND(C15="Skema 2",B15="ti"),Arbejdstidsoversigt!$E$82,"")</f>
        <v/>
      </c>
      <c r="AN15" t="str">
        <f>IF(AND(C15="Skema 2",B15="on"),Arbejdstidsoversigt!$E$83,"")</f>
        <v/>
      </c>
      <c r="AO15" t="str">
        <f>IF(AND(C15="Skema 2",B15="to"),Arbejdstidsoversigt!$E$84,"")</f>
        <v/>
      </c>
      <c r="AP15" t="str">
        <f>IF(AND(C15="Skema 2",B15="fr"),Arbejdstidsoversigt!$E$85,"")</f>
        <v/>
      </c>
      <c r="AQ15" t="str">
        <f>IF(AND(C15="Skema 3",B15="ma"),Arbejdstidsoversigt!$E$90,"")</f>
        <v/>
      </c>
      <c r="AR15" t="str">
        <f>IF(AND(C15="Skema 3",B15="ti"),Arbejdstidsoversigt!$E$91,"")</f>
        <v/>
      </c>
      <c r="AS15" t="str">
        <f>IF(AND(C15="Skema 3",B15="on"),Arbejdstidsoversigt!$E$92,"")</f>
        <v/>
      </c>
      <c r="AT15" t="str">
        <f>IF(AND(C15="Skema 3",B15="to"),Arbejdstidsoversigt!$E$93,"")</f>
        <v/>
      </c>
      <c r="AU15" t="str">
        <f>IF(AND(C15="Skema 3",B15="fr"),Arbejdstidsoversigt!$E$94,"")</f>
        <v/>
      </c>
      <c r="AV15" t="str">
        <f>IF(AND(C15="Skema 4",B15="ma"),Arbejdstidsoversigt!$E$99,"")</f>
        <v/>
      </c>
      <c r="AW15" t="str">
        <f>IF(AND(C15="Skema 4",B15="ti"),Arbejdstidsoversigt!$E$100,"")</f>
        <v/>
      </c>
      <c r="AX15" t="str">
        <f>IF(AND(C15="Skema 4",B15="on"),Arbejdstidsoversigt!$E$101,"")</f>
        <v/>
      </c>
      <c r="AY15" t="str">
        <f>IF(AND(C15="Skema 4",B15="to"),Arbejdstidsoversigt!$E$102,"")</f>
        <v/>
      </c>
      <c r="AZ15" t="str">
        <f>IF(AND(C15="Skema 4",B15="fr"),Arbejdstidsoversigt!$E$103,"")</f>
        <v/>
      </c>
      <c r="BA15" s="1">
        <f t="shared" si="23"/>
        <v>0</v>
      </c>
      <c r="BB15" s="226">
        <f t="shared" si="8"/>
        <v>0</v>
      </c>
      <c r="BC15" s="1">
        <f t="shared" si="24"/>
        <v>0</v>
      </c>
      <c r="BD15" s="1">
        <f t="shared" si="9"/>
        <v>0</v>
      </c>
      <c r="BE15" s="1">
        <f t="shared" si="10"/>
        <v>0</v>
      </c>
      <c r="BF15" s="1">
        <f t="shared" si="11"/>
        <v>0</v>
      </c>
      <c r="BG15" s="209">
        <f>IF(AND(C15="Skema 1",B15="ma"),Skemaoplysninger!$E$30,"")</f>
        <v>0</v>
      </c>
      <c r="BH15" s="209" t="str">
        <f>IF(AND(C15="Skema 1",B15="ti"),Skemaoplysninger!$G$30,"")</f>
        <v/>
      </c>
      <c r="BI15" s="209" t="str">
        <f>IF(AND(C15="Skema 1",B15="on"),Skemaoplysninger!$I$30,"")</f>
        <v/>
      </c>
      <c r="BJ15" s="209" t="str">
        <f>IF(AND(C15="Skema 1",B15="to"),Skemaoplysninger!$K$30,"")</f>
        <v/>
      </c>
      <c r="BK15" s="209" t="str">
        <f>IF(AND(C15="Skema 1",B15="fr"),Skemaoplysninger!$M$30,"")</f>
        <v/>
      </c>
      <c r="BL15" s="209" t="str">
        <f>IF(AND(C15="Skema 2",B15="ma"),Skemaoplysninger!$S$30,"")</f>
        <v/>
      </c>
      <c r="BM15" s="209" t="str">
        <f>IF(AND(C15="Skema 2",B15="ti"),Skemaoplysninger!$U$30,"")</f>
        <v/>
      </c>
      <c r="BN15" s="209" t="str">
        <f>IF(AND(C15="Skema 2",B15="on"),Skemaoplysninger!$W$30,"")</f>
        <v/>
      </c>
      <c r="BO15" s="209" t="str">
        <f>IF(AND(C15="Skema 2",B15="to"),Skemaoplysninger!$Y$30,"")</f>
        <v/>
      </c>
      <c r="BP15" s="209" t="str">
        <f>IF(AND(C15="Skema 2",B15="fr"),Skemaoplysninger!$AA$30,"")</f>
        <v/>
      </c>
      <c r="BQ15" s="209" t="str">
        <f>IF(AND(C15="Skema 3",B15="ma"),Skemaoplysninger!$AG$30,"")</f>
        <v/>
      </c>
      <c r="BR15" s="209" t="str">
        <f>IF(AND(C15="Skema 3",B15="ti"),Skemaoplysninger!$AI$30,"")</f>
        <v/>
      </c>
      <c r="BS15" s="209" t="str">
        <f>IF(AND(C15="Skema 3",B15="on"),Skemaoplysninger!$AK$30,"")</f>
        <v/>
      </c>
      <c r="BT15" s="209" t="str">
        <f>IF(AND(C15="Skema 3",B15="to"),Skemaoplysninger!$AM$30,"")</f>
        <v/>
      </c>
      <c r="BU15" s="209" t="str">
        <f>IF(AND(C15="Skema 3",B15="fr"),Skemaoplysninger!$AO$30,"")</f>
        <v/>
      </c>
      <c r="BV15" s="209" t="str">
        <f>IF(AND(C15="Skema 4",B15="ma"),Skemaoplysninger!$AU$30,"")</f>
        <v/>
      </c>
      <c r="BW15" s="209" t="str">
        <f>IF(AND(C15="Skema 4",B15="ti"),Skemaoplysninger!$AW$30,"")</f>
        <v/>
      </c>
      <c r="BX15" s="209" t="str">
        <f>IF(AND(C15="Skema 4",B15="on"),Skemaoplysninger!$AY$30,"")</f>
        <v/>
      </c>
      <c r="BY15" s="209" t="str">
        <f>IF(AND(C15="Skema 4",B15="to"),Skemaoplysninger!$BA$30,"")</f>
        <v/>
      </c>
      <c r="BZ15" s="209" t="str">
        <f>IF(AND(C15="Skema 4",B15="fr"),Skemaoplysninger!$BC$30,"")</f>
        <v/>
      </c>
      <c r="CA15" s="1">
        <f t="shared" si="25"/>
        <v>0</v>
      </c>
      <c r="CB15" s="1">
        <f t="shared" si="12"/>
        <v>0</v>
      </c>
      <c r="CC15" s="1">
        <f t="shared" si="13"/>
        <v>0</v>
      </c>
      <c r="CD15" s="209">
        <f>IF(AND(C15="Skema 1",B15="ma"),Skemaoplysninger!$E$31,"")</f>
        <v>0</v>
      </c>
      <c r="CE15" s="209" t="str">
        <f>IF(AND(C15="Skema 1",B15="ti"),Skemaoplysninger!$G$31,"")</f>
        <v/>
      </c>
      <c r="CF15" s="209" t="str">
        <f>IF(AND(C15="Skema 1",B15="on"),Skemaoplysninger!$I$31,"")</f>
        <v/>
      </c>
      <c r="CG15" s="209" t="str">
        <f>IF(AND(C15="Skema 1",B15="to"),Skemaoplysninger!$K$31,"")</f>
        <v/>
      </c>
      <c r="CH15" s="209" t="str">
        <f>IF(AND(C15="Skema 1",B15="fr"),Skemaoplysninger!$M$31,"")</f>
        <v/>
      </c>
      <c r="CI15" s="209" t="str">
        <f>IF(AND(C15="Skema 2",B15="ma"),Skemaoplysninger!$S$31,"")</f>
        <v/>
      </c>
      <c r="CJ15" s="209" t="str">
        <f>IF(AND(C15="Skema 2",B15="ti"),Skemaoplysninger!$U$31,"")</f>
        <v/>
      </c>
      <c r="CK15" s="209" t="str">
        <f>IF(AND(C15="Skema 2",B15="on"),Skemaoplysninger!$W$31,"")</f>
        <v/>
      </c>
      <c r="CL15" s="209" t="str">
        <f>IF(AND(C15="Skema 2",B15="to"),Skemaoplysninger!$Y$31,"")</f>
        <v/>
      </c>
      <c r="CM15" s="209" t="str">
        <f>IF(AND(C15="Skema 2",B15="fr"),Skemaoplysninger!$AA$31,"")</f>
        <v/>
      </c>
      <c r="CN15" s="209" t="str">
        <f>IF(AND(C15="Skema 3",B15="ma"),Skemaoplysninger!$AG$31,"")</f>
        <v/>
      </c>
      <c r="CO15" s="209" t="str">
        <f>IF(AND(C15="Skema 3",B15="ti"),Skemaoplysninger!$AI$31,"")</f>
        <v/>
      </c>
      <c r="CP15" s="209" t="str">
        <f>IF(AND(C15="Skema 3",B15="on"),Skemaoplysninger!$AK$31,"")</f>
        <v/>
      </c>
      <c r="CQ15" s="209" t="str">
        <f>IF(AND(C15="Skema 3",B15="to"),Skemaoplysninger!$AM$31,"")</f>
        <v/>
      </c>
      <c r="CR15" s="209" t="str">
        <f>IF(AND(C15="Skema 3",B15="fr"),Skemaoplysninger!$AO$31,"")</f>
        <v/>
      </c>
      <c r="CS15" s="209" t="str">
        <f>IF(AND(C15="Skema 4",B15="ma"),Skemaoplysninger!$AU$31,"")</f>
        <v/>
      </c>
      <c r="CT15" s="209" t="str">
        <f>IF(AND(C15="Skema 4",B15="ti"),Skemaoplysninger!$AW$31,"")</f>
        <v/>
      </c>
      <c r="CU15" s="209" t="str">
        <f>IF(AND(C15="Skema 4",B15="on"),Skemaoplysninger!$AY$31,"")</f>
        <v/>
      </c>
      <c r="CV15" s="209" t="str">
        <f>IF(AND(C15="Skema 4",B15="to"),Skemaoplysninger!$BA$31,"")</f>
        <v/>
      </c>
      <c r="CW15" s="209" t="str">
        <f>IF(AND(C15="Skema 4",B15="fr"),Skemaoplysninger!$BC$31,"")</f>
        <v/>
      </c>
      <c r="CX15" s="245">
        <f>IF(Stamoplysninger!$H$29="NEJ",SUM(CD15:CW15)*24+CB15+CC15,0)</f>
        <v>0</v>
      </c>
      <c r="CY15" s="245">
        <f>IF(C15="Skema 1",Stamoplysninger!$H$30/200,0)</f>
        <v>0</v>
      </c>
      <c r="CZ15" s="245">
        <f>IF(C15="Skema 2",Stamoplysninger!$H$30/200,0)</f>
        <v>0</v>
      </c>
      <c r="DA15" s="245">
        <f>IF(C15="Skema 3",Stamoplysninger!$H$30/200,0)</f>
        <v>0</v>
      </c>
      <c r="DB15" s="245">
        <f>IF(C15="Skema 4",Stamoplysninger!$H$30/200,0)</f>
        <v>0</v>
      </c>
      <c r="DC15" s="245">
        <f>IF(C15="fagdag",Stamoplysninger!$H$30/200,0)</f>
        <v>0</v>
      </c>
      <c r="DD15" s="245">
        <f>IF(C15="emnedag",Stamoplysninger!$H$30/200,0)</f>
        <v>0</v>
      </c>
      <c r="DE15" s="245">
        <f>IF(C15="lejrskole",Stamoplysninger!$H$30/200,0)</f>
        <v>0</v>
      </c>
      <c r="DF15" s="245">
        <f>IF(C15="ekskursion",Stamoplysninger!$H$30/200,0)</f>
        <v>0</v>
      </c>
      <c r="DG15" s="245">
        <f t="shared" si="26"/>
        <v>0</v>
      </c>
      <c r="DH15" t="str">
        <f t="shared" si="27"/>
        <v/>
      </c>
      <c r="DI15">
        <f t="shared" si="28"/>
        <v>0</v>
      </c>
      <c r="DJ15">
        <f t="shared" si="29"/>
        <v>0</v>
      </c>
      <c r="DK15" t="str">
        <f t="shared" si="14"/>
        <v/>
      </c>
      <c r="DL15" t="str">
        <f t="shared" si="14"/>
        <v/>
      </c>
      <c r="DM15" t="str">
        <f t="shared" si="14"/>
        <v/>
      </c>
      <c r="DN15" t="str">
        <f t="shared" si="30"/>
        <v/>
      </c>
      <c r="DO15" s="643">
        <f>IF(AND(Stamoplysninger!$B$22="Ulempetillæg udbetales med 25% af nettotimelønnen.",H15&gt;0),(R15/4),0)</f>
        <v>0</v>
      </c>
      <c r="DP15">
        <f>IF(AND(Stamoplysninger!$B$22="Ulempetillæg udbetales med 25% af nettotimelønnen.",I15="X"),K15/4,0)</f>
        <v>0</v>
      </c>
      <c r="DQ15">
        <f>IF(AND(Stamoplysninger!$B$22="Ulempetillæg udbetales med 25% af nettotimelønnen.",U15="X"),(X15/4),0)</f>
        <v>0</v>
      </c>
      <c r="DR15">
        <f>IF(AND(AND(Stamoplysninger!$B$22="Ulempetillæg udbetales med 25% af nettotimelønnen.",S15="X",I15="X")),V15/4,0)</f>
        <v>0</v>
      </c>
      <c r="DS15" s="662">
        <f>IF(AND(Stamoplysninger!$B$22="Ulempetillæg udbetales med 25% af nettotimelønnen.",C15="ikke relevant"),(R15)/4,0)</f>
        <v>0</v>
      </c>
      <c r="DT15" s="662">
        <f>IF(AND(AND(Stamoplysninger!$B$22="Ulempetillæg udbetales med 25% af nettotimelønnen.",I15="X",C15="Ikke relevant")),K15/4,0)</f>
        <v>0</v>
      </c>
      <c r="DU15" s="662">
        <f>IF(AND(AND(Stamoplysninger!$B$22="Ulempetillæg udbetales med 25% af nettotimelønnen.",C15="ikke relevant",U15="X")),(X15/4),0)</f>
        <v>0</v>
      </c>
      <c r="DV15" s="663">
        <f>IF(AND(AND(AND(Stamoplysninger!$B$22="Ulempetillæg udbetales med 25% af nettotimelønnen.",I15="X",C15="Ikke relevant",S15="X"))),V15/4,0)</f>
        <v>0</v>
      </c>
      <c r="DW15" s="643"/>
      <c r="DZ15" s="662"/>
      <c r="EA15" s="662"/>
      <c r="EB15" s="663"/>
      <c r="EC15" s="643">
        <f>IF(AND(Stamoplysninger!$B$22="Ulempetillæg afspadseres med 25%(Kræver en aftale imellem ledelsen og den ansatte)",H15&gt;0),R15/4,0)</f>
        <v>0</v>
      </c>
      <c r="ED15">
        <f>IF(AND(Stamoplysninger!$B$22="Ulempetillæg afspadseres med 25%(Kræver en aftale imellem ledelsen og den ansatte)",I15="X"),K15/4,0)</f>
        <v>0</v>
      </c>
      <c r="EE15">
        <f>IF(AND(Stamoplysninger!$B$22="Ulempetillæg afspadseres med 25%(Kræver en aftale imellem ledelsen og den ansatte)",U15="X"),X15/4,0)</f>
        <v>0</v>
      </c>
      <c r="EF15">
        <f>IF(AND(AND(Stamoplysninger!$B$22="Ulempetillæg afspadseres med 25%(Kræver en aftale imellem ledelsen og den ansatte)",I15="X",S15="X")),V15/4,0)</f>
        <v>0</v>
      </c>
      <c r="EG15" s="662">
        <f>IF(AND(Stamoplysninger!$B$22="Ulempetillæg afspadseres med 25%(Kræver en aftale imellem ledelsen og den ansatte)",C15="ikke relevant"),(R15)/4,0)</f>
        <v>0</v>
      </c>
      <c r="EH15" s="662">
        <f>IF(AND(AND(Stamoplysninger!$B$22="Ulempetillæg afspadseres med 25%(Kræver en aftale imellem ledelsen og den ansatte)",I15="X",C15="Ikke relevant")),K15/4,0)</f>
        <v>0</v>
      </c>
      <c r="EI15" s="662">
        <f>IF(AND(AND(Stamoplysninger!$B$22="Ulempetillæg afspadseres med 25%(Kræver en aftale imellem ledelsen og den ansatte)",U15="X",C15="Ikke relevant")),X15/4,0)</f>
        <v>0</v>
      </c>
      <c r="EJ15" s="662">
        <f>IF(AND(AND(AND(Stamoplysninger!$B$22="Ulempetillæg afspadseres med 25%(Kræver en aftale imellem ledelsen og den ansatte)",I15="X",C15="Ikke relevant",S15="X"))),V15/4,0)</f>
        <v>0</v>
      </c>
      <c r="EK15" s="279">
        <f>IF(AND(Stamoplysninger!$B$26="Weekendtimer og weekendtillæg afspadseres.",I15="X"),K15*1.5,0)</f>
        <v>0</v>
      </c>
      <c r="EL15" s="247">
        <f>IF(AND(AND(Stamoplysninger!$B$26="Weekendtimer og weekendtillæg afspadseres.",I15="X",S15="X")),V15*1.5,0)</f>
        <v>0</v>
      </c>
      <c r="EM15" s="665">
        <f>IF(AND(AND(Stamoplysninger!$B$26="Weekendtimer og weekendtillæg afspadseres.",I15="X",C15="ikke relevant")),K15*1.5,0)</f>
        <v>0</v>
      </c>
      <c r="EN15" s="666">
        <f>IF(AND(AND(AND(Stamoplysninger!$B$26="Weekendtimer og weekendtillæg afspadseres.",I15="X",C15="ikke relevant",S15="X"))),(V15*1.5),0)</f>
        <v>0</v>
      </c>
      <c r="EO15" s="279">
        <f>IF(AND(Stamoplysninger!$B$26="Weekendtimer og weekendtillæg udbetales.",I15="X"),K15*1.5,0)</f>
        <v>0</v>
      </c>
      <c r="EP15" s="247">
        <f>IF(AND(AND(Stamoplysninger!$B$26="Weekendtimer og weekendtillæg udbetales.",I15="X",S15="X")),V15*1.5,0)</f>
        <v>0</v>
      </c>
      <c r="EQ15" s="665">
        <f>IF(AND(AND(Stamoplysninger!$B$26="Weekendtimer og weekendtillæg udbetales.",I15="X",C15="ikke relevant")),K15*1.5,0)</f>
        <v>0</v>
      </c>
      <c r="ER15" s="666">
        <f>IF(AND(AND(AND(Stamoplysninger!$B$26="Weekendtimer og weekendtillæg udbetales.",I15="X",C15="ikke relevant",S15="X"))),(V15*1.5),0)</f>
        <v>0</v>
      </c>
      <c r="ES15" s="279">
        <f>IF(AND(Stamoplysninger!$B$26="Der er indgået lokalaftale omkring weekendtimer.(Kræver aftale med TR/FSL) Weekendtillæg afspadseres.",I15="X"),K15*0.5,0)</f>
        <v>0</v>
      </c>
      <c r="ET15" s="247">
        <f>IF(AND(AND(Stamoplysninger!$B$26="Der er indgået lokalaftale omkring weekendtimer.(Kræver aftale med TR/FSL) Weekendtillæg afspadseres.",I15="X",S15="X")),V15*0.5,0)</f>
        <v>0</v>
      </c>
      <c r="EU15" s="665">
        <f>IF(AND(AND(Stamoplysninger!$B$26="Der er indgået lokalaftale omkring weekendtimer.(Kræver aftale med TR/FSL) Weekendtillæg afspadseres.",I15="X",C15="ikke relevant")),K15*0.5,0)</f>
        <v>0</v>
      </c>
      <c r="EV15" s="666">
        <f>IF(AND(AND(AND(Stamoplysninger!$B$26="Der er indgået lokalaftale omkring weekendtimer.(Kræver aftale med TR/FSL) Weekendtillæg afspadseres.",I15="X",C15="ikke relevant",S15="X"))),(V15*0.5),0)</f>
        <v>0</v>
      </c>
      <c r="EW15" s="279">
        <f>IF(AND(Stamoplysninger!$B$26="Der er indgået lokalaftale omkring weekendtimer(Kræver aftale med TR/FSL). Weekendtillæg udbetales.",I15="X"),K15*0.5,0)</f>
        <v>0</v>
      </c>
      <c r="EX15" s="247">
        <f>IF(AND(AND(Stamoplysninger!$B$26="Der er indgået lokalaftale omkring weekendtimer(Kræver aftale med TR/FSL). Weekendtillæg udbetales.",I15="X",S15="X")),V15*0.5,0)</f>
        <v>0</v>
      </c>
      <c r="EY15" s="665">
        <f>IF(AND(AND(Stamoplysninger!$B$26="Der er indgået lokalaftale omkring weekendtimer(Kræver aftale med TR/FSL). Weekendtillæg udbetales.",I15="X",C15="ikke relevant")),K15*0.5,0)</f>
        <v>0</v>
      </c>
      <c r="EZ15" s="666">
        <f>IF(AND(AND(AND(Stamoplysninger!$B$26="Der er indgået lokalaftale omkring weekendtimer(Kræver aftale med TR/FSL). Weekendtillæg udbetales.",I15="X",C15="ikke relevant",S15="X"))),(V15*0.5),0)</f>
        <v>0</v>
      </c>
      <c r="FA15" s="279">
        <f>IF(AND(Stamoplysninger!$B$26="Der er indgået lokalaftale omkring weekendtillæg(Kræver aftale med TR/FSL). Weekendtimerne afspadseres.",I15="X"),K15,0)</f>
        <v>0</v>
      </c>
      <c r="FB15" s="247">
        <f>IF(AND(AND(Stamoplysninger!$B$26="Der er indgået lokalaftale omkring weekendtillæg(Kræver aftale med TR/FSL). Weekendtimerne afspadseres.",I15="X",S15="X")),V15,0)</f>
        <v>0</v>
      </c>
      <c r="FC15" s="665">
        <f>IF(AND(AND(Stamoplysninger!$B$26="Der er indgået lokalaftale omkring weekendtillæg(Kræver aftale med TR/FSL). Weekendtimerne afspadseres..",I15="X",C15="ikke relevant")),K15,0)</f>
        <v>0</v>
      </c>
      <c r="FD15" s="666">
        <f>IF(AND(AND(AND(Stamoplysninger!$B$26="Der er indgået lokalaftale omkring weekendtillæg(Kræver aftale med TR/FSL). Weekendtimerne afspadseres.",I15="X",C15="ikke relevant",S15="X"))),(V15),0)</f>
        <v>0</v>
      </c>
      <c r="FE15" s="279">
        <f>IF(AND(Stamoplysninger!$B$26="Der er indgået lokalaftale omkring weekendtillæg(Kræver aftale med TR/FSL). Weekendtimerne udbetales.",I15="X"),K15,0)</f>
        <v>0</v>
      </c>
      <c r="FF15" s="247">
        <f>IF(AND(AND(Stamoplysninger!$B$26="Der er indgået lokalaftale omkring weekendtillæg(Kræver aftale med TR/FSL). Weekendtimerne udbetales.",I15="X",S15="X")),V15,0)</f>
        <v>0</v>
      </c>
      <c r="FG15" s="665">
        <f>IF(AND(AND(Stamoplysninger!$B$26="Der er indgået lokalaftale omkring weekendtillæg(Kræver aftale med TR/FSL). Weekendtimerne udbetales.",I15="X",C15="ikke relevant")),K15,0)</f>
        <v>0</v>
      </c>
      <c r="FH15" s="666">
        <f>IF(AND(AND(AND(Stamoplysninger!$B$26="Der er indgået lokalaftale omkring weekendtillæg(Kræver aftale med TR/FSL). Weekendtimerne udbetales.",I15="X",C15="ikke relevant",S15="X"))),(V15),0)</f>
        <v>0</v>
      </c>
      <c r="FI15" s="279">
        <f>IF(AND(Stamoplysninger!$B$26="Weekendtimer og weekendtillæg afspadseres.",I15="X"),K15,0)</f>
        <v>0</v>
      </c>
      <c r="FJ15" s="247">
        <f>IF(AND(Stamoplysninger!$B$26="Weekendtimer og weekendtillæg afspadseres.",Y15="X"),(AA15+AL15)/2,0)</f>
        <v>0</v>
      </c>
      <c r="FK15" s="665">
        <f>IF(AND(AND(Stamoplysninger!$B$26="Weekendtimer og weekendtillæg afspadseres.",I15="X",C15="ikke relevant")),K15,0)</f>
        <v>0</v>
      </c>
      <c r="FL15" s="666">
        <f>IF(AND(AND(Stamoplysninger!$B$26="Weekendtimer og weekendtillæg afspadseres.",Y15="X",S15="ikke relevant")),(AA15+AL15)/2,0)</f>
        <v>0</v>
      </c>
      <c r="FM15" s="279">
        <f>IF(AND(Stamoplysninger!$B$26="Der er indgået lokalaftale omkring weekendtillæg(Kræver aftale med TR/FSL). Weekendtimerne afspadseres.",I15="X"),K15,0)</f>
        <v>0</v>
      </c>
      <c r="FN15" s="665">
        <f>IF(AND(AND(Stamoplysninger!$B$26="Der er indgået lokalaftale omkring weekendtillæg(Kræver aftale med TR/FSL). Weekendtimerne afspadseres.",I15="X",C15="ikke relevant")),K15,0)</f>
        <v>0</v>
      </c>
      <c r="FO15" s="279">
        <f>IF(AND(Stamoplysninger!$B$26="Weekendtimer og weekendtillæg udbetales.",I15="X"),K15,0)</f>
        <v>0</v>
      </c>
      <c r="FP15" s="247">
        <f>IF(AND(Stamoplysninger!$B$26="Weekendtimer og weekendtillæg udbetales.",AA15="X"),(AC15+AN15)/2,0)</f>
        <v>0</v>
      </c>
      <c r="FQ15" s="665">
        <f>IF(AND(AND(Stamoplysninger!$B$26="Weekendtimer og weekendtillæg udbetales.",I15="X",C15="ikke relevant")),K15,0)</f>
        <v>0</v>
      </c>
      <c r="FR15" s="679">
        <f>IF(AND(AND(Stamoplysninger!$B$26="Weekendtimer og weekendtillæg udbetales.",AA15="X",U15="ikke relevant")),(AC15+AN15)/2,0)</f>
        <v>0</v>
      </c>
      <c r="FS15" s="279">
        <f t="shared" si="15"/>
        <v>0</v>
      </c>
      <c r="FT15" s="649">
        <f t="shared" si="16"/>
        <v>0</v>
      </c>
      <c r="FU15">
        <f t="shared" si="17"/>
        <v>0</v>
      </c>
      <c r="FV15" s="279">
        <f>IF(AND(Stamoplysninger!$B$26="Der er indgået lokalaftale omkring weekendtimer.(Kræver aftale med TR/FSL) Weekendtillæg afspadseres.",I15="X"),K15,0)</f>
        <v>0</v>
      </c>
      <c r="FW15" s="665">
        <f>IF(AND(AND(Stamoplysninger!$B$26="Der er indgået lokalaftale omkring weekendtimer.(Kræver aftale med TR/FSL) Weekendtillæg afspadseres.",I15="X",C15="ikke relevant")),K15,0)</f>
        <v>0</v>
      </c>
      <c r="FX15" s="279">
        <f>IF(AND(Stamoplysninger!$B$26="Der er indgået lokalaftale omkring weekendtimer(Kræver aftale med TR/FSL). Weekendtillæg udbetales.",I15="X"),K15,0)</f>
        <v>0</v>
      </c>
      <c r="FY15" s="665">
        <f>IF(AND(AND(Stamoplysninger!$B$26="Der er indgået lokalaftale omkring weekendtimer(Kræver aftale med TR/FSL). Weekendtillæg udbetales.",I15="X",C15="ikke relevant")),K15,0)</f>
        <v>0</v>
      </c>
      <c r="FZ15" s="279">
        <f>IF(AND(Stamoplysninger!$B$26="Der er indgået lokalaftale omkring weekendtillæg(Kræver aftale med TR/FSL). Weekendtimerne udbetales.",I15="X"),K15,0)</f>
        <v>0</v>
      </c>
      <c r="GA15" s="665">
        <f>IF(AND(AND(Stamoplysninger!$B$26="Der er indgået lokalaftale omkring weekendtillæg(Kræver aftale med TR/FSL). Weekendtimerne udbetales.",I15="X",C15="ikke relevant")),K15,0)</f>
        <v>0</v>
      </c>
      <c r="GB15" s="279">
        <f>IF(AND(Stamoplysninger!$B$26="Der er indgået lokalaftale omkring weekendtimer og weekendtillæg.(Kræver aftale med TR/FSL).",I15="X"),K15,0)</f>
        <v>0</v>
      </c>
      <c r="GC15" s="665">
        <f>IF(AND(AND(Stamoplysninger!$B$26="Der er indgået lokalaftale omkring weekendtimer og weekendtillæg.(Kræver aftale med TR/FSL).",I15="X",C15="ikke relevant")),K15,0)</f>
        <v>0</v>
      </c>
    </row>
    <row r="16" spans="1:185">
      <c r="A16" s="241">
        <f t="shared" si="18"/>
        <v>8</v>
      </c>
      <c r="B16" s="127" t="str">
        <f t="shared" si="0"/>
        <v>ti</v>
      </c>
      <c r="C16" s="128" t="s">
        <v>206</v>
      </c>
      <c r="D16" s="129" t="str">
        <f t="shared" si="1"/>
        <v/>
      </c>
      <c r="E16" s="932"/>
      <c r="F16" s="933"/>
      <c r="G16" s="934"/>
      <c r="H16" s="294"/>
      <c r="I16" s="519"/>
      <c r="J16" s="407"/>
      <c r="K16" s="374"/>
      <c r="L16" s="374"/>
      <c r="M16" s="374"/>
      <c r="N16" s="313">
        <f t="shared" si="19"/>
        <v>0</v>
      </c>
      <c r="O16" s="313">
        <f t="shared" si="20"/>
        <v>0</v>
      </c>
      <c r="P16" s="313">
        <f>IF(Stamoplysninger!$H$29="JA",Oktober!DG16,CX16)</f>
        <v>0</v>
      </c>
      <c r="Q16" s="313">
        <f t="shared" si="21"/>
        <v>0</v>
      </c>
      <c r="R16" s="314"/>
      <c r="S16" s="319"/>
      <c r="T16" s="320"/>
      <c r="U16" s="320"/>
      <c r="V16" s="429"/>
      <c r="W16" s="406"/>
      <c r="X16" s="633"/>
      <c r="Y16">
        <f t="shared" si="22"/>
        <v>0</v>
      </c>
      <c r="Z16">
        <f t="shared" si="2"/>
        <v>0</v>
      </c>
      <c r="AA16" s="1">
        <f t="shared" si="3"/>
        <v>0</v>
      </c>
      <c r="AB16" s="1">
        <f t="shared" si="4"/>
        <v>0</v>
      </c>
      <c r="AC16" s="1">
        <f t="shared" si="5"/>
        <v>0</v>
      </c>
      <c r="AD16" s="1">
        <f t="shared" si="6"/>
        <v>0</v>
      </c>
      <c r="AE16" s="1">
        <f t="shared" si="7"/>
        <v>0</v>
      </c>
      <c r="AF16" s="1">
        <f>IF(C16="Orlov",7.4*Stamoplysninger!$E$15,0)</f>
        <v>0</v>
      </c>
      <c r="AG16" t="str">
        <f>IF(AND(C16="Skema 1",B16="ma"),Arbejdstidsoversigt!$E$72,"")</f>
        <v/>
      </c>
      <c r="AH16">
        <f>IF(AND(C16="Skema 1",B16="ti"),Arbejdstidsoversigt!$E$73,"")</f>
        <v>0</v>
      </c>
      <c r="AI16" t="str">
        <f>IF(AND(C16="Skema 1",B16="on"),Arbejdstidsoversigt!$E$74,"")</f>
        <v/>
      </c>
      <c r="AJ16" t="str">
        <f>IF(AND(C16="Skema 1",B16="to"),Arbejdstidsoversigt!$E$75,"")</f>
        <v/>
      </c>
      <c r="AK16" t="str">
        <f>IF(AND(C16="Skema 1",B16="fr"),Arbejdstidsoversigt!$E$76,"")</f>
        <v/>
      </c>
      <c r="AL16" t="str">
        <f>IF(AND(C16="Skema 2",B16="ma"),Arbejdstidsoversigt!$E$81,"")</f>
        <v/>
      </c>
      <c r="AM16" t="str">
        <f>IF(AND(C16="Skema 2",B16="ti"),Arbejdstidsoversigt!$E$82,"")</f>
        <v/>
      </c>
      <c r="AN16" t="str">
        <f>IF(AND(C16="Skema 2",B16="on"),Arbejdstidsoversigt!$E$83,"")</f>
        <v/>
      </c>
      <c r="AO16" t="str">
        <f>IF(AND(C16="Skema 2",B16="to"),Arbejdstidsoversigt!$E$84,"")</f>
        <v/>
      </c>
      <c r="AP16" t="str">
        <f>IF(AND(C16="Skema 2",B16="fr"),Arbejdstidsoversigt!$E$85,"")</f>
        <v/>
      </c>
      <c r="AQ16" t="str">
        <f>IF(AND(C16="Skema 3",B16="ma"),Arbejdstidsoversigt!$E$90,"")</f>
        <v/>
      </c>
      <c r="AR16" t="str">
        <f>IF(AND(C16="Skema 3",B16="ti"),Arbejdstidsoversigt!$E$91,"")</f>
        <v/>
      </c>
      <c r="AS16" t="str">
        <f>IF(AND(C16="Skema 3",B16="on"),Arbejdstidsoversigt!$E$92,"")</f>
        <v/>
      </c>
      <c r="AT16" t="str">
        <f>IF(AND(C16="Skema 3",B16="to"),Arbejdstidsoversigt!$E$93,"")</f>
        <v/>
      </c>
      <c r="AU16" t="str">
        <f>IF(AND(C16="Skema 3",B16="fr"),Arbejdstidsoversigt!$E$94,"")</f>
        <v/>
      </c>
      <c r="AV16" t="str">
        <f>IF(AND(C16="Skema 4",B16="ma"),Arbejdstidsoversigt!$E$99,"")</f>
        <v/>
      </c>
      <c r="AW16" t="str">
        <f>IF(AND(C16="Skema 4",B16="ti"),Arbejdstidsoversigt!$E$100,"")</f>
        <v/>
      </c>
      <c r="AX16" t="str">
        <f>IF(AND(C16="Skema 4",B16="on"),Arbejdstidsoversigt!$E$101,"")</f>
        <v/>
      </c>
      <c r="AY16" t="str">
        <f>IF(AND(C16="Skema 4",B16="to"),Arbejdstidsoversigt!$E$102,"")</f>
        <v/>
      </c>
      <c r="AZ16" t="str">
        <f>IF(AND(C16="Skema 4",B16="fr"),Arbejdstidsoversigt!$E$103,"")</f>
        <v/>
      </c>
      <c r="BA16" s="1">
        <f t="shared" si="23"/>
        <v>0</v>
      </c>
      <c r="BB16" s="226">
        <f t="shared" si="8"/>
        <v>0</v>
      </c>
      <c r="BC16" s="1">
        <f t="shared" si="24"/>
        <v>0</v>
      </c>
      <c r="BD16" s="1">
        <f t="shared" si="9"/>
        <v>0</v>
      </c>
      <c r="BE16" s="1">
        <f t="shared" si="10"/>
        <v>0</v>
      </c>
      <c r="BF16" s="1">
        <f t="shared" si="11"/>
        <v>0</v>
      </c>
      <c r="BG16" s="209" t="str">
        <f>IF(AND(C16="Skema 1",B16="ma"),Skemaoplysninger!$E$30,"")</f>
        <v/>
      </c>
      <c r="BH16" s="209">
        <f>IF(AND(C16="Skema 1",B16="ti"),Skemaoplysninger!$G$30,"")</f>
        <v>0</v>
      </c>
      <c r="BI16" s="209" t="str">
        <f>IF(AND(C16="Skema 1",B16="on"),Skemaoplysninger!$I$30,"")</f>
        <v/>
      </c>
      <c r="BJ16" s="209" t="str">
        <f>IF(AND(C16="Skema 1",B16="to"),Skemaoplysninger!$K$30,"")</f>
        <v/>
      </c>
      <c r="BK16" s="209" t="str">
        <f>IF(AND(C16="Skema 1",B16="fr"),Skemaoplysninger!$M$30,"")</f>
        <v/>
      </c>
      <c r="BL16" s="209" t="str">
        <f>IF(AND(C16="Skema 2",B16="ma"),Skemaoplysninger!$S$30,"")</f>
        <v/>
      </c>
      <c r="BM16" s="209" t="str">
        <f>IF(AND(C16="Skema 2",B16="ti"),Skemaoplysninger!$U$30,"")</f>
        <v/>
      </c>
      <c r="BN16" s="209" t="str">
        <f>IF(AND(C16="Skema 2",B16="on"),Skemaoplysninger!$W$30,"")</f>
        <v/>
      </c>
      <c r="BO16" s="209" t="str">
        <f>IF(AND(C16="Skema 2",B16="to"),Skemaoplysninger!$Y$30,"")</f>
        <v/>
      </c>
      <c r="BP16" s="209" t="str">
        <f>IF(AND(C16="Skema 2",B16="fr"),Skemaoplysninger!$AA$30,"")</f>
        <v/>
      </c>
      <c r="BQ16" s="209" t="str">
        <f>IF(AND(C16="Skema 3",B16="ma"),Skemaoplysninger!$AG$30,"")</f>
        <v/>
      </c>
      <c r="BR16" s="209" t="str">
        <f>IF(AND(C16="Skema 3",B16="ti"),Skemaoplysninger!$AI$30,"")</f>
        <v/>
      </c>
      <c r="BS16" s="209" t="str">
        <f>IF(AND(C16="Skema 3",B16="on"),Skemaoplysninger!$AK$30,"")</f>
        <v/>
      </c>
      <c r="BT16" s="209" t="str">
        <f>IF(AND(C16="Skema 3",B16="to"),Skemaoplysninger!$AM$30,"")</f>
        <v/>
      </c>
      <c r="BU16" s="209" t="str">
        <f>IF(AND(C16="Skema 3",B16="fr"),Skemaoplysninger!$AO$30,"")</f>
        <v/>
      </c>
      <c r="BV16" s="209" t="str">
        <f>IF(AND(C16="Skema 4",B16="ma"),Skemaoplysninger!$AU$30,"")</f>
        <v/>
      </c>
      <c r="BW16" s="209" t="str">
        <f>IF(AND(C16="Skema 4",B16="ti"),Skemaoplysninger!$AW$30,"")</f>
        <v/>
      </c>
      <c r="BX16" s="209" t="str">
        <f>IF(AND(C16="Skema 4",B16="on"),Skemaoplysninger!$AY$30,"")</f>
        <v/>
      </c>
      <c r="BY16" s="209" t="str">
        <f>IF(AND(C16="Skema 4",B16="to"),Skemaoplysninger!$BA$30,"")</f>
        <v/>
      </c>
      <c r="BZ16" s="209" t="str">
        <f>IF(AND(C16="Skema 4",B16="fr"),Skemaoplysninger!$BC$30,"")</f>
        <v/>
      </c>
      <c r="CA16" s="1">
        <f t="shared" si="25"/>
        <v>0</v>
      </c>
      <c r="CB16" s="1">
        <f t="shared" si="12"/>
        <v>0</v>
      </c>
      <c r="CC16" s="1">
        <f t="shared" si="13"/>
        <v>0</v>
      </c>
      <c r="CD16" s="209" t="str">
        <f>IF(AND(C16="Skema 1",B16="ma"),Skemaoplysninger!$E$31,"")</f>
        <v/>
      </c>
      <c r="CE16" s="209">
        <f>IF(AND(C16="Skema 1",B16="ti"),Skemaoplysninger!$G$31,"")</f>
        <v>0</v>
      </c>
      <c r="CF16" s="209" t="str">
        <f>IF(AND(C16="Skema 1",B16="on"),Skemaoplysninger!$I$31,"")</f>
        <v/>
      </c>
      <c r="CG16" s="209" t="str">
        <f>IF(AND(C16="Skema 1",B16="to"),Skemaoplysninger!$K$31,"")</f>
        <v/>
      </c>
      <c r="CH16" s="209" t="str">
        <f>IF(AND(C16="Skema 1",B16="fr"),Skemaoplysninger!$M$31,"")</f>
        <v/>
      </c>
      <c r="CI16" s="209" t="str">
        <f>IF(AND(C16="Skema 2",B16="ma"),Skemaoplysninger!$S$31,"")</f>
        <v/>
      </c>
      <c r="CJ16" s="209" t="str">
        <f>IF(AND(C16="Skema 2",B16="ti"),Skemaoplysninger!$U$31,"")</f>
        <v/>
      </c>
      <c r="CK16" s="209" t="str">
        <f>IF(AND(C16="Skema 2",B16="on"),Skemaoplysninger!$W$31,"")</f>
        <v/>
      </c>
      <c r="CL16" s="209" t="str">
        <f>IF(AND(C16="Skema 2",B16="to"),Skemaoplysninger!$Y$31,"")</f>
        <v/>
      </c>
      <c r="CM16" s="209" t="str">
        <f>IF(AND(C16="Skema 2",B16="fr"),Skemaoplysninger!$AA$31,"")</f>
        <v/>
      </c>
      <c r="CN16" s="209" t="str">
        <f>IF(AND(C16="Skema 3",B16="ma"),Skemaoplysninger!$AG$31,"")</f>
        <v/>
      </c>
      <c r="CO16" s="209" t="str">
        <f>IF(AND(C16="Skema 3",B16="ti"),Skemaoplysninger!$AI$31,"")</f>
        <v/>
      </c>
      <c r="CP16" s="209" t="str">
        <f>IF(AND(C16="Skema 3",B16="on"),Skemaoplysninger!$AK$31,"")</f>
        <v/>
      </c>
      <c r="CQ16" s="209" t="str">
        <f>IF(AND(C16="Skema 3",B16="to"),Skemaoplysninger!$AM$31,"")</f>
        <v/>
      </c>
      <c r="CR16" s="209" t="str">
        <f>IF(AND(C16="Skema 3",B16="fr"),Skemaoplysninger!$AO$31,"")</f>
        <v/>
      </c>
      <c r="CS16" s="209" t="str">
        <f>IF(AND(C16="Skema 4",B16="ma"),Skemaoplysninger!$AU$31,"")</f>
        <v/>
      </c>
      <c r="CT16" s="209" t="str">
        <f>IF(AND(C16="Skema 4",B16="ti"),Skemaoplysninger!$AW$31,"")</f>
        <v/>
      </c>
      <c r="CU16" s="209" t="str">
        <f>IF(AND(C16="Skema 4",B16="on"),Skemaoplysninger!$AY$31,"")</f>
        <v/>
      </c>
      <c r="CV16" s="209" t="str">
        <f>IF(AND(C16="Skema 4",B16="to"),Skemaoplysninger!$BA$31,"")</f>
        <v/>
      </c>
      <c r="CW16" s="209" t="str">
        <f>IF(AND(C16="Skema 4",B16="fr"),Skemaoplysninger!$BC$31,"")</f>
        <v/>
      </c>
      <c r="CX16" s="245">
        <f>IF(Stamoplysninger!$H$29="NEJ",SUM(CD16:CW16)*24+CB16+CC16,0)</f>
        <v>0</v>
      </c>
      <c r="CY16" s="245">
        <f>IF(C16="Skema 1",Stamoplysninger!$H$30/200,0)</f>
        <v>0</v>
      </c>
      <c r="CZ16" s="245">
        <f>IF(C16="Skema 2",Stamoplysninger!$H$30/200,0)</f>
        <v>0</v>
      </c>
      <c r="DA16" s="245">
        <f>IF(C16="Skema 3",Stamoplysninger!$H$30/200,0)</f>
        <v>0</v>
      </c>
      <c r="DB16" s="245">
        <f>IF(C16="Skema 4",Stamoplysninger!$H$30/200,0)</f>
        <v>0</v>
      </c>
      <c r="DC16" s="245">
        <f>IF(C16="fagdag",Stamoplysninger!$H$30/200,0)</f>
        <v>0</v>
      </c>
      <c r="DD16" s="245">
        <f>IF(C16="emnedag",Stamoplysninger!$H$30/200,0)</f>
        <v>0</v>
      </c>
      <c r="DE16" s="245">
        <f>IF(C16="lejrskole",Stamoplysninger!$H$30/200,0)</f>
        <v>0</v>
      </c>
      <c r="DF16" s="245">
        <f>IF(C16="ekskursion",Stamoplysninger!$H$30/200,0)</f>
        <v>0</v>
      </c>
      <c r="DG16" s="245">
        <f t="shared" si="26"/>
        <v>0</v>
      </c>
      <c r="DH16" t="str">
        <f t="shared" si="27"/>
        <v/>
      </c>
      <c r="DI16">
        <f t="shared" si="28"/>
        <v>0</v>
      </c>
      <c r="DJ16">
        <f t="shared" si="29"/>
        <v>0</v>
      </c>
      <c r="DK16" t="str">
        <f t="shared" si="14"/>
        <v/>
      </c>
      <c r="DL16" t="str">
        <f t="shared" si="14"/>
        <v/>
      </c>
      <c r="DM16" t="str">
        <f t="shared" si="14"/>
        <v/>
      </c>
      <c r="DN16" t="str">
        <f t="shared" si="30"/>
        <v/>
      </c>
      <c r="DO16" s="643">
        <f>IF(AND(Stamoplysninger!$B$22="Ulempetillæg udbetales med 25% af nettotimelønnen.",H16&gt;0),(R16/4),0)</f>
        <v>0</v>
      </c>
      <c r="DP16">
        <f>IF(AND(Stamoplysninger!$B$22="Ulempetillæg udbetales med 25% af nettotimelønnen.",I16="X"),K16/4,0)</f>
        <v>0</v>
      </c>
      <c r="DQ16">
        <f>IF(AND(Stamoplysninger!$B$22="Ulempetillæg udbetales med 25% af nettotimelønnen.",U16="X"),(X16/4),0)</f>
        <v>0</v>
      </c>
      <c r="DR16">
        <f>IF(AND(AND(Stamoplysninger!$B$22="Ulempetillæg udbetales med 25% af nettotimelønnen.",S16="X",I16="X")),V16/4,0)</f>
        <v>0</v>
      </c>
      <c r="DS16" s="662">
        <f>IF(AND(Stamoplysninger!$B$22="Ulempetillæg udbetales med 25% af nettotimelønnen.",C16="ikke relevant"),(R16)/4,0)</f>
        <v>0</v>
      </c>
      <c r="DT16" s="662">
        <f>IF(AND(AND(Stamoplysninger!$B$22="Ulempetillæg udbetales med 25% af nettotimelønnen.",I16="X",C16="Ikke relevant")),K16/4,0)</f>
        <v>0</v>
      </c>
      <c r="DU16" s="662">
        <f>IF(AND(AND(Stamoplysninger!$B$22="Ulempetillæg udbetales med 25% af nettotimelønnen.",C16="ikke relevant",U16="X")),(X16/4),0)</f>
        <v>0</v>
      </c>
      <c r="DV16" s="663">
        <f>IF(AND(AND(AND(Stamoplysninger!$B$22="Ulempetillæg udbetales med 25% af nettotimelønnen.",I16="X",C16="Ikke relevant",S16="X"))),V16/4,0)</f>
        <v>0</v>
      </c>
      <c r="DW16" s="643"/>
      <c r="DZ16" s="662"/>
      <c r="EA16" s="662"/>
      <c r="EB16" s="663"/>
      <c r="EC16" s="643">
        <f>IF(AND(Stamoplysninger!$B$22="Ulempetillæg afspadseres med 25%(Kræver en aftale imellem ledelsen og den ansatte)",H16&gt;0),R16/4,0)</f>
        <v>0</v>
      </c>
      <c r="ED16">
        <f>IF(AND(Stamoplysninger!$B$22="Ulempetillæg afspadseres med 25%(Kræver en aftale imellem ledelsen og den ansatte)",I16="X"),K16/4,0)</f>
        <v>0</v>
      </c>
      <c r="EE16">
        <f>IF(AND(Stamoplysninger!$B$22="Ulempetillæg afspadseres med 25%(Kræver en aftale imellem ledelsen og den ansatte)",U16="X"),X16/4,0)</f>
        <v>0</v>
      </c>
      <c r="EF16">
        <f>IF(AND(AND(Stamoplysninger!$B$22="Ulempetillæg afspadseres med 25%(Kræver en aftale imellem ledelsen og den ansatte)",I16="X",S16="X")),V16/4,0)</f>
        <v>0</v>
      </c>
      <c r="EG16" s="662">
        <f>IF(AND(Stamoplysninger!$B$22="Ulempetillæg afspadseres med 25%(Kræver en aftale imellem ledelsen og den ansatte)",C16="ikke relevant"),(R16)/4,0)</f>
        <v>0</v>
      </c>
      <c r="EH16" s="662">
        <f>IF(AND(AND(Stamoplysninger!$B$22="Ulempetillæg afspadseres med 25%(Kræver en aftale imellem ledelsen og den ansatte)",I16="X",C16="Ikke relevant")),K16/4,0)</f>
        <v>0</v>
      </c>
      <c r="EI16" s="662">
        <f>IF(AND(AND(Stamoplysninger!$B$22="Ulempetillæg afspadseres med 25%(Kræver en aftale imellem ledelsen og den ansatte)",U16="X",C16="Ikke relevant")),X16/4,0)</f>
        <v>0</v>
      </c>
      <c r="EJ16" s="662">
        <f>IF(AND(AND(AND(Stamoplysninger!$B$22="Ulempetillæg afspadseres med 25%(Kræver en aftale imellem ledelsen og den ansatte)",I16="X",C16="Ikke relevant",S16="X"))),V16/4,0)</f>
        <v>0</v>
      </c>
      <c r="EK16" s="279">
        <f>IF(AND(Stamoplysninger!$B$26="Weekendtimer og weekendtillæg afspadseres.",I16="X"),K16*1.5,0)</f>
        <v>0</v>
      </c>
      <c r="EL16" s="247">
        <f>IF(AND(AND(Stamoplysninger!$B$26="Weekendtimer og weekendtillæg afspadseres.",I16="X",S16="X")),V16*1.5,0)</f>
        <v>0</v>
      </c>
      <c r="EM16" s="665">
        <f>IF(AND(AND(Stamoplysninger!$B$26="Weekendtimer og weekendtillæg afspadseres.",I16="X",C16="ikke relevant")),K16*1.5,0)</f>
        <v>0</v>
      </c>
      <c r="EN16" s="666">
        <f>IF(AND(AND(AND(Stamoplysninger!$B$26="Weekendtimer og weekendtillæg afspadseres.",I16="X",C16="ikke relevant",S16="X"))),(V16*1.5),0)</f>
        <v>0</v>
      </c>
      <c r="EO16" s="279">
        <f>IF(AND(Stamoplysninger!$B$26="Weekendtimer og weekendtillæg udbetales.",I16="X"),K16*1.5,0)</f>
        <v>0</v>
      </c>
      <c r="EP16" s="247">
        <f>IF(AND(AND(Stamoplysninger!$B$26="Weekendtimer og weekendtillæg udbetales.",I16="X",S16="X")),V16*1.5,0)</f>
        <v>0</v>
      </c>
      <c r="EQ16" s="665">
        <f>IF(AND(AND(Stamoplysninger!$B$26="Weekendtimer og weekendtillæg udbetales.",I16="X",C16="ikke relevant")),K16*1.5,0)</f>
        <v>0</v>
      </c>
      <c r="ER16" s="666">
        <f>IF(AND(AND(AND(Stamoplysninger!$B$26="Weekendtimer og weekendtillæg udbetales.",I16="X",C16="ikke relevant",S16="X"))),(V16*1.5),0)</f>
        <v>0</v>
      </c>
      <c r="ES16" s="279">
        <f>IF(AND(Stamoplysninger!$B$26="Der er indgået lokalaftale omkring weekendtimer.(Kræver aftale med TR/FSL) Weekendtillæg afspadseres.",I16="X"),K16*0.5,0)</f>
        <v>0</v>
      </c>
      <c r="ET16" s="247">
        <f>IF(AND(AND(Stamoplysninger!$B$26="Der er indgået lokalaftale omkring weekendtimer.(Kræver aftale med TR/FSL) Weekendtillæg afspadseres.",I16="X",S16="X")),V16*0.5,0)</f>
        <v>0</v>
      </c>
      <c r="EU16" s="665">
        <f>IF(AND(AND(Stamoplysninger!$B$26="Der er indgået lokalaftale omkring weekendtimer.(Kræver aftale med TR/FSL) Weekendtillæg afspadseres.",I16="X",C16="ikke relevant")),K16*0.5,0)</f>
        <v>0</v>
      </c>
      <c r="EV16" s="666">
        <f>IF(AND(AND(AND(Stamoplysninger!$B$26="Der er indgået lokalaftale omkring weekendtimer.(Kræver aftale med TR/FSL) Weekendtillæg afspadseres.",I16="X",C16="ikke relevant",S16="X"))),(V16*0.5),0)</f>
        <v>0</v>
      </c>
      <c r="EW16" s="279">
        <f>IF(AND(Stamoplysninger!$B$26="Der er indgået lokalaftale omkring weekendtimer(Kræver aftale med TR/FSL). Weekendtillæg udbetales.",I16="X"),K16*0.5,0)</f>
        <v>0</v>
      </c>
      <c r="EX16" s="247">
        <f>IF(AND(AND(Stamoplysninger!$B$26="Der er indgået lokalaftale omkring weekendtimer(Kræver aftale med TR/FSL). Weekendtillæg udbetales.",I16="X",S16="X")),V16*0.5,0)</f>
        <v>0</v>
      </c>
      <c r="EY16" s="665">
        <f>IF(AND(AND(Stamoplysninger!$B$26="Der er indgået lokalaftale omkring weekendtimer(Kræver aftale med TR/FSL). Weekendtillæg udbetales.",I16="X",C16="ikke relevant")),K16*0.5,0)</f>
        <v>0</v>
      </c>
      <c r="EZ16" s="666">
        <f>IF(AND(AND(AND(Stamoplysninger!$B$26="Der er indgået lokalaftale omkring weekendtimer(Kræver aftale med TR/FSL). Weekendtillæg udbetales.",I16="X",C16="ikke relevant",S16="X"))),(V16*0.5),0)</f>
        <v>0</v>
      </c>
      <c r="FA16" s="279">
        <f>IF(AND(Stamoplysninger!$B$26="Der er indgået lokalaftale omkring weekendtillæg(Kræver aftale med TR/FSL). Weekendtimerne afspadseres.",I16="X"),K16,0)</f>
        <v>0</v>
      </c>
      <c r="FB16" s="247">
        <f>IF(AND(AND(Stamoplysninger!$B$26="Der er indgået lokalaftale omkring weekendtillæg(Kræver aftale med TR/FSL). Weekendtimerne afspadseres.",I16="X",S16="X")),V16,0)</f>
        <v>0</v>
      </c>
      <c r="FC16" s="665">
        <f>IF(AND(AND(Stamoplysninger!$B$26="Der er indgået lokalaftale omkring weekendtillæg(Kræver aftale med TR/FSL). Weekendtimerne afspadseres..",I16="X",C16="ikke relevant")),K16,0)</f>
        <v>0</v>
      </c>
      <c r="FD16" s="666">
        <f>IF(AND(AND(AND(Stamoplysninger!$B$26="Der er indgået lokalaftale omkring weekendtillæg(Kræver aftale med TR/FSL). Weekendtimerne afspadseres.",I16="X",C16="ikke relevant",S16="X"))),(V16),0)</f>
        <v>0</v>
      </c>
      <c r="FE16" s="279">
        <f>IF(AND(Stamoplysninger!$B$26="Der er indgået lokalaftale omkring weekendtillæg(Kræver aftale med TR/FSL). Weekendtimerne udbetales.",I16="X"),K16,0)</f>
        <v>0</v>
      </c>
      <c r="FF16" s="247">
        <f>IF(AND(AND(Stamoplysninger!$B$26="Der er indgået lokalaftale omkring weekendtillæg(Kræver aftale med TR/FSL). Weekendtimerne udbetales.",I16="X",S16="X")),V16,0)</f>
        <v>0</v>
      </c>
      <c r="FG16" s="665">
        <f>IF(AND(AND(Stamoplysninger!$B$26="Der er indgået lokalaftale omkring weekendtillæg(Kræver aftale med TR/FSL). Weekendtimerne udbetales.",I16="X",C16="ikke relevant")),K16,0)</f>
        <v>0</v>
      </c>
      <c r="FH16" s="666">
        <f>IF(AND(AND(AND(Stamoplysninger!$B$26="Der er indgået lokalaftale omkring weekendtillæg(Kræver aftale med TR/FSL). Weekendtimerne udbetales.",I16="X",C16="ikke relevant",S16="X"))),(V16),0)</f>
        <v>0</v>
      </c>
      <c r="FI16" s="279">
        <f>IF(AND(Stamoplysninger!$B$26="Weekendtimer og weekendtillæg afspadseres.",I16="X"),K16,0)</f>
        <v>0</v>
      </c>
      <c r="FJ16" s="247">
        <f>IF(AND(Stamoplysninger!$B$26="Weekendtimer og weekendtillæg afspadseres.",Y16="X"),(AA16+AL16)/2,0)</f>
        <v>0</v>
      </c>
      <c r="FK16" s="665">
        <f>IF(AND(AND(Stamoplysninger!$B$26="Weekendtimer og weekendtillæg afspadseres.",I16="X",C16="ikke relevant")),K16,0)</f>
        <v>0</v>
      </c>
      <c r="FL16" s="666">
        <f>IF(AND(AND(Stamoplysninger!$B$26="Weekendtimer og weekendtillæg afspadseres.",Y16="X",S16="ikke relevant")),(AA16+AL16)/2,0)</f>
        <v>0</v>
      </c>
      <c r="FM16" s="279">
        <f>IF(AND(Stamoplysninger!$B$26="Der er indgået lokalaftale omkring weekendtillæg(Kræver aftale med TR/FSL). Weekendtimerne afspadseres.",I16="X"),K16,0)</f>
        <v>0</v>
      </c>
      <c r="FN16" s="665">
        <f>IF(AND(AND(Stamoplysninger!$B$26="Der er indgået lokalaftale omkring weekendtillæg(Kræver aftale med TR/FSL). Weekendtimerne afspadseres.",I16="X",C16="ikke relevant")),K16,0)</f>
        <v>0</v>
      </c>
      <c r="FO16" s="279">
        <f>IF(AND(Stamoplysninger!$B$26="Weekendtimer og weekendtillæg udbetales.",I16="X"),K16,0)</f>
        <v>0</v>
      </c>
      <c r="FP16" s="247">
        <f>IF(AND(Stamoplysninger!$B$26="Weekendtimer og weekendtillæg udbetales.",AA16="X"),(AC16+AN16)/2,0)</f>
        <v>0</v>
      </c>
      <c r="FQ16" s="665">
        <f>IF(AND(AND(Stamoplysninger!$B$26="Weekendtimer og weekendtillæg udbetales.",I16="X",C16="ikke relevant")),K16,0)</f>
        <v>0</v>
      </c>
      <c r="FR16" s="679">
        <f>IF(AND(AND(Stamoplysninger!$B$26="Weekendtimer og weekendtillæg udbetales.",AA16="X",U16="ikke relevant")),(AC16+AN16)/2,0)</f>
        <v>0</v>
      </c>
      <c r="FS16" s="279">
        <f t="shared" si="15"/>
        <v>0</v>
      </c>
      <c r="FT16" s="649">
        <f t="shared" si="16"/>
        <v>0</v>
      </c>
      <c r="FU16">
        <f t="shared" si="17"/>
        <v>0</v>
      </c>
      <c r="FV16" s="279">
        <f>IF(AND(Stamoplysninger!$B$26="Der er indgået lokalaftale omkring weekendtimer.(Kræver aftale med TR/FSL) Weekendtillæg afspadseres.",I16="X"),K16,0)</f>
        <v>0</v>
      </c>
      <c r="FW16" s="665">
        <f>IF(AND(AND(Stamoplysninger!$B$26="Der er indgået lokalaftale omkring weekendtimer.(Kræver aftale med TR/FSL) Weekendtillæg afspadseres.",I16="X",C16="ikke relevant")),K16,0)</f>
        <v>0</v>
      </c>
      <c r="FX16" s="279">
        <f>IF(AND(Stamoplysninger!$B$26="Der er indgået lokalaftale omkring weekendtimer(Kræver aftale med TR/FSL). Weekendtillæg udbetales.",I16="X"),K16,0)</f>
        <v>0</v>
      </c>
      <c r="FY16" s="665">
        <f>IF(AND(AND(Stamoplysninger!$B$26="Der er indgået lokalaftale omkring weekendtimer(Kræver aftale med TR/FSL). Weekendtillæg udbetales.",I16="X",C16="ikke relevant")),K16,0)</f>
        <v>0</v>
      </c>
      <c r="FZ16" s="279">
        <f>IF(AND(Stamoplysninger!$B$26="Der er indgået lokalaftale omkring weekendtillæg(Kræver aftale med TR/FSL). Weekendtimerne udbetales.",I16="X"),K16,0)</f>
        <v>0</v>
      </c>
      <c r="GA16" s="665">
        <f>IF(AND(AND(Stamoplysninger!$B$26="Der er indgået lokalaftale omkring weekendtillæg(Kræver aftale med TR/FSL). Weekendtimerne udbetales.",I16="X",C16="ikke relevant")),K16,0)</f>
        <v>0</v>
      </c>
      <c r="GB16" s="279">
        <f>IF(AND(Stamoplysninger!$B$26="Der er indgået lokalaftale omkring weekendtimer og weekendtillæg.(Kræver aftale med TR/FSL).",I16="X"),K16,0)</f>
        <v>0</v>
      </c>
      <c r="GC16" s="665">
        <f>IF(AND(AND(Stamoplysninger!$B$26="Der er indgået lokalaftale omkring weekendtimer og weekendtillæg.(Kræver aftale med TR/FSL).",I16="X",C16="ikke relevant")),K16,0)</f>
        <v>0</v>
      </c>
    </row>
    <row r="17" spans="1:185">
      <c r="A17" s="241">
        <f t="shared" si="18"/>
        <v>9</v>
      </c>
      <c r="B17" s="127" t="str">
        <f t="shared" si="0"/>
        <v>on</v>
      </c>
      <c r="C17" s="128" t="s">
        <v>206</v>
      </c>
      <c r="D17" s="129" t="str">
        <f t="shared" si="1"/>
        <v/>
      </c>
      <c r="E17" s="932"/>
      <c r="F17" s="933"/>
      <c r="G17" s="934"/>
      <c r="H17" s="294"/>
      <c r="I17" s="519"/>
      <c r="J17" s="407"/>
      <c r="K17" s="374"/>
      <c r="L17" s="374"/>
      <c r="M17" s="374"/>
      <c r="N17" s="313">
        <f t="shared" si="19"/>
        <v>0</v>
      </c>
      <c r="O17" s="313">
        <f t="shared" si="20"/>
        <v>0</v>
      </c>
      <c r="P17" s="313">
        <f>IF(Stamoplysninger!$H$29="JA",Oktober!DG17,CX17)</f>
        <v>0</v>
      </c>
      <c r="Q17" s="313">
        <f t="shared" si="21"/>
        <v>0</v>
      </c>
      <c r="R17" s="314"/>
      <c r="S17" s="319"/>
      <c r="T17" s="320"/>
      <c r="U17" s="320"/>
      <c r="V17" s="429"/>
      <c r="W17" s="406"/>
      <c r="X17" s="633"/>
      <c r="Y17">
        <f t="shared" si="22"/>
        <v>0</v>
      </c>
      <c r="Z17">
        <f t="shared" si="2"/>
        <v>0</v>
      </c>
      <c r="AA17" s="1">
        <f t="shared" si="3"/>
        <v>0</v>
      </c>
      <c r="AB17" s="1">
        <f t="shared" si="4"/>
        <v>0</v>
      </c>
      <c r="AC17" s="1">
        <f t="shared" si="5"/>
        <v>0</v>
      </c>
      <c r="AD17" s="1">
        <f t="shared" si="6"/>
        <v>0</v>
      </c>
      <c r="AE17" s="1">
        <f t="shared" si="7"/>
        <v>0</v>
      </c>
      <c r="AF17" s="1">
        <f>IF(C17="Orlov",7.4*Stamoplysninger!$E$15,0)</f>
        <v>0</v>
      </c>
      <c r="AG17" t="str">
        <f>IF(AND(C17="Skema 1",B17="ma"),Arbejdstidsoversigt!$E$72,"")</f>
        <v/>
      </c>
      <c r="AH17" t="str">
        <f>IF(AND(C17="Skema 1",B17="ti"),Arbejdstidsoversigt!$E$73,"")</f>
        <v/>
      </c>
      <c r="AI17">
        <f>IF(AND(C17="Skema 1",B17="on"),Arbejdstidsoversigt!$E$74,"")</f>
        <v>0</v>
      </c>
      <c r="AJ17" t="str">
        <f>IF(AND(C17="Skema 1",B17="to"),Arbejdstidsoversigt!$E$75,"")</f>
        <v/>
      </c>
      <c r="AK17" t="str">
        <f>IF(AND(C17="Skema 1",B17="fr"),Arbejdstidsoversigt!$E$76,"")</f>
        <v/>
      </c>
      <c r="AL17" t="str">
        <f>IF(AND(C17="Skema 2",B17="ma"),Arbejdstidsoversigt!$E$81,"")</f>
        <v/>
      </c>
      <c r="AM17" t="str">
        <f>IF(AND(C17="Skema 2",B17="ti"),Arbejdstidsoversigt!$E$82,"")</f>
        <v/>
      </c>
      <c r="AN17" t="str">
        <f>IF(AND(C17="Skema 2",B17="on"),Arbejdstidsoversigt!$E$83,"")</f>
        <v/>
      </c>
      <c r="AO17" t="str">
        <f>IF(AND(C17="Skema 2",B17="to"),Arbejdstidsoversigt!$E$84,"")</f>
        <v/>
      </c>
      <c r="AP17" t="str">
        <f>IF(AND(C17="Skema 2",B17="fr"),Arbejdstidsoversigt!$E$85,"")</f>
        <v/>
      </c>
      <c r="AQ17" t="str">
        <f>IF(AND(C17="Skema 3",B17="ma"),Arbejdstidsoversigt!$E$90,"")</f>
        <v/>
      </c>
      <c r="AR17" t="str">
        <f>IF(AND(C17="Skema 3",B17="ti"),Arbejdstidsoversigt!$E$91,"")</f>
        <v/>
      </c>
      <c r="AS17" t="str">
        <f>IF(AND(C17="Skema 3",B17="on"),Arbejdstidsoversigt!$E$92,"")</f>
        <v/>
      </c>
      <c r="AT17" t="str">
        <f>IF(AND(C17="Skema 3",B17="to"),Arbejdstidsoversigt!$E$93,"")</f>
        <v/>
      </c>
      <c r="AU17" t="str">
        <f>IF(AND(C17="Skema 3",B17="fr"),Arbejdstidsoversigt!$E$94,"")</f>
        <v/>
      </c>
      <c r="AV17" t="str">
        <f>IF(AND(C17="Skema 4",B17="ma"),Arbejdstidsoversigt!$E$99,"")</f>
        <v/>
      </c>
      <c r="AW17" t="str">
        <f>IF(AND(C17="Skema 4",B17="ti"),Arbejdstidsoversigt!$E$100,"")</f>
        <v/>
      </c>
      <c r="AX17" t="str">
        <f>IF(AND(C17="Skema 4",B17="on"),Arbejdstidsoversigt!$E$101,"")</f>
        <v/>
      </c>
      <c r="AY17" t="str">
        <f>IF(AND(C17="Skema 4",B17="to"),Arbejdstidsoversigt!$E$102,"")</f>
        <v/>
      </c>
      <c r="AZ17" t="str">
        <f>IF(AND(C17="Skema 4",B17="fr"),Arbejdstidsoversigt!$E$103,"")</f>
        <v/>
      </c>
      <c r="BA17" s="1">
        <f t="shared" si="23"/>
        <v>0</v>
      </c>
      <c r="BB17" s="226">
        <f t="shared" si="8"/>
        <v>0</v>
      </c>
      <c r="BC17" s="1">
        <f t="shared" si="24"/>
        <v>0</v>
      </c>
      <c r="BD17" s="1">
        <f t="shared" si="9"/>
        <v>0</v>
      </c>
      <c r="BE17" s="1">
        <f t="shared" si="10"/>
        <v>0</v>
      </c>
      <c r="BF17" s="1">
        <f t="shared" si="11"/>
        <v>0</v>
      </c>
      <c r="BG17" s="209" t="str">
        <f>IF(AND(C17="Skema 1",B17="ma"),Skemaoplysninger!$E$30,"")</f>
        <v/>
      </c>
      <c r="BH17" s="209" t="str">
        <f>IF(AND(C17="Skema 1",B17="ti"),Skemaoplysninger!$G$30,"")</f>
        <v/>
      </c>
      <c r="BI17" s="209">
        <f>IF(AND(C17="Skema 1",B17="on"),Skemaoplysninger!$I$30,"")</f>
        <v>0</v>
      </c>
      <c r="BJ17" s="209" t="str">
        <f>IF(AND(C17="Skema 1",B17="to"),Skemaoplysninger!$K$30,"")</f>
        <v/>
      </c>
      <c r="BK17" s="209" t="str">
        <f>IF(AND(C17="Skema 1",B17="fr"),Skemaoplysninger!$M$30,"")</f>
        <v/>
      </c>
      <c r="BL17" s="209" t="str">
        <f>IF(AND(C17="Skema 2",B17="ma"),Skemaoplysninger!$S$30,"")</f>
        <v/>
      </c>
      <c r="BM17" s="209" t="str">
        <f>IF(AND(C17="Skema 2",B17="ti"),Skemaoplysninger!$U$30,"")</f>
        <v/>
      </c>
      <c r="BN17" s="209" t="str">
        <f>IF(AND(C17="Skema 2",B17="on"),Skemaoplysninger!$W$30,"")</f>
        <v/>
      </c>
      <c r="BO17" s="209" t="str">
        <f>IF(AND(C17="Skema 2",B17="to"),Skemaoplysninger!$Y$30,"")</f>
        <v/>
      </c>
      <c r="BP17" s="209" t="str">
        <f>IF(AND(C17="Skema 2",B17="fr"),Skemaoplysninger!$AA$30,"")</f>
        <v/>
      </c>
      <c r="BQ17" s="209" t="str">
        <f>IF(AND(C17="Skema 3",B17="ma"),Skemaoplysninger!$AG$30,"")</f>
        <v/>
      </c>
      <c r="BR17" s="209" t="str">
        <f>IF(AND(C17="Skema 3",B17="ti"),Skemaoplysninger!$AI$30,"")</f>
        <v/>
      </c>
      <c r="BS17" s="209" t="str">
        <f>IF(AND(C17="Skema 3",B17="on"),Skemaoplysninger!$AK$30,"")</f>
        <v/>
      </c>
      <c r="BT17" s="209" t="str">
        <f>IF(AND(C17="Skema 3",B17="to"),Skemaoplysninger!$AM$30,"")</f>
        <v/>
      </c>
      <c r="BU17" s="209" t="str">
        <f>IF(AND(C17="Skema 3",B17="fr"),Skemaoplysninger!$AO$30,"")</f>
        <v/>
      </c>
      <c r="BV17" s="209" t="str">
        <f>IF(AND(C17="Skema 4",B17="ma"),Skemaoplysninger!$AU$30,"")</f>
        <v/>
      </c>
      <c r="BW17" s="209" t="str">
        <f>IF(AND(C17="Skema 4",B17="ti"),Skemaoplysninger!$AW$30,"")</f>
        <v/>
      </c>
      <c r="BX17" s="209" t="str">
        <f>IF(AND(C17="Skema 4",B17="on"),Skemaoplysninger!$AY$30,"")</f>
        <v/>
      </c>
      <c r="BY17" s="209" t="str">
        <f>IF(AND(C17="Skema 4",B17="to"),Skemaoplysninger!$BA$30,"")</f>
        <v/>
      </c>
      <c r="BZ17" s="209" t="str">
        <f>IF(AND(C17="Skema 4",B17="fr"),Skemaoplysninger!$BC$30,"")</f>
        <v/>
      </c>
      <c r="CA17" s="1">
        <f t="shared" si="25"/>
        <v>0</v>
      </c>
      <c r="CB17" s="1">
        <f t="shared" si="12"/>
        <v>0</v>
      </c>
      <c r="CC17" s="1">
        <f t="shared" si="13"/>
        <v>0</v>
      </c>
      <c r="CD17" s="209" t="str">
        <f>IF(AND(C17="Skema 1",B17="ma"),Skemaoplysninger!$E$31,"")</f>
        <v/>
      </c>
      <c r="CE17" s="209" t="str">
        <f>IF(AND(C17="Skema 1",B17="ti"),Skemaoplysninger!$G$31,"")</f>
        <v/>
      </c>
      <c r="CF17" s="209">
        <f>IF(AND(C17="Skema 1",B17="on"),Skemaoplysninger!$I$31,"")</f>
        <v>0</v>
      </c>
      <c r="CG17" s="209" t="str">
        <f>IF(AND(C17="Skema 1",B17="to"),Skemaoplysninger!$K$31,"")</f>
        <v/>
      </c>
      <c r="CH17" s="209" t="str">
        <f>IF(AND(C17="Skema 1",B17="fr"),Skemaoplysninger!$M$31,"")</f>
        <v/>
      </c>
      <c r="CI17" s="209" t="str">
        <f>IF(AND(C17="Skema 2",B17="ma"),Skemaoplysninger!$S$31,"")</f>
        <v/>
      </c>
      <c r="CJ17" s="209" t="str">
        <f>IF(AND(C17="Skema 2",B17="ti"),Skemaoplysninger!$U$31,"")</f>
        <v/>
      </c>
      <c r="CK17" s="209" t="str">
        <f>IF(AND(C17="Skema 2",B17="on"),Skemaoplysninger!$W$31,"")</f>
        <v/>
      </c>
      <c r="CL17" s="209" t="str">
        <f>IF(AND(C17="Skema 2",B17="to"),Skemaoplysninger!$Y$31,"")</f>
        <v/>
      </c>
      <c r="CM17" s="209" t="str">
        <f>IF(AND(C17="Skema 2",B17="fr"),Skemaoplysninger!$AA$31,"")</f>
        <v/>
      </c>
      <c r="CN17" s="209" t="str">
        <f>IF(AND(C17="Skema 3",B17="ma"),Skemaoplysninger!$AG$31,"")</f>
        <v/>
      </c>
      <c r="CO17" s="209" t="str">
        <f>IF(AND(C17="Skema 3",B17="ti"),Skemaoplysninger!$AI$31,"")</f>
        <v/>
      </c>
      <c r="CP17" s="209" t="str">
        <f>IF(AND(C17="Skema 3",B17="on"),Skemaoplysninger!$AK$31,"")</f>
        <v/>
      </c>
      <c r="CQ17" s="209" t="str">
        <f>IF(AND(C17="Skema 3",B17="to"),Skemaoplysninger!$AM$31,"")</f>
        <v/>
      </c>
      <c r="CR17" s="209" t="str">
        <f>IF(AND(C17="Skema 3",B17="fr"),Skemaoplysninger!$AO$31,"")</f>
        <v/>
      </c>
      <c r="CS17" s="209" t="str">
        <f>IF(AND(C17="Skema 4",B17="ma"),Skemaoplysninger!$AU$31,"")</f>
        <v/>
      </c>
      <c r="CT17" s="209" t="str">
        <f>IF(AND(C17="Skema 4",B17="ti"),Skemaoplysninger!$AW$31,"")</f>
        <v/>
      </c>
      <c r="CU17" s="209" t="str">
        <f>IF(AND(C17="Skema 4",B17="on"),Skemaoplysninger!$AY$31,"")</f>
        <v/>
      </c>
      <c r="CV17" s="209" t="str">
        <f>IF(AND(C17="Skema 4",B17="to"),Skemaoplysninger!$BA$31,"")</f>
        <v/>
      </c>
      <c r="CW17" s="209" t="str">
        <f>IF(AND(C17="Skema 4",B17="fr"),Skemaoplysninger!$BC$31,"")</f>
        <v/>
      </c>
      <c r="CX17" s="245">
        <f>IF(Stamoplysninger!$H$29="NEJ",SUM(CD17:CW17)*24+CB17+CC17,0)</f>
        <v>0</v>
      </c>
      <c r="CY17" s="245">
        <f>IF(C17="Skema 1",Stamoplysninger!$H$30/200,0)</f>
        <v>0</v>
      </c>
      <c r="CZ17" s="245">
        <f>IF(C17="Skema 2",Stamoplysninger!$H$30/200,0)</f>
        <v>0</v>
      </c>
      <c r="DA17" s="245">
        <f>IF(C17="Skema 3",Stamoplysninger!$H$30/200,0)</f>
        <v>0</v>
      </c>
      <c r="DB17" s="245">
        <f>IF(C17="Skema 4",Stamoplysninger!$H$30/200,0)</f>
        <v>0</v>
      </c>
      <c r="DC17" s="245">
        <f>IF(C17="fagdag",Stamoplysninger!$H$30/200,0)</f>
        <v>0</v>
      </c>
      <c r="DD17" s="245">
        <f>IF(C17="emnedag",Stamoplysninger!$H$30/200,0)</f>
        <v>0</v>
      </c>
      <c r="DE17" s="245">
        <f>IF(C17="lejrskole",Stamoplysninger!$H$30/200,0)</f>
        <v>0</v>
      </c>
      <c r="DF17" s="245">
        <f>IF(C17="ekskursion",Stamoplysninger!$H$30/200,0)</f>
        <v>0</v>
      </c>
      <c r="DG17" s="245">
        <f t="shared" si="26"/>
        <v>0</v>
      </c>
      <c r="DH17" t="str">
        <f t="shared" si="27"/>
        <v/>
      </c>
      <c r="DI17">
        <f t="shared" si="28"/>
        <v>0</v>
      </c>
      <c r="DJ17">
        <f t="shared" si="29"/>
        <v>0</v>
      </c>
      <c r="DK17" t="str">
        <f t="shared" si="14"/>
        <v/>
      </c>
      <c r="DL17" t="str">
        <f t="shared" si="14"/>
        <v/>
      </c>
      <c r="DM17" t="str">
        <f t="shared" si="14"/>
        <v/>
      </c>
      <c r="DN17" t="str">
        <f t="shared" si="30"/>
        <v/>
      </c>
      <c r="DO17" s="643">
        <f>IF(AND(Stamoplysninger!$B$22="Ulempetillæg udbetales med 25% af nettotimelønnen.",H17&gt;0),(R17/4),0)</f>
        <v>0</v>
      </c>
      <c r="DP17">
        <f>IF(AND(Stamoplysninger!$B$22="Ulempetillæg udbetales med 25% af nettotimelønnen.",I17="X"),K17/4,0)</f>
        <v>0</v>
      </c>
      <c r="DQ17">
        <f>IF(AND(Stamoplysninger!$B$22="Ulempetillæg udbetales med 25% af nettotimelønnen.",U17="X"),(X17/4),0)</f>
        <v>0</v>
      </c>
      <c r="DR17">
        <f>IF(AND(AND(Stamoplysninger!$B$22="Ulempetillæg udbetales med 25% af nettotimelønnen.",S17="X",I17="X")),V17/4,0)</f>
        <v>0</v>
      </c>
      <c r="DS17" s="662">
        <f>IF(AND(Stamoplysninger!$B$22="Ulempetillæg udbetales med 25% af nettotimelønnen.",C17="ikke relevant"),(R17)/4,0)</f>
        <v>0</v>
      </c>
      <c r="DT17" s="662">
        <f>IF(AND(AND(Stamoplysninger!$B$22="Ulempetillæg udbetales med 25% af nettotimelønnen.",I17="X",C17="Ikke relevant")),K17/4,0)</f>
        <v>0</v>
      </c>
      <c r="DU17" s="662">
        <f>IF(AND(AND(Stamoplysninger!$B$22="Ulempetillæg udbetales med 25% af nettotimelønnen.",C17="ikke relevant",U17="X")),(X17/4),0)</f>
        <v>0</v>
      </c>
      <c r="DV17" s="663">
        <f>IF(AND(AND(AND(Stamoplysninger!$B$22="Ulempetillæg udbetales med 25% af nettotimelønnen.",I17="X",C17="Ikke relevant",S17="X"))),V17/4,0)</f>
        <v>0</v>
      </c>
      <c r="DW17" s="643"/>
      <c r="DZ17" s="662"/>
      <c r="EA17" s="662"/>
      <c r="EB17" s="663"/>
      <c r="EC17" s="643">
        <f>IF(AND(Stamoplysninger!$B$22="Ulempetillæg afspadseres med 25%(Kræver en aftale imellem ledelsen og den ansatte)",H17&gt;0),R17/4,0)</f>
        <v>0</v>
      </c>
      <c r="ED17">
        <f>IF(AND(Stamoplysninger!$B$22="Ulempetillæg afspadseres med 25%(Kræver en aftale imellem ledelsen og den ansatte)",I17="X"),K17/4,0)</f>
        <v>0</v>
      </c>
      <c r="EE17">
        <f>IF(AND(Stamoplysninger!$B$22="Ulempetillæg afspadseres med 25%(Kræver en aftale imellem ledelsen og den ansatte)",U17="X"),X17/4,0)</f>
        <v>0</v>
      </c>
      <c r="EF17">
        <f>IF(AND(AND(Stamoplysninger!$B$22="Ulempetillæg afspadseres med 25%(Kræver en aftale imellem ledelsen og den ansatte)",I17="X",S17="X")),V17/4,0)</f>
        <v>0</v>
      </c>
      <c r="EG17" s="662">
        <f>IF(AND(Stamoplysninger!$B$22="Ulempetillæg afspadseres med 25%(Kræver en aftale imellem ledelsen og den ansatte)",C17="ikke relevant"),(R17)/4,0)</f>
        <v>0</v>
      </c>
      <c r="EH17" s="662">
        <f>IF(AND(AND(Stamoplysninger!$B$22="Ulempetillæg afspadseres med 25%(Kræver en aftale imellem ledelsen og den ansatte)",I17="X",C17="Ikke relevant")),K17/4,0)</f>
        <v>0</v>
      </c>
      <c r="EI17" s="662">
        <f>IF(AND(AND(Stamoplysninger!$B$22="Ulempetillæg afspadseres med 25%(Kræver en aftale imellem ledelsen og den ansatte)",U17="X",C17="Ikke relevant")),X17/4,0)</f>
        <v>0</v>
      </c>
      <c r="EJ17" s="662">
        <f>IF(AND(AND(AND(Stamoplysninger!$B$22="Ulempetillæg afspadseres med 25%(Kræver en aftale imellem ledelsen og den ansatte)",I17="X",C17="Ikke relevant",S17="X"))),V17/4,0)</f>
        <v>0</v>
      </c>
      <c r="EK17" s="279">
        <f>IF(AND(Stamoplysninger!$B$26="Weekendtimer og weekendtillæg afspadseres.",I17="X"),K17*1.5,0)</f>
        <v>0</v>
      </c>
      <c r="EL17" s="247">
        <f>IF(AND(AND(Stamoplysninger!$B$26="Weekendtimer og weekendtillæg afspadseres.",I17="X",S17="X")),V17*1.5,0)</f>
        <v>0</v>
      </c>
      <c r="EM17" s="665">
        <f>IF(AND(AND(Stamoplysninger!$B$26="Weekendtimer og weekendtillæg afspadseres.",I17="X",C17="ikke relevant")),K17*1.5,0)</f>
        <v>0</v>
      </c>
      <c r="EN17" s="666">
        <f>IF(AND(AND(AND(Stamoplysninger!$B$26="Weekendtimer og weekendtillæg afspadseres.",I17="X",C17="ikke relevant",S17="X"))),(V17*1.5),0)</f>
        <v>0</v>
      </c>
      <c r="EO17" s="279">
        <f>IF(AND(Stamoplysninger!$B$26="Weekendtimer og weekendtillæg udbetales.",I17="X"),K17*1.5,0)</f>
        <v>0</v>
      </c>
      <c r="EP17" s="247">
        <f>IF(AND(AND(Stamoplysninger!$B$26="Weekendtimer og weekendtillæg udbetales.",I17="X",S17="X")),V17*1.5,0)</f>
        <v>0</v>
      </c>
      <c r="EQ17" s="665">
        <f>IF(AND(AND(Stamoplysninger!$B$26="Weekendtimer og weekendtillæg udbetales.",I17="X",C17="ikke relevant")),K17*1.5,0)</f>
        <v>0</v>
      </c>
      <c r="ER17" s="666">
        <f>IF(AND(AND(AND(Stamoplysninger!$B$26="Weekendtimer og weekendtillæg udbetales.",I17="X",C17="ikke relevant",S17="X"))),(V17*1.5),0)</f>
        <v>0</v>
      </c>
      <c r="ES17" s="279">
        <f>IF(AND(Stamoplysninger!$B$26="Der er indgået lokalaftale omkring weekendtimer.(Kræver aftale med TR/FSL) Weekendtillæg afspadseres.",I17="X"),K17*0.5,0)</f>
        <v>0</v>
      </c>
      <c r="ET17" s="247">
        <f>IF(AND(AND(Stamoplysninger!$B$26="Der er indgået lokalaftale omkring weekendtimer.(Kræver aftale med TR/FSL) Weekendtillæg afspadseres.",I17="X",S17="X")),V17*0.5,0)</f>
        <v>0</v>
      </c>
      <c r="EU17" s="665">
        <f>IF(AND(AND(Stamoplysninger!$B$26="Der er indgået lokalaftale omkring weekendtimer.(Kræver aftale med TR/FSL) Weekendtillæg afspadseres.",I17="X",C17="ikke relevant")),K17*0.5,0)</f>
        <v>0</v>
      </c>
      <c r="EV17" s="666">
        <f>IF(AND(AND(AND(Stamoplysninger!$B$26="Der er indgået lokalaftale omkring weekendtimer.(Kræver aftale med TR/FSL) Weekendtillæg afspadseres.",I17="X",C17="ikke relevant",S17="X"))),(V17*0.5),0)</f>
        <v>0</v>
      </c>
      <c r="EW17" s="279">
        <f>IF(AND(Stamoplysninger!$B$26="Der er indgået lokalaftale omkring weekendtimer(Kræver aftale med TR/FSL). Weekendtillæg udbetales.",I17="X"),K17*0.5,0)</f>
        <v>0</v>
      </c>
      <c r="EX17" s="247">
        <f>IF(AND(AND(Stamoplysninger!$B$26="Der er indgået lokalaftale omkring weekendtimer(Kræver aftale med TR/FSL). Weekendtillæg udbetales.",I17="X",S17="X")),V17*0.5,0)</f>
        <v>0</v>
      </c>
      <c r="EY17" s="665">
        <f>IF(AND(AND(Stamoplysninger!$B$26="Der er indgået lokalaftale omkring weekendtimer(Kræver aftale med TR/FSL). Weekendtillæg udbetales.",I17="X",C17="ikke relevant")),K17*0.5,0)</f>
        <v>0</v>
      </c>
      <c r="EZ17" s="666">
        <f>IF(AND(AND(AND(Stamoplysninger!$B$26="Der er indgået lokalaftale omkring weekendtimer(Kræver aftale med TR/FSL). Weekendtillæg udbetales.",I17="X",C17="ikke relevant",S17="X"))),(V17*0.5),0)</f>
        <v>0</v>
      </c>
      <c r="FA17" s="279">
        <f>IF(AND(Stamoplysninger!$B$26="Der er indgået lokalaftale omkring weekendtillæg(Kræver aftale med TR/FSL). Weekendtimerne afspadseres.",I17="X"),K17,0)</f>
        <v>0</v>
      </c>
      <c r="FB17" s="247">
        <f>IF(AND(AND(Stamoplysninger!$B$26="Der er indgået lokalaftale omkring weekendtillæg(Kræver aftale med TR/FSL). Weekendtimerne afspadseres.",I17="X",S17="X")),V17,0)</f>
        <v>0</v>
      </c>
      <c r="FC17" s="665">
        <f>IF(AND(AND(Stamoplysninger!$B$26="Der er indgået lokalaftale omkring weekendtillæg(Kræver aftale med TR/FSL). Weekendtimerne afspadseres..",I17="X",C17="ikke relevant")),K17,0)</f>
        <v>0</v>
      </c>
      <c r="FD17" s="666">
        <f>IF(AND(AND(AND(Stamoplysninger!$B$26="Der er indgået lokalaftale omkring weekendtillæg(Kræver aftale med TR/FSL). Weekendtimerne afspadseres.",I17="X",C17="ikke relevant",S17="X"))),(V17),0)</f>
        <v>0</v>
      </c>
      <c r="FE17" s="279">
        <f>IF(AND(Stamoplysninger!$B$26="Der er indgået lokalaftale omkring weekendtillæg(Kræver aftale med TR/FSL). Weekendtimerne udbetales.",I17="X"),K17,0)</f>
        <v>0</v>
      </c>
      <c r="FF17" s="247">
        <f>IF(AND(AND(Stamoplysninger!$B$26="Der er indgået lokalaftale omkring weekendtillæg(Kræver aftale med TR/FSL). Weekendtimerne udbetales.",I17="X",S17="X")),V17,0)</f>
        <v>0</v>
      </c>
      <c r="FG17" s="665">
        <f>IF(AND(AND(Stamoplysninger!$B$26="Der er indgået lokalaftale omkring weekendtillæg(Kræver aftale med TR/FSL). Weekendtimerne udbetales.",I17="X",C17="ikke relevant")),K17,0)</f>
        <v>0</v>
      </c>
      <c r="FH17" s="666">
        <f>IF(AND(AND(AND(Stamoplysninger!$B$26="Der er indgået lokalaftale omkring weekendtillæg(Kræver aftale med TR/FSL). Weekendtimerne udbetales.",I17="X",C17="ikke relevant",S17="X"))),(V17),0)</f>
        <v>0</v>
      </c>
      <c r="FI17" s="279">
        <f>IF(AND(Stamoplysninger!$B$26="Weekendtimer og weekendtillæg afspadseres.",I17="X"),K17,0)</f>
        <v>0</v>
      </c>
      <c r="FJ17" s="247">
        <f>IF(AND(Stamoplysninger!$B$26="Weekendtimer og weekendtillæg afspadseres.",Y17="X"),(AA17+AL17)/2,0)</f>
        <v>0</v>
      </c>
      <c r="FK17" s="665">
        <f>IF(AND(AND(Stamoplysninger!$B$26="Weekendtimer og weekendtillæg afspadseres.",I17="X",C17="ikke relevant")),K17,0)</f>
        <v>0</v>
      </c>
      <c r="FL17" s="666">
        <f>IF(AND(AND(Stamoplysninger!$B$26="Weekendtimer og weekendtillæg afspadseres.",Y17="X",S17="ikke relevant")),(AA17+AL17)/2,0)</f>
        <v>0</v>
      </c>
      <c r="FM17" s="279">
        <f>IF(AND(Stamoplysninger!$B$26="Der er indgået lokalaftale omkring weekendtillæg(Kræver aftale med TR/FSL). Weekendtimerne afspadseres.",I17="X"),K17,0)</f>
        <v>0</v>
      </c>
      <c r="FN17" s="665">
        <f>IF(AND(AND(Stamoplysninger!$B$26="Der er indgået lokalaftale omkring weekendtillæg(Kræver aftale med TR/FSL). Weekendtimerne afspadseres.",I17="X",C17="ikke relevant")),K17,0)</f>
        <v>0</v>
      </c>
      <c r="FO17" s="279">
        <f>IF(AND(Stamoplysninger!$B$26="Weekendtimer og weekendtillæg udbetales.",I17="X"),K17,0)</f>
        <v>0</v>
      </c>
      <c r="FP17" s="247">
        <f>IF(AND(Stamoplysninger!$B$26="Weekendtimer og weekendtillæg udbetales.",AA17="X"),(AC17+AN17)/2,0)</f>
        <v>0</v>
      </c>
      <c r="FQ17" s="665">
        <f>IF(AND(AND(Stamoplysninger!$B$26="Weekendtimer og weekendtillæg udbetales.",I17="X",C17="ikke relevant")),K17,0)</f>
        <v>0</v>
      </c>
      <c r="FR17" s="679">
        <f>IF(AND(AND(Stamoplysninger!$B$26="Weekendtimer og weekendtillæg udbetales.",AA17="X",U17="ikke relevant")),(AC17+AN17)/2,0)</f>
        <v>0</v>
      </c>
      <c r="FS17" s="279">
        <f t="shared" si="15"/>
        <v>0</v>
      </c>
      <c r="FT17" s="649">
        <f t="shared" si="16"/>
        <v>0</v>
      </c>
      <c r="FU17">
        <f t="shared" si="17"/>
        <v>0</v>
      </c>
      <c r="FV17" s="279">
        <f>IF(AND(Stamoplysninger!$B$26="Der er indgået lokalaftale omkring weekendtimer.(Kræver aftale med TR/FSL) Weekendtillæg afspadseres.",I17="X"),K17,0)</f>
        <v>0</v>
      </c>
      <c r="FW17" s="665">
        <f>IF(AND(AND(Stamoplysninger!$B$26="Der er indgået lokalaftale omkring weekendtimer.(Kræver aftale med TR/FSL) Weekendtillæg afspadseres.",I17="X",C17="ikke relevant")),K17,0)</f>
        <v>0</v>
      </c>
      <c r="FX17" s="279">
        <f>IF(AND(Stamoplysninger!$B$26="Der er indgået lokalaftale omkring weekendtimer(Kræver aftale med TR/FSL). Weekendtillæg udbetales.",I17="X"),K17,0)</f>
        <v>0</v>
      </c>
      <c r="FY17" s="665">
        <f>IF(AND(AND(Stamoplysninger!$B$26="Der er indgået lokalaftale omkring weekendtimer(Kræver aftale med TR/FSL). Weekendtillæg udbetales.",I17="X",C17="ikke relevant")),K17,0)</f>
        <v>0</v>
      </c>
      <c r="FZ17" s="279">
        <f>IF(AND(Stamoplysninger!$B$26="Der er indgået lokalaftale omkring weekendtillæg(Kræver aftale med TR/FSL). Weekendtimerne udbetales.",I17="X"),K17,0)</f>
        <v>0</v>
      </c>
      <c r="GA17" s="665">
        <f>IF(AND(AND(Stamoplysninger!$B$26="Der er indgået lokalaftale omkring weekendtillæg(Kræver aftale med TR/FSL). Weekendtimerne udbetales.",I17="X",C17="ikke relevant")),K17,0)</f>
        <v>0</v>
      </c>
      <c r="GB17" s="279">
        <f>IF(AND(Stamoplysninger!$B$26="Der er indgået lokalaftale omkring weekendtimer og weekendtillæg.(Kræver aftale med TR/FSL).",I17="X"),K17,0)</f>
        <v>0</v>
      </c>
      <c r="GC17" s="665">
        <f>IF(AND(AND(Stamoplysninger!$B$26="Der er indgået lokalaftale omkring weekendtimer og weekendtillæg.(Kræver aftale med TR/FSL).",I17="X",C17="ikke relevant")),K17,0)</f>
        <v>0</v>
      </c>
    </row>
    <row r="18" spans="1:185">
      <c r="A18" s="241">
        <f t="shared" si="18"/>
        <v>10</v>
      </c>
      <c r="B18" s="127" t="str">
        <f t="shared" si="0"/>
        <v>to</v>
      </c>
      <c r="C18" s="128" t="s">
        <v>206</v>
      </c>
      <c r="D18" s="129" t="str">
        <f t="shared" si="1"/>
        <v/>
      </c>
      <c r="E18" s="932"/>
      <c r="F18" s="933"/>
      <c r="G18" s="934"/>
      <c r="H18" s="294"/>
      <c r="I18" s="519"/>
      <c r="J18" s="407"/>
      <c r="K18" s="374"/>
      <c r="L18" s="374"/>
      <c r="M18" s="374"/>
      <c r="N18" s="313">
        <f t="shared" si="19"/>
        <v>0</v>
      </c>
      <c r="O18" s="313">
        <f t="shared" si="20"/>
        <v>0</v>
      </c>
      <c r="P18" s="313">
        <f>IF(Stamoplysninger!$H$29="JA",Oktober!DG18,CX18)</f>
        <v>0</v>
      </c>
      <c r="Q18" s="313">
        <f t="shared" si="21"/>
        <v>0</v>
      </c>
      <c r="R18" s="314"/>
      <c r="S18" s="319"/>
      <c r="T18" s="320"/>
      <c r="U18" s="320"/>
      <c r="V18" s="429"/>
      <c r="W18" s="406"/>
      <c r="X18" s="633"/>
      <c r="Y18">
        <f t="shared" si="22"/>
        <v>0</v>
      </c>
      <c r="Z18">
        <f t="shared" si="2"/>
        <v>0</v>
      </c>
      <c r="AA18" s="1">
        <f t="shared" si="3"/>
        <v>0</v>
      </c>
      <c r="AB18" s="1">
        <f t="shared" si="4"/>
        <v>0</v>
      </c>
      <c r="AC18" s="1">
        <f t="shared" si="5"/>
        <v>0</v>
      </c>
      <c r="AD18" s="1">
        <f t="shared" si="6"/>
        <v>0</v>
      </c>
      <c r="AE18" s="1">
        <f t="shared" si="7"/>
        <v>0</v>
      </c>
      <c r="AF18" s="1">
        <f>IF(C18="Orlov",7.4*Stamoplysninger!$E$15,0)</f>
        <v>0</v>
      </c>
      <c r="AG18" t="str">
        <f>IF(AND(C18="Skema 1",B18="ma"),Arbejdstidsoversigt!$E$72,"")</f>
        <v/>
      </c>
      <c r="AH18" t="str">
        <f>IF(AND(C18="Skema 1",B18="ti"),Arbejdstidsoversigt!$E$73,"")</f>
        <v/>
      </c>
      <c r="AI18" t="str">
        <f>IF(AND(C18="Skema 1",B18="on"),Arbejdstidsoversigt!$E$74,"")</f>
        <v/>
      </c>
      <c r="AJ18">
        <f>IF(AND(C18="Skema 1",B18="to"),Arbejdstidsoversigt!$E$75,"")</f>
        <v>0</v>
      </c>
      <c r="AK18" t="str">
        <f>IF(AND(C18="Skema 1",B18="fr"),Arbejdstidsoversigt!$E$76,"")</f>
        <v/>
      </c>
      <c r="AL18" t="str">
        <f>IF(AND(C18="Skema 2",B18="ma"),Arbejdstidsoversigt!$E$81,"")</f>
        <v/>
      </c>
      <c r="AM18" t="str">
        <f>IF(AND(C18="Skema 2",B18="ti"),Arbejdstidsoversigt!$E$82,"")</f>
        <v/>
      </c>
      <c r="AN18" t="str">
        <f>IF(AND(C18="Skema 2",B18="on"),Arbejdstidsoversigt!$E$83,"")</f>
        <v/>
      </c>
      <c r="AO18" t="str">
        <f>IF(AND(C18="Skema 2",B18="to"),Arbejdstidsoversigt!$E$84,"")</f>
        <v/>
      </c>
      <c r="AP18" t="str">
        <f>IF(AND(C18="Skema 2",B18="fr"),Arbejdstidsoversigt!$E$85,"")</f>
        <v/>
      </c>
      <c r="AQ18" t="str">
        <f>IF(AND(C18="Skema 3",B18="ma"),Arbejdstidsoversigt!$E$90,"")</f>
        <v/>
      </c>
      <c r="AR18" t="str">
        <f>IF(AND(C18="Skema 3",B18="ti"),Arbejdstidsoversigt!$E$91,"")</f>
        <v/>
      </c>
      <c r="AS18" t="str">
        <f>IF(AND(C18="Skema 3",B18="on"),Arbejdstidsoversigt!$E$92,"")</f>
        <v/>
      </c>
      <c r="AT18" t="str">
        <f>IF(AND(C18="Skema 3",B18="to"),Arbejdstidsoversigt!$E$93,"")</f>
        <v/>
      </c>
      <c r="AU18" t="str">
        <f>IF(AND(C18="Skema 3",B18="fr"),Arbejdstidsoversigt!$E$94,"")</f>
        <v/>
      </c>
      <c r="AV18" t="str">
        <f>IF(AND(C18="Skema 4",B18="ma"),Arbejdstidsoversigt!$E$99,"")</f>
        <v/>
      </c>
      <c r="AW18" t="str">
        <f>IF(AND(C18="Skema 4",B18="ti"),Arbejdstidsoversigt!$E$100,"")</f>
        <v/>
      </c>
      <c r="AX18" t="str">
        <f>IF(AND(C18="Skema 4",B18="on"),Arbejdstidsoversigt!$E$101,"")</f>
        <v/>
      </c>
      <c r="AY18" t="str">
        <f>IF(AND(C18="Skema 4",B18="to"),Arbejdstidsoversigt!$E$102,"")</f>
        <v/>
      </c>
      <c r="AZ18" t="str">
        <f>IF(AND(C18="Skema 4",B18="fr"),Arbejdstidsoversigt!$E$103,"")</f>
        <v/>
      </c>
      <c r="BA18" s="1">
        <f t="shared" si="23"/>
        <v>0</v>
      </c>
      <c r="BB18" s="226">
        <f t="shared" si="8"/>
        <v>0</v>
      </c>
      <c r="BC18" s="1">
        <f t="shared" si="24"/>
        <v>0</v>
      </c>
      <c r="BD18" s="1">
        <f t="shared" si="9"/>
        <v>0</v>
      </c>
      <c r="BE18" s="1">
        <f t="shared" si="10"/>
        <v>0</v>
      </c>
      <c r="BF18" s="1">
        <f t="shared" si="11"/>
        <v>0</v>
      </c>
      <c r="BG18" s="209" t="str">
        <f>IF(AND(C18="Skema 1",B18="ma"),Skemaoplysninger!$E$30,"")</f>
        <v/>
      </c>
      <c r="BH18" s="209" t="str">
        <f>IF(AND(C18="Skema 1",B18="ti"),Skemaoplysninger!$G$30,"")</f>
        <v/>
      </c>
      <c r="BI18" s="209" t="str">
        <f>IF(AND(C18="Skema 1",B18="on"),Skemaoplysninger!$I$30,"")</f>
        <v/>
      </c>
      <c r="BJ18" s="209">
        <f>IF(AND(C18="Skema 1",B18="to"),Skemaoplysninger!$K$30,"")</f>
        <v>0</v>
      </c>
      <c r="BK18" s="209" t="str">
        <f>IF(AND(C18="Skema 1",B18="fr"),Skemaoplysninger!$M$30,"")</f>
        <v/>
      </c>
      <c r="BL18" s="209" t="str">
        <f>IF(AND(C18="Skema 2",B18="ma"),Skemaoplysninger!$S$30,"")</f>
        <v/>
      </c>
      <c r="BM18" s="209" t="str">
        <f>IF(AND(C18="Skema 2",B18="ti"),Skemaoplysninger!$U$30,"")</f>
        <v/>
      </c>
      <c r="BN18" s="209" t="str">
        <f>IF(AND(C18="Skema 2",B18="on"),Skemaoplysninger!$W$30,"")</f>
        <v/>
      </c>
      <c r="BO18" s="209" t="str">
        <f>IF(AND(C18="Skema 2",B18="to"),Skemaoplysninger!$Y$30,"")</f>
        <v/>
      </c>
      <c r="BP18" s="209" t="str">
        <f>IF(AND(C18="Skema 2",B18="fr"),Skemaoplysninger!$AA$30,"")</f>
        <v/>
      </c>
      <c r="BQ18" s="209" t="str">
        <f>IF(AND(C18="Skema 3",B18="ma"),Skemaoplysninger!$AG$30,"")</f>
        <v/>
      </c>
      <c r="BR18" s="209" t="str">
        <f>IF(AND(C18="Skema 3",B18="ti"),Skemaoplysninger!$AI$30,"")</f>
        <v/>
      </c>
      <c r="BS18" s="209" t="str">
        <f>IF(AND(C18="Skema 3",B18="on"),Skemaoplysninger!$AK$30,"")</f>
        <v/>
      </c>
      <c r="BT18" s="209" t="str">
        <f>IF(AND(C18="Skema 3",B18="to"),Skemaoplysninger!$AM$30,"")</f>
        <v/>
      </c>
      <c r="BU18" s="209" t="str">
        <f>IF(AND(C18="Skema 3",B18="fr"),Skemaoplysninger!$AO$30,"")</f>
        <v/>
      </c>
      <c r="BV18" s="209" t="str">
        <f>IF(AND(C18="Skema 4",B18="ma"),Skemaoplysninger!$AU$30,"")</f>
        <v/>
      </c>
      <c r="BW18" s="209" t="str">
        <f>IF(AND(C18="Skema 4",B18="ti"),Skemaoplysninger!$AW$30,"")</f>
        <v/>
      </c>
      <c r="BX18" s="209" t="str">
        <f>IF(AND(C18="Skema 4",B18="on"),Skemaoplysninger!$AY$30,"")</f>
        <v/>
      </c>
      <c r="BY18" s="209" t="str">
        <f>IF(AND(C18="Skema 4",B18="to"),Skemaoplysninger!$BA$30,"")</f>
        <v/>
      </c>
      <c r="BZ18" s="209" t="str">
        <f>IF(AND(C18="Skema 4",B18="fr"),Skemaoplysninger!$BC$30,"")</f>
        <v/>
      </c>
      <c r="CA18" s="1">
        <f t="shared" si="25"/>
        <v>0</v>
      </c>
      <c r="CB18" s="1">
        <f t="shared" si="12"/>
        <v>0</v>
      </c>
      <c r="CC18" s="1">
        <f t="shared" si="13"/>
        <v>0</v>
      </c>
      <c r="CD18" s="209" t="str">
        <f>IF(AND(C18="Skema 1",B18="ma"),Skemaoplysninger!$E$31,"")</f>
        <v/>
      </c>
      <c r="CE18" s="209" t="str">
        <f>IF(AND(C18="Skema 1",B18="ti"),Skemaoplysninger!$G$31,"")</f>
        <v/>
      </c>
      <c r="CF18" s="209" t="str">
        <f>IF(AND(C18="Skema 1",B18="on"),Skemaoplysninger!$I$31,"")</f>
        <v/>
      </c>
      <c r="CG18" s="209">
        <f>IF(AND(C18="Skema 1",B18="to"),Skemaoplysninger!$K$31,"")</f>
        <v>0</v>
      </c>
      <c r="CH18" s="209" t="str">
        <f>IF(AND(C18="Skema 1",B18="fr"),Skemaoplysninger!$M$31,"")</f>
        <v/>
      </c>
      <c r="CI18" s="209" t="str">
        <f>IF(AND(C18="Skema 2",B18="ma"),Skemaoplysninger!$S$31,"")</f>
        <v/>
      </c>
      <c r="CJ18" s="209" t="str">
        <f>IF(AND(C18="Skema 2",B18="ti"),Skemaoplysninger!$U$31,"")</f>
        <v/>
      </c>
      <c r="CK18" s="209" t="str">
        <f>IF(AND(C18="Skema 2",B18="on"),Skemaoplysninger!$W$31,"")</f>
        <v/>
      </c>
      <c r="CL18" s="209" t="str">
        <f>IF(AND(C18="Skema 2",B18="to"),Skemaoplysninger!$Y$31,"")</f>
        <v/>
      </c>
      <c r="CM18" s="209" t="str">
        <f>IF(AND(C18="Skema 2",B18="fr"),Skemaoplysninger!$AA$31,"")</f>
        <v/>
      </c>
      <c r="CN18" s="209" t="str">
        <f>IF(AND(C18="Skema 3",B18="ma"),Skemaoplysninger!$AG$31,"")</f>
        <v/>
      </c>
      <c r="CO18" s="209" t="str">
        <f>IF(AND(C18="Skema 3",B18="ti"),Skemaoplysninger!$AI$31,"")</f>
        <v/>
      </c>
      <c r="CP18" s="209" t="str">
        <f>IF(AND(C18="Skema 3",B18="on"),Skemaoplysninger!$AK$31,"")</f>
        <v/>
      </c>
      <c r="CQ18" s="209" t="str">
        <f>IF(AND(C18="Skema 3",B18="to"),Skemaoplysninger!$AM$31,"")</f>
        <v/>
      </c>
      <c r="CR18" s="209" t="str">
        <f>IF(AND(C18="Skema 3",B18="fr"),Skemaoplysninger!$AO$31,"")</f>
        <v/>
      </c>
      <c r="CS18" s="209" t="str">
        <f>IF(AND(C18="Skema 4",B18="ma"),Skemaoplysninger!$AU$31,"")</f>
        <v/>
      </c>
      <c r="CT18" s="209" t="str">
        <f>IF(AND(C18="Skema 4",B18="ti"),Skemaoplysninger!$AW$31,"")</f>
        <v/>
      </c>
      <c r="CU18" s="209" t="str">
        <f>IF(AND(C18="Skema 4",B18="on"),Skemaoplysninger!$AY$31,"")</f>
        <v/>
      </c>
      <c r="CV18" s="209" t="str">
        <f>IF(AND(C18="Skema 4",B18="to"),Skemaoplysninger!$BA$31,"")</f>
        <v/>
      </c>
      <c r="CW18" s="209" t="str">
        <f>IF(AND(C18="Skema 4",B18="fr"),Skemaoplysninger!$BC$31,"")</f>
        <v/>
      </c>
      <c r="CX18" s="245">
        <f>IF(Stamoplysninger!$H$29="NEJ",SUM(CD18:CW18)*24+CB18+CC18,0)</f>
        <v>0</v>
      </c>
      <c r="CY18" s="245">
        <f>IF(C18="Skema 1",Stamoplysninger!$H$30/200,0)</f>
        <v>0</v>
      </c>
      <c r="CZ18" s="245">
        <f>IF(C18="Skema 2",Stamoplysninger!$H$30/200,0)</f>
        <v>0</v>
      </c>
      <c r="DA18" s="245">
        <f>IF(C18="Skema 3",Stamoplysninger!$H$30/200,0)</f>
        <v>0</v>
      </c>
      <c r="DB18" s="245">
        <f>IF(C18="Skema 4",Stamoplysninger!$H$30/200,0)</f>
        <v>0</v>
      </c>
      <c r="DC18" s="245">
        <f>IF(C18="fagdag",Stamoplysninger!$H$30/200,0)</f>
        <v>0</v>
      </c>
      <c r="DD18" s="245">
        <f>IF(C18="emnedag",Stamoplysninger!$H$30/200,0)</f>
        <v>0</v>
      </c>
      <c r="DE18" s="245">
        <f>IF(C18="lejrskole",Stamoplysninger!$H$30/200,0)</f>
        <v>0</v>
      </c>
      <c r="DF18" s="245">
        <f>IF(C18="ekskursion",Stamoplysninger!$H$30/200,0)</f>
        <v>0</v>
      </c>
      <c r="DG18" s="245">
        <f t="shared" si="26"/>
        <v>0</v>
      </c>
      <c r="DH18" t="str">
        <f t="shared" si="27"/>
        <v/>
      </c>
      <c r="DI18">
        <f t="shared" si="28"/>
        <v>0</v>
      </c>
      <c r="DJ18">
        <f t="shared" si="29"/>
        <v>0</v>
      </c>
      <c r="DK18" t="str">
        <f t="shared" si="14"/>
        <v/>
      </c>
      <c r="DL18" t="str">
        <f t="shared" si="14"/>
        <v/>
      </c>
      <c r="DM18" t="str">
        <f t="shared" si="14"/>
        <v/>
      </c>
      <c r="DN18" t="str">
        <f t="shared" si="30"/>
        <v/>
      </c>
      <c r="DO18" s="643">
        <f>IF(AND(Stamoplysninger!$B$22="Ulempetillæg udbetales med 25% af nettotimelønnen.",H18&gt;0),(R18/4),0)</f>
        <v>0</v>
      </c>
      <c r="DP18">
        <f>IF(AND(Stamoplysninger!$B$22="Ulempetillæg udbetales med 25% af nettotimelønnen.",I18="X"),K18/4,0)</f>
        <v>0</v>
      </c>
      <c r="DQ18">
        <f>IF(AND(Stamoplysninger!$B$22="Ulempetillæg udbetales med 25% af nettotimelønnen.",U18="X"),(X18/4),0)</f>
        <v>0</v>
      </c>
      <c r="DR18">
        <f>IF(AND(AND(Stamoplysninger!$B$22="Ulempetillæg udbetales med 25% af nettotimelønnen.",S18="X",I18="X")),V18/4,0)</f>
        <v>0</v>
      </c>
      <c r="DS18" s="662">
        <f>IF(AND(Stamoplysninger!$B$22="Ulempetillæg udbetales med 25% af nettotimelønnen.",C18="ikke relevant"),(R18)/4,0)</f>
        <v>0</v>
      </c>
      <c r="DT18" s="662">
        <f>IF(AND(AND(Stamoplysninger!$B$22="Ulempetillæg udbetales med 25% af nettotimelønnen.",I18="X",C18="Ikke relevant")),K18/4,0)</f>
        <v>0</v>
      </c>
      <c r="DU18" s="662">
        <f>IF(AND(AND(Stamoplysninger!$B$22="Ulempetillæg udbetales med 25% af nettotimelønnen.",C18="ikke relevant",U18="X")),(X18/4),0)</f>
        <v>0</v>
      </c>
      <c r="DV18" s="663">
        <f>IF(AND(AND(AND(Stamoplysninger!$B$22="Ulempetillæg udbetales med 25% af nettotimelønnen.",I18="X",C18="Ikke relevant",S18="X"))),V18/4,0)</f>
        <v>0</v>
      </c>
      <c r="DW18" s="643"/>
      <c r="DZ18" s="662"/>
      <c r="EA18" s="662"/>
      <c r="EB18" s="663"/>
      <c r="EC18" s="643">
        <f>IF(AND(Stamoplysninger!$B$22="Ulempetillæg afspadseres med 25%(Kræver en aftale imellem ledelsen og den ansatte)",H18&gt;0),R18/4,0)</f>
        <v>0</v>
      </c>
      <c r="ED18">
        <f>IF(AND(Stamoplysninger!$B$22="Ulempetillæg afspadseres med 25%(Kræver en aftale imellem ledelsen og den ansatte)",I18="X"),K18/4,0)</f>
        <v>0</v>
      </c>
      <c r="EE18">
        <f>IF(AND(Stamoplysninger!$B$22="Ulempetillæg afspadseres med 25%(Kræver en aftale imellem ledelsen og den ansatte)",U18="X"),X18/4,0)</f>
        <v>0</v>
      </c>
      <c r="EF18">
        <f>IF(AND(AND(Stamoplysninger!$B$22="Ulempetillæg afspadseres med 25%(Kræver en aftale imellem ledelsen og den ansatte)",I18="X",S18="X")),V18/4,0)</f>
        <v>0</v>
      </c>
      <c r="EG18" s="662">
        <f>IF(AND(Stamoplysninger!$B$22="Ulempetillæg afspadseres med 25%(Kræver en aftale imellem ledelsen og den ansatte)",C18="ikke relevant"),(R18)/4,0)</f>
        <v>0</v>
      </c>
      <c r="EH18" s="662">
        <f>IF(AND(AND(Stamoplysninger!$B$22="Ulempetillæg afspadseres med 25%(Kræver en aftale imellem ledelsen og den ansatte)",I18="X",C18="Ikke relevant")),K18/4,0)</f>
        <v>0</v>
      </c>
      <c r="EI18" s="662">
        <f>IF(AND(AND(Stamoplysninger!$B$22="Ulempetillæg afspadseres med 25%(Kræver en aftale imellem ledelsen og den ansatte)",U18="X",C18="Ikke relevant")),X18/4,0)</f>
        <v>0</v>
      </c>
      <c r="EJ18" s="662">
        <f>IF(AND(AND(AND(Stamoplysninger!$B$22="Ulempetillæg afspadseres med 25%(Kræver en aftale imellem ledelsen og den ansatte)",I18="X",C18="Ikke relevant",S18="X"))),V18/4,0)</f>
        <v>0</v>
      </c>
      <c r="EK18" s="279">
        <f>IF(AND(Stamoplysninger!$B$26="Weekendtimer og weekendtillæg afspadseres.",I18="X"),K18*1.5,0)</f>
        <v>0</v>
      </c>
      <c r="EL18" s="247">
        <f>IF(AND(AND(Stamoplysninger!$B$26="Weekendtimer og weekendtillæg afspadseres.",I18="X",S18="X")),V18*1.5,0)</f>
        <v>0</v>
      </c>
      <c r="EM18" s="665">
        <f>IF(AND(AND(Stamoplysninger!$B$26="Weekendtimer og weekendtillæg afspadseres.",I18="X",C18="ikke relevant")),K18*1.5,0)</f>
        <v>0</v>
      </c>
      <c r="EN18" s="666">
        <f>IF(AND(AND(AND(Stamoplysninger!$B$26="Weekendtimer og weekendtillæg afspadseres.",I18="X",C18="ikke relevant",S18="X"))),(V18*1.5),0)</f>
        <v>0</v>
      </c>
      <c r="EO18" s="279">
        <f>IF(AND(Stamoplysninger!$B$26="Weekendtimer og weekendtillæg udbetales.",I18="X"),K18*1.5,0)</f>
        <v>0</v>
      </c>
      <c r="EP18" s="247">
        <f>IF(AND(AND(Stamoplysninger!$B$26="Weekendtimer og weekendtillæg udbetales.",I18="X",S18="X")),V18*1.5,0)</f>
        <v>0</v>
      </c>
      <c r="EQ18" s="665">
        <f>IF(AND(AND(Stamoplysninger!$B$26="Weekendtimer og weekendtillæg udbetales.",I18="X",C18="ikke relevant")),K18*1.5,0)</f>
        <v>0</v>
      </c>
      <c r="ER18" s="666">
        <f>IF(AND(AND(AND(Stamoplysninger!$B$26="Weekendtimer og weekendtillæg udbetales.",I18="X",C18="ikke relevant",S18="X"))),(V18*1.5),0)</f>
        <v>0</v>
      </c>
      <c r="ES18" s="279">
        <f>IF(AND(Stamoplysninger!$B$26="Der er indgået lokalaftale omkring weekendtimer.(Kræver aftale med TR/FSL) Weekendtillæg afspadseres.",I18="X"),K18*0.5,0)</f>
        <v>0</v>
      </c>
      <c r="ET18" s="247">
        <f>IF(AND(AND(Stamoplysninger!$B$26="Der er indgået lokalaftale omkring weekendtimer.(Kræver aftale med TR/FSL) Weekendtillæg afspadseres.",I18="X",S18="X")),V18*0.5,0)</f>
        <v>0</v>
      </c>
      <c r="EU18" s="665">
        <f>IF(AND(AND(Stamoplysninger!$B$26="Der er indgået lokalaftale omkring weekendtimer.(Kræver aftale med TR/FSL) Weekendtillæg afspadseres.",I18="X",C18="ikke relevant")),K18*0.5,0)</f>
        <v>0</v>
      </c>
      <c r="EV18" s="666">
        <f>IF(AND(AND(AND(Stamoplysninger!$B$26="Der er indgået lokalaftale omkring weekendtimer.(Kræver aftale med TR/FSL) Weekendtillæg afspadseres.",I18="X",C18="ikke relevant",S18="X"))),(V18*0.5),0)</f>
        <v>0</v>
      </c>
      <c r="EW18" s="279">
        <f>IF(AND(Stamoplysninger!$B$26="Der er indgået lokalaftale omkring weekendtimer(Kræver aftale med TR/FSL). Weekendtillæg udbetales.",I18="X"),K18*0.5,0)</f>
        <v>0</v>
      </c>
      <c r="EX18" s="247">
        <f>IF(AND(AND(Stamoplysninger!$B$26="Der er indgået lokalaftale omkring weekendtimer(Kræver aftale med TR/FSL). Weekendtillæg udbetales.",I18="X",S18="X")),V18*0.5,0)</f>
        <v>0</v>
      </c>
      <c r="EY18" s="665">
        <f>IF(AND(AND(Stamoplysninger!$B$26="Der er indgået lokalaftale omkring weekendtimer(Kræver aftale med TR/FSL). Weekendtillæg udbetales.",I18="X",C18="ikke relevant")),K18*0.5,0)</f>
        <v>0</v>
      </c>
      <c r="EZ18" s="666">
        <f>IF(AND(AND(AND(Stamoplysninger!$B$26="Der er indgået lokalaftale omkring weekendtimer(Kræver aftale med TR/FSL). Weekendtillæg udbetales.",I18="X",C18="ikke relevant",S18="X"))),(V18*0.5),0)</f>
        <v>0</v>
      </c>
      <c r="FA18" s="279">
        <f>IF(AND(Stamoplysninger!$B$26="Der er indgået lokalaftale omkring weekendtillæg(Kræver aftale med TR/FSL). Weekendtimerne afspadseres.",I18="X"),K18,0)</f>
        <v>0</v>
      </c>
      <c r="FB18" s="247">
        <f>IF(AND(AND(Stamoplysninger!$B$26="Der er indgået lokalaftale omkring weekendtillæg(Kræver aftale med TR/FSL). Weekendtimerne afspadseres.",I18="X",S18="X")),V18,0)</f>
        <v>0</v>
      </c>
      <c r="FC18" s="665">
        <f>IF(AND(AND(Stamoplysninger!$B$26="Der er indgået lokalaftale omkring weekendtillæg(Kræver aftale med TR/FSL). Weekendtimerne afspadseres..",I18="X",C18="ikke relevant")),K18,0)</f>
        <v>0</v>
      </c>
      <c r="FD18" s="666">
        <f>IF(AND(AND(AND(Stamoplysninger!$B$26="Der er indgået lokalaftale omkring weekendtillæg(Kræver aftale med TR/FSL). Weekendtimerne afspadseres.",I18="X",C18="ikke relevant",S18="X"))),(V18),0)</f>
        <v>0</v>
      </c>
      <c r="FE18" s="279">
        <f>IF(AND(Stamoplysninger!$B$26="Der er indgået lokalaftale omkring weekendtillæg(Kræver aftale med TR/FSL). Weekendtimerne udbetales.",I18="X"),K18,0)</f>
        <v>0</v>
      </c>
      <c r="FF18" s="247">
        <f>IF(AND(AND(Stamoplysninger!$B$26="Der er indgået lokalaftale omkring weekendtillæg(Kræver aftale med TR/FSL). Weekendtimerne udbetales.",I18="X",S18="X")),V18,0)</f>
        <v>0</v>
      </c>
      <c r="FG18" s="665">
        <f>IF(AND(AND(Stamoplysninger!$B$26="Der er indgået lokalaftale omkring weekendtillæg(Kræver aftale med TR/FSL). Weekendtimerne udbetales.",I18="X",C18="ikke relevant")),K18,0)</f>
        <v>0</v>
      </c>
      <c r="FH18" s="666">
        <f>IF(AND(AND(AND(Stamoplysninger!$B$26="Der er indgået lokalaftale omkring weekendtillæg(Kræver aftale med TR/FSL). Weekendtimerne udbetales.",I18="X",C18="ikke relevant",S18="X"))),(V18),0)</f>
        <v>0</v>
      </c>
      <c r="FI18" s="279">
        <f>IF(AND(Stamoplysninger!$B$26="Weekendtimer og weekendtillæg afspadseres.",I18="X"),K18,0)</f>
        <v>0</v>
      </c>
      <c r="FJ18" s="247">
        <f>IF(AND(Stamoplysninger!$B$26="Weekendtimer og weekendtillæg afspadseres.",Y18="X"),(AA18+AL18)/2,0)</f>
        <v>0</v>
      </c>
      <c r="FK18" s="665">
        <f>IF(AND(AND(Stamoplysninger!$B$26="Weekendtimer og weekendtillæg afspadseres.",I18="X",C18="ikke relevant")),K18,0)</f>
        <v>0</v>
      </c>
      <c r="FL18" s="666">
        <f>IF(AND(AND(Stamoplysninger!$B$26="Weekendtimer og weekendtillæg afspadseres.",Y18="X",S18="ikke relevant")),(AA18+AL18)/2,0)</f>
        <v>0</v>
      </c>
      <c r="FM18" s="279">
        <f>IF(AND(Stamoplysninger!$B$26="Der er indgået lokalaftale omkring weekendtillæg(Kræver aftale med TR/FSL). Weekendtimerne afspadseres.",I18="X"),K18,0)</f>
        <v>0</v>
      </c>
      <c r="FN18" s="665">
        <f>IF(AND(AND(Stamoplysninger!$B$26="Der er indgået lokalaftale omkring weekendtillæg(Kræver aftale med TR/FSL). Weekendtimerne afspadseres.",I18="X",C18="ikke relevant")),K18,0)</f>
        <v>0</v>
      </c>
      <c r="FO18" s="279">
        <f>IF(AND(Stamoplysninger!$B$26="Weekendtimer og weekendtillæg udbetales.",I18="X"),K18,0)</f>
        <v>0</v>
      </c>
      <c r="FP18" s="247">
        <f>IF(AND(Stamoplysninger!$B$26="Weekendtimer og weekendtillæg udbetales.",AA18="X"),(AC18+AN18)/2,0)</f>
        <v>0</v>
      </c>
      <c r="FQ18" s="665">
        <f>IF(AND(AND(Stamoplysninger!$B$26="Weekendtimer og weekendtillæg udbetales.",I18="X",C18="ikke relevant")),K18,0)</f>
        <v>0</v>
      </c>
      <c r="FR18" s="679">
        <f>IF(AND(AND(Stamoplysninger!$B$26="Weekendtimer og weekendtillæg udbetales.",AA18="X",U18="ikke relevant")),(AC18+AN18)/2,0)</f>
        <v>0</v>
      </c>
      <c r="FS18" s="279">
        <f t="shared" si="15"/>
        <v>0</v>
      </c>
      <c r="FT18" s="649">
        <f t="shared" si="16"/>
        <v>0</v>
      </c>
      <c r="FU18">
        <f t="shared" si="17"/>
        <v>0</v>
      </c>
      <c r="FV18" s="279">
        <f>IF(AND(Stamoplysninger!$B$26="Der er indgået lokalaftale omkring weekendtimer.(Kræver aftale med TR/FSL) Weekendtillæg afspadseres.",I18="X"),K18,0)</f>
        <v>0</v>
      </c>
      <c r="FW18" s="665">
        <f>IF(AND(AND(Stamoplysninger!$B$26="Der er indgået lokalaftale omkring weekendtimer.(Kræver aftale med TR/FSL) Weekendtillæg afspadseres.",I18="X",C18="ikke relevant")),K18,0)</f>
        <v>0</v>
      </c>
      <c r="FX18" s="279">
        <f>IF(AND(Stamoplysninger!$B$26="Der er indgået lokalaftale omkring weekendtimer(Kræver aftale med TR/FSL). Weekendtillæg udbetales.",I18="X"),K18,0)</f>
        <v>0</v>
      </c>
      <c r="FY18" s="665">
        <f>IF(AND(AND(Stamoplysninger!$B$26="Der er indgået lokalaftale omkring weekendtimer(Kræver aftale med TR/FSL). Weekendtillæg udbetales.",I18="X",C18="ikke relevant")),K18,0)</f>
        <v>0</v>
      </c>
      <c r="FZ18" s="279">
        <f>IF(AND(Stamoplysninger!$B$26="Der er indgået lokalaftale omkring weekendtillæg(Kræver aftale med TR/FSL). Weekendtimerne udbetales.",I18="X"),K18,0)</f>
        <v>0</v>
      </c>
      <c r="GA18" s="665">
        <f>IF(AND(AND(Stamoplysninger!$B$26="Der er indgået lokalaftale omkring weekendtillæg(Kræver aftale med TR/FSL). Weekendtimerne udbetales.",I18="X",C18="ikke relevant")),K18,0)</f>
        <v>0</v>
      </c>
      <c r="GB18" s="279">
        <f>IF(AND(Stamoplysninger!$B$26="Der er indgået lokalaftale omkring weekendtimer og weekendtillæg.(Kræver aftale med TR/FSL).",I18="X"),K18,0)</f>
        <v>0</v>
      </c>
      <c r="GC18" s="665">
        <f>IF(AND(AND(Stamoplysninger!$B$26="Der er indgået lokalaftale omkring weekendtimer og weekendtillæg.(Kræver aftale med TR/FSL).",I18="X",C18="ikke relevant")),K18,0)</f>
        <v>0</v>
      </c>
    </row>
    <row r="19" spans="1:185">
      <c r="A19" s="241">
        <f t="shared" si="18"/>
        <v>11</v>
      </c>
      <c r="B19" s="127" t="str">
        <f t="shared" si="0"/>
        <v>fr</v>
      </c>
      <c r="C19" s="128" t="s">
        <v>206</v>
      </c>
      <c r="D19" s="129" t="str">
        <f t="shared" si="1"/>
        <v/>
      </c>
      <c r="E19" s="932"/>
      <c r="F19" s="933"/>
      <c r="G19" s="934"/>
      <c r="H19" s="294"/>
      <c r="I19" s="519"/>
      <c r="J19" s="407"/>
      <c r="K19" s="374"/>
      <c r="L19" s="374"/>
      <c r="M19" s="374"/>
      <c r="N19" s="313">
        <f t="shared" si="19"/>
        <v>0</v>
      </c>
      <c r="O19" s="313">
        <f t="shared" si="20"/>
        <v>0</v>
      </c>
      <c r="P19" s="313">
        <f>IF(Stamoplysninger!$H$29="JA",Oktober!DG19,CX19)</f>
        <v>0</v>
      </c>
      <c r="Q19" s="313">
        <f t="shared" si="21"/>
        <v>0</v>
      </c>
      <c r="R19" s="314"/>
      <c r="S19" s="319"/>
      <c r="T19" s="320"/>
      <c r="U19" s="320"/>
      <c r="V19" s="429"/>
      <c r="W19" s="406"/>
      <c r="X19" s="633"/>
      <c r="Y19">
        <f t="shared" si="22"/>
        <v>0</v>
      </c>
      <c r="Z19">
        <f t="shared" si="2"/>
        <v>0</v>
      </c>
      <c r="AA19" s="1">
        <f t="shared" si="3"/>
        <v>0</v>
      </c>
      <c r="AB19" s="1">
        <f t="shared" si="4"/>
        <v>0</v>
      </c>
      <c r="AC19" s="1">
        <f t="shared" si="5"/>
        <v>0</v>
      </c>
      <c r="AD19" s="1">
        <f t="shared" si="6"/>
        <v>0</v>
      </c>
      <c r="AE19" s="1">
        <f t="shared" si="7"/>
        <v>0</v>
      </c>
      <c r="AF19" s="1">
        <f>IF(C19="Orlov",7.4*Stamoplysninger!$E$15,0)</f>
        <v>0</v>
      </c>
      <c r="AG19" t="str">
        <f>IF(AND(C19="Skema 1",B19="ma"),Arbejdstidsoversigt!$E$72,"")</f>
        <v/>
      </c>
      <c r="AH19" t="str">
        <f>IF(AND(C19="Skema 1",B19="ti"),Arbejdstidsoversigt!$E$73,"")</f>
        <v/>
      </c>
      <c r="AI19" t="str">
        <f>IF(AND(C19="Skema 1",B19="on"),Arbejdstidsoversigt!$E$74,"")</f>
        <v/>
      </c>
      <c r="AJ19" t="str">
        <f>IF(AND(C19="Skema 1",B19="to"),Arbejdstidsoversigt!$E$75,"")</f>
        <v/>
      </c>
      <c r="AK19">
        <f>IF(AND(C19="Skema 1",B19="fr"),Arbejdstidsoversigt!$E$76,"")</f>
        <v>0</v>
      </c>
      <c r="AL19" t="str">
        <f>IF(AND(C19="Skema 2",B19="ma"),Arbejdstidsoversigt!$E$81,"")</f>
        <v/>
      </c>
      <c r="AM19" t="str">
        <f>IF(AND(C19="Skema 2",B19="ti"),Arbejdstidsoversigt!$E$82,"")</f>
        <v/>
      </c>
      <c r="AN19" t="str">
        <f>IF(AND(C19="Skema 2",B19="on"),Arbejdstidsoversigt!$E$83,"")</f>
        <v/>
      </c>
      <c r="AO19" t="str">
        <f>IF(AND(C19="Skema 2",B19="to"),Arbejdstidsoversigt!$E$84,"")</f>
        <v/>
      </c>
      <c r="AP19" t="str">
        <f>IF(AND(C19="Skema 2",B19="fr"),Arbejdstidsoversigt!$E$85,"")</f>
        <v/>
      </c>
      <c r="AQ19" t="str">
        <f>IF(AND(C19="Skema 3",B19="ma"),Arbejdstidsoversigt!$E$90,"")</f>
        <v/>
      </c>
      <c r="AR19" t="str">
        <f>IF(AND(C19="Skema 3",B19="ti"),Arbejdstidsoversigt!$E$91,"")</f>
        <v/>
      </c>
      <c r="AS19" t="str">
        <f>IF(AND(C19="Skema 3",B19="on"),Arbejdstidsoversigt!$E$92,"")</f>
        <v/>
      </c>
      <c r="AT19" t="str">
        <f>IF(AND(C19="Skema 3",B19="to"),Arbejdstidsoversigt!$E$93,"")</f>
        <v/>
      </c>
      <c r="AU19" t="str">
        <f>IF(AND(C19="Skema 3",B19="fr"),Arbejdstidsoversigt!$E$94,"")</f>
        <v/>
      </c>
      <c r="AV19" t="str">
        <f>IF(AND(C19="Skema 4",B19="ma"),Arbejdstidsoversigt!$E$99,"")</f>
        <v/>
      </c>
      <c r="AW19" t="str">
        <f>IF(AND(C19="Skema 4",B19="ti"),Arbejdstidsoversigt!$E$100,"")</f>
        <v/>
      </c>
      <c r="AX19" t="str">
        <f>IF(AND(C19="Skema 4",B19="on"),Arbejdstidsoversigt!$E$101,"")</f>
        <v/>
      </c>
      <c r="AY19" t="str">
        <f>IF(AND(C19="Skema 4",B19="to"),Arbejdstidsoversigt!$E$102,"")</f>
        <v/>
      </c>
      <c r="AZ19" t="str">
        <f>IF(AND(C19="Skema 4",B19="fr"),Arbejdstidsoversigt!$E$103,"")</f>
        <v/>
      </c>
      <c r="BA19" s="1">
        <f t="shared" si="23"/>
        <v>0</v>
      </c>
      <c r="BB19" s="226">
        <f t="shared" si="8"/>
        <v>0</v>
      </c>
      <c r="BC19" s="1">
        <f t="shared" si="24"/>
        <v>0</v>
      </c>
      <c r="BD19" s="1">
        <f t="shared" si="9"/>
        <v>0</v>
      </c>
      <c r="BE19" s="1">
        <f t="shared" si="10"/>
        <v>0</v>
      </c>
      <c r="BF19" s="1">
        <f t="shared" si="11"/>
        <v>0</v>
      </c>
      <c r="BG19" s="209" t="str">
        <f>IF(AND(C19="Skema 1",B19="ma"),Skemaoplysninger!$E$30,"")</f>
        <v/>
      </c>
      <c r="BH19" s="209" t="str">
        <f>IF(AND(C19="Skema 1",B19="ti"),Skemaoplysninger!$G$30,"")</f>
        <v/>
      </c>
      <c r="BI19" s="209" t="str">
        <f>IF(AND(C19="Skema 1",B19="on"),Skemaoplysninger!$I$30,"")</f>
        <v/>
      </c>
      <c r="BJ19" s="209" t="str">
        <f>IF(AND(C19="Skema 1",B19="to"),Skemaoplysninger!$K$30,"")</f>
        <v/>
      </c>
      <c r="BK19" s="209">
        <f>IF(AND(C19="Skema 1",B19="fr"),Skemaoplysninger!$M$30,"")</f>
        <v>0</v>
      </c>
      <c r="BL19" s="209" t="str">
        <f>IF(AND(C19="Skema 2",B19="ma"),Skemaoplysninger!$S$30,"")</f>
        <v/>
      </c>
      <c r="BM19" s="209" t="str">
        <f>IF(AND(C19="Skema 2",B19="ti"),Skemaoplysninger!$U$30,"")</f>
        <v/>
      </c>
      <c r="BN19" s="209" t="str">
        <f>IF(AND(C19="Skema 2",B19="on"),Skemaoplysninger!$W$30,"")</f>
        <v/>
      </c>
      <c r="BO19" s="209" t="str">
        <f>IF(AND(C19="Skema 2",B19="to"),Skemaoplysninger!$Y$30,"")</f>
        <v/>
      </c>
      <c r="BP19" s="209" t="str">
        <f>IF(AND(C19="Skema 2",B19="fr"),Skemaoplysninger!$AA$30,"")</f>
        <v/>
      </c>
      <c r="BQ19" s="209" t="str">
        <f>IF(AND(C19="Skema 3",B19="ma"),Skemaoplysninger!$AG$30,"")</f>
        <v/>
      </c>
      <c r="BR19" s="209" t="str">
        <f>IF(AND(C19="Skema 3",B19="ti"),Skemaoplysninger!$AI$30,"")</f>
        <v/>
      </c>
      <c r="BS19" s="209" t="str">
        <f>IF(AND(C19="Skema 3",B19="on"),Skemaoplysninger!$AK$30,"")</f>
        <v/>
      </c>
      <c r="BT19" s="209" t="str">
        <f>IF(AND(C19="Skema 3",B19="to"),Skemaoplysninger!$AM$30,"")</f>
        <v/>
      </c>
      <c r="BU19" s="209" t="str">
        <f>IF(AND(C19="Skema 3",B19="fr"),Skemaoplysninger!$AO$30,"")</f>
        <v/>
      </c>
      <c r="BV19" s="209" t="str">
        <f>IF(AND(C19="Skema 4",B19="ma"),Skemaoplysninger!$AU$30,"")</f>
        <v/>
      </c>
      <c r="BW19" s="209" t="str">
        <f>IF(AND(C19="Skema 4",B19="ti"),Skemaoplysninger!$AW$30,"")</f>
        <v/>
      </c>
      <c r="BX19" s="209" t="str">
        <f>IF(AND(C19="Skema 4",B19="on"),Skemaoplysninger!$AY$30,"")</f>
        <v/>
      </c>
      <c r="BY19" s="209" t="str">
        <f>IF(AND(C19="Skema 4",B19="to"),Skemaoplysninger!$BA$30,"")</f>
        <v/>
      </c>
      <c r="BZ19" s="209" t="str">
        <f>IF(AND(C19="Skema 4",B19="fr"),Skemaoplysninger!$BC$30,"")</f>
        <v/>
      </c>
      <c r="CA19" s="1">
        <f t="shared" si="25"/>
        <v>0</v>
      </c>
      <c r="CB19" s="1">
        <f t="shared" si="12"/>
        <v>0</v>
      </c>
      <c r="CC19" s="1">
        <f t="shared" si="13"/>
        <v>0</v>
      </c>
      <c r="CD19" s="209" t="str">
        <f>IF(AND(C19="Skema 1",B19="ma"),Skemaoplysninger!$E$31,"")</f>
        <v/>
      </c>
      <c r="CE19" s="209" t="str">
        <f>IF(AND(C19="Skema 1",B19="ti"),Skemaoplysninger!$G$31,"")</f>
        <v/>
      </c>
      <c r="CF19" s="209" t="str">
        <f>IF(AND(C19="Skema 1",B19="on"),Skemaoplysninger!$I$31,"")</f>
        <v/>
      </c>
      <c r="CG19" s="209" t="str">
        <f>IF(AND(C19="Skema 1",B19="to"),Skemaoplysninger!$K$31,"")</f>
        <v/>
      </c>
      <c r="CH19" s="209">
        <f>IF(AND(C19="Skema 1",B19="fr"),Skemaoplysninger!$M$31,"")</f>
        <v>0</v>
      </c>
      <c r="CI19" s="209" t="str">
        <f>IF(AND(C19="Skema 2",B19="ma"),Skemaoplysninger!$S$31,"")</f>
        <v/>
      </c>
      <c r="CJ19" s="209" t="str">
        <f>IF(AND(C19="Skema 2",B19="ti"),Skemaoplysninger!$U$31,"")</f>
        <v/>
      </c>
      <c r="CK19" s="209" t="str">
        <f>IF(AND(C19="Skema 2",B19="on"),Skemaoplysninger!$W$31,"")</f>
        <v/>
      </c>
      <c r="CL19" s="209" t="str">
        <f>IF(AND(C19="Skema 2",B19="to"),Skemaoplysninger!$Y$31,"")</f>
        <v/>
      </c>
      <c r="CM19" s="209" t="str">
        <f>IF(AND(C19="Skema 2",B19="fr"),Skemaoplysninger!$AA$31,"")</f>
        <v/>
      </c>
      <c r="CN19" s="209" t="str">
        <f>IF(AND(C19="Skema 3",B19="ma"),Skemaoplysninger!$AG$31,"")</f>
        <v/>
      </c>
      <c r="CO19" s="209" t="str">
        <f>IF(AND(C19="Skema 3",B19="ti"),Skemaoplysninger!$AI$31,"")</f>
        <v/>
      </c>
      <c r="CP19" s="209" t="str">
        <f>IF(AND(C19="Skema 3",B19="on"),Skemaoplysninger!$AK$31,"")</f>
        <v/>
      </c>
      <c r="CQ19" s="209" t="str">
        <f>IF(AND(C19="Skema 3",B19="to"),Skemaoplysninger!$AM$31,"")</f>
        <v/>
      </c>
      <c r="CR19" s="209" t="str">
        <f>IF(AND(C19="Skema 3",B19="fr"),Skemaoplysninger!$AO$31,"")</f>
        <v/>
      </c>
      <c r="CS19" s="209" t="str">
        <f>IF(AND(C19="Skema 4",B19="ma"),Skemaoplysninger!$AU$31,"")</f>
        <v/>
      </c>
      <c r="CT19" s="209" t="str">
        <f>IF(AND(C19="Skema 4",B19="ti"),Skemaoplysninger!$AW$31,"")</f>
        <v/>
      </c>
      <c r="CU19" s="209" t="str">
        <f>IF(AND(C19="Skema 4",B19="on"),Skemaoplysninger!$AY$31,"")</f>
        <v/>
      </c>
      <c r="CV19" s="209" t="str">
        <f>IF(AND(C19="Skema 4",B19="to"),Skemaoplysninger!$BA$31,"")</f>
        <v/>
      </c>
      <c r="CW19" s="209" t="str">
        <f>IF(AND(C19="Skema 4",B19="fr"),Skemaoplysninger!$BC$31,"")</f>
        <v/>
      </c>
      <c r="CX19" s="245">
        <f>IF(Stamoplysninger!$H$29="NEJ",SUM(CD19:CW19)*24+CB19+CC19,0)</f>
        <v>0</v>
      </c>
      <c r="CY19" s="245">
        <f>IF(C19="Skema 1",Stamoplysninger!$H$30/200,0)</f>
        <v>0</v>
      </c>
      <c r="CZ19" s="245">
        <f>IF(C19="Skema 2",Stamoplysninger!$H$30/200,0)</f>
        <v>0</v>
      </c>
      <c r="DA19" s="245">
        <f>IF(C19="Skema 3",Stamoplysninger!$H$30/200,0)</f>
        <v>0</v>
      </c>
      <c r="DB19" s="245">
        <f>IF(C19="Skema 4",Stamoplysninger!$H$30/200,0)</f>
        <v>0</v>
      </c>
      <c r="DC19" s="245">
        <f>IF(C19="fagdag",Stamoplysninger!$H$30/200,0)</f>
        <v>0</v>
      </c>
      <c r="DD19" s="245">
        <f>IF(C19="emnedag",Stamoplysninger!$H$30/200,0)</f>
        <v>0</v>
      </c>
      <c r="DE19" s="245">
        <f>IF(C19="lejrskole",Stamoplysninger!$H$30/200,0)</f>
        <v>0</v>
      </c>
      <c r="DF19" s="245">
        <f>IF(C19="ekskursion",Stamoplysninger!$H$30/200,0)</f>
        <v>0</v>
      </c>
      <c r="DG19" s="245">
        <f t="shared" si="26"/>
        <v>0</v>
      </c>
      <c r="DH19" t="str">
        <f t="shared" si="27"/>
        <v/>
      </c>
      <c r="DI19">
        <f t="shared" si="28"/>
        <v>0</v>
      </c>
      <c r="DJ19">
        <f t="shared" si="29"/>
        <v>0</v>
      </c>
      <c r="DK19" t="str">
        <f t="shared" si="14"/>
        <v/>
      </c>
      <c r="DL19" t="str">
        <f t="shared" si="14"/>
        <v/>
      </c>
      <c r="DM19" t="str">
        <f t="shared" si="14"/>
        <v/>
      </c>
      <c r="DN19" t="str">
        <f t="shared" si="30"/>
        <v/>
      </c>
      <c r="DO19" s="643">
        <f>IF(AND(Stamoplysninger!$B$22="Ulempetillæg udbetales med 25% af nettotimelønnen.",H19&gt;0),(R19/4),0)</f>
        <v>0</v>
      </c>
      <c r="DP19">
        <f>IF(AND(Stamoplysninger!$B$22="Ulempetillæg udbetales med 25% af nettotimelønnen.",I19="X"),K19/4,0)</f>
        <v>0</v>
      </c>
      <c r="DQ19">
        <f>IF(AND(Stamoplysninger!$B$22="Ulempetillæg udbetales med 25% af nettotimelønnen.",U19="X"),(X19/4),0)</f>
        <v>0</v>
      </c>
      <c r="DR19">
        <f>IF(AND(AND(Stamoplysninger!$B$22="Ulempetillæg udbetales med 25% af nettotimelønnen.",S19="X",I19="X")),V19/4,0)</f>
        <v>0</v>
      </c>
      <c r="DS19" s="662">
        <f>IF(AND(Stamoplysninger!$B$22="Ulempetillæg udbetales med 25% af nettotimelønnen.",C19="ikke relevant"),(R19)/4,0)</f>
        <v>0</v>
      </c>
      <c r="DT19" s="662">
        <f>IF(AND(AND(Stamoplysninger!$B$22="Ulempetillæg udbetales med 25% af nettotimelønnen.",I19="X",C19="Ikke relevant")),K19/4,0)</f>
        <v>0</v>
      </c>
      <c r="DU19" s="662">
        <f>IF(AND(AND(Stamoplysninger!$B$22="Ulempetillæg udbetales med 25% af nettotimelønnen.",C19="ikke relevant",U19="X")),(X19/4),0)</f>
        <v>0</v>
      </c>
      <c r="DV19" s="663">
        <f>IF(AND(AND(AND(Stamoplysninger!$B$22="Ulempetillæg udbetales med 25% af nettotimelønnen.",I19="X",C19="Ikke relevant",S19="X"))),V19/4,0)</f>
        <v>0</v>
      </c>
      <c r="DW19" s="643"/>
      <c r="DZ19" s="662"/>
      <c r="EA19" s="662"/>
      <c r="EB19" s="663"/>
      <c r="EC19" s="643">
        <f>IF(AND(Stamoplysninger!$B$22="Ulempetillæg afspadseres med 25%(Kræver en aftale imellem ledelsen og den ansatte)",H19&gt;0),R19/4,0)</f>
        <v>0</v>
      </c>
      <c r="ED19">
        <f>IF(AND(Stamoplysninger!$B$22="Ulempetillæg afspadseres med 25%(Kræver en aftale imellem ledelsen og den ansatte)",I19="X"),K19/4,0)</f>
        <v>0</v>
      </c>
      <c r="EE19">
        <f>IF(AND(Stamoplysninger!$B$22="Ulempetillæg afspadseres med 25%(Kræver en aftale imellem ledelsen og den ansatte)",U19="X"),X19/4,0)</f>
        <v>0</v>
      </c>
      <c r="EF19">
        <f>IF(AND(AND(Stamoplysninger!$B$22="Ulempetillæg afspadseres med 25%(Kræver en aftale imellem ledelsen og den ansatte)",I19="X",S19="X")),V19/4,0)</f>
        <v>0</v>
      </c>
      <c r="EG19" s="662">
        <f>IF(AND(Stamoplysninger!$B$22="Ulempetillæg afspadseres med 25%(Kræver en aftale imellem ledelsen og den ansatte)",C19="ikke relevant"),(R19)/4,0)</f>
        <v>0</v>
      </c>
      <c r="EH19" s="662">
        <f>IF(AND(AND(Stamoplysninger!$B$22="Ulempetillæg afspadseres med 25%(Kræver en aftale imellem ledelsen og den ansatte)",I19="X",C19="Ikke relevant")),K19/4,0)</f>
        <v>0</v>
      </c>
      <c r="EI19" s="662">
        <f>IF(AND(AND(Stamoplysninger!$B$22="Ulempetillæg afspadseres med 25%(Kræver en aftale imellem ledelsen og den ansatte)",U19="X",C19="Ikke relevant")),X19/4,0)</f>
        <v>0</v>
      </c>
      <c r="EJ19" s="662">
        <f>IF(AND(AND(AND(Stamoplysninger!$B$22="Ulempetillæg afspadseres med 25%(Kræver en aftale imellem ledelsen og den ansatte)",I19="X",C19="Ikke relevant",S19="X"))),V19/4,0)</f>
        <v>0</v>
      </c>
      <c r="EK19" s="279">
        <f>IF(AND(Stamoplysninger!$B$26="Weekendtimer og weekendtillæg afspadseres.",I19="X"),K19*1.5,0)</f>
        <v>0</v>
      </c>
      <c r="EL19" s="247">
        <f>IF(AND(AND(Stamoplysninger!$B$26="Weekendtimer og weekendtillæg afspadseres.",I19="X",S19="X")),V19*1.5,0)</f>
        <v>0</v>
      </c>
      <c r="EM19" s="665">
        <f>IF(AND(AND(Stamoplysninger!$B$26="Weekendtimer og weekendtillæg afspadseres.",I19="X",C19="ikke relevant")),K19*1.5,0)</f>
        <v>0</v>
      </c>
      <c r="EN19" s="666">
        <f>IF(AND(AND(AND(Stamoplysninger!$B$26="Weekendtimer og weekendtillæg afspadseres.",I19="X",C19="ikke relevant",S19="X"))),(V19*1.5),0)</f>
        <v>0</v>
      </c>
      <c r="EO19" s="279">
        <f>IF(AND(Stamoplysninger!$B$26="Weekendtimer og weekendtillæg udbetales.",I19="X"),K19*1.5,0)</f>
        <v>0</v>
      </c>
      <c r="EP19" s="247">
        <f>IF(AND(AND(Stamoplysninger!$B$26="Weekendtimer og weekendtillæg udbetales.",I19="X",S19="X")),V19*1.5,0)</f>
        <v>0</v>
      </c>
      <c r="EQ19" s="665">
        <f>IF(AND(AND(Stamoplysninger!$B$26="Weekendtimer og weekendtillæg udbetales.",I19="X",C19="ikke relevant")),K19*1.5,0)</f>
        <v>0</v>
      </c>
      <c r="ER19" s="666">
        <f>IF(AND(AND(AND(Stamoplysninger!$B$26="Weekendtimer og weekendtillæg udbetales.",I19="X",C19="ikke relevant",S19="X"))),(V19*1.5),0)</f>
        <v>0</v>
      </c>
      <c r="ES19" s="279">
        <f>IF(AND(Stamoplysninger!$B$26="Der er indgået lokalaftale omkring weekendtimer.(Kræver aftale med TR/FSL) Weekendtillæg afspadseres.",I19="X"),K19*0.5,0)</f>
        <v>0</v>
      </c>
      <c r="ET19" s="247">
        <f>IF(AND(AND(Stamoplysninger!$B$26="Der er indgået lokalaftale omkring weekendtimer.(Kræver aftale med TR/FSL) Weekendtillæg afspadseres.",I19="X",S19="X")),V19*0.5,0)</f>
        <v>0</v>
      </c>
      <c r="EU19" s="665">
        <f>IF(AND(AND(Stamoplysninger!$B$26="Der er indgået lokalaftale omkring weekendtimer.(Kræver aftale med TR/FSL) Weekendtillæg afspadseres.",I19="X",C19="ikke relevant")),K19*0.5,0)</f>
        <v>0</v>
      </c>
      <c r="EV19" s="666">
        <f>IF(AND(AND(AND(Stamoplysninger!$B$26="Der er indgået lokalaftale omkring weekendtimer.(Kræver aftale med TR/FSL) Weekendtillæg afspadseres.",I19="X",C19="ikke relevant",S19="X"))),(V19*0.5),0)</f>
        <v>0</v>
      </c>
      <c r="EW19" s="279">
        <f>IF(AND(Stamoplysninger!$B$26="Der er indgået lokalaftale omkring weekendtimer(Kræver aftale med TR/FSL). Weekendtillæg udbetales.",I19="X"),K19*0.5,0)</f>
        <v>0</v>
      </c>
      <c r="EX19" s="247">
        <f>IF(AND(AND(Stamoplysninger!$B$26="Der er indgået lokalaftale omkring weekendtimer(Kræver aftale med TR/FSL). Weekendtillæg udbetales.",I19="X",S19="X")),V19*0.5,0)</f>
        <v>0</v>
      </c>
      <c r="EY19" s="665">
        <f>IF(AND(AND(Stamoplysninger!$B$26="Der er indgået lokalaftale omkring weekendtimer(Kræver aftale med TR/FSL). Weekendtillæg udbetales.",I19="X",C19="ikke relevant")),K19*0.5,0)</f>
        <v>0</v>
      </c>
      <c r="EZ19" s="666">
        <f>IF(AND(AND(AND(Stamoplysninger!$B$26="Der er indgået lokalaftale omkring weekendtimer(Kræver aftale med TR/FSL). Weekendtillæg udbetales.",I19="X",C19="ikke relevant",S19="X"))),(V19*0.5),0)</f>
        <v>0</v>
      </c>
      <c r="FA19" s="279">
        <f>IF(AND(Stamoplysninger!$B$26="Der er indgået lokalaftale omkring weekendtillæg(Kræver aftale med TR/FSL). Weekendtimerne afspadseres.",I19="X"),K19,0)</f>
        <v>0</v>
      </c>
      <c r="FB19" s="247">
        <f>IF(AND(AND(Stamoplysninger!$B$26="Der er indgået lokalaftale omkring weekendtillæg(Kræver aftale med TR/FSL). Weekendtimerne afspadseres.",I19="X",S19="X")),V19,0)</f>
        <v>0</v>
      </c>
      <c r="FC19" s="665">
        <f>IF(AND(AND(Stamoplysninger!$B$26="Der er indgået lokalaftale omkring weekendtillæg(Kræver aftale med TR/FSL). Weekendtimerne afspadseres..",I19="X",C19="ikke relevant")),K19,0)</f>
        <v>0</v>
      </c>
      <c r="FD19" s="666">
        <f>IF(AND(AND(AND(Stamoplysninger!$B$26="Der er indgået lokalaftale omkring weekendtillæg(Kræver aftale med TR/FSL). Weekendtimerne afspadseres.",I19="X",C19="ikke relevant",S19="X"))),(V19),0)</f>
        <v>0</v>
      </c>
      <c r="FE19" s="279">
        <f>IF(AND(Stamoplysninger!$B$26="Der er indgået lokalaftale omkring weekendtillæg(Kræver aftale med TR/FSL). Weekendtimerne udbetales.",I19="X"),K19,0)</f>
        <v>0</v>
      </c>
      <c r="FF19" s="247">
        <f>IF(AND(AND(Stamoplysninger!$B$26="Der er indgået lokalaftale omkring weekendtillæg(Kræver aftale med TR/FSL). Weekendtimerne udbetales.",I19="X",S19="X")),V19,0)</f>
        <v>0</v>
      </c>
      <c r="FG19" s="665">
        <f>IF(AND(AND(Stamoplysninger!$B$26="Der er indgået lokalaftale omkring weekendtillæg(Kræver aftale med TR/FSL). Weekendtimerne udbetales.",I19="X",C19="ikke relevant")),K19,0)</f>
        <v>0</v>
      </c>
      <c r="FH19" s="666">
        <f>IF(AND(AND(AND(Stamoplysninger!$B$26="Der er indgået lokalaftale omkring weekendtillæg(Kræver aftale med TR/FSL). Weekendtimerne udbetales.",I19="X",C19="ikke relevant",S19="X"))),(V19),0)</f>
        <v>0</v>
      </c>
      <c r="FI19" s="279">
        <f>IF(AND(Stamoplysninger!$B$26="Weekendtimer og weekendtillæg afspadseres.",I19="X"),K19,0)</f>
        <v>0</v>
      </c>
      <c r="FJ19" s="247">
        <f>IF(AND(Stamoplysninger!$B$26="Weekendtimer og weekendtillæg afspadseres.",Y19="X"),(AA19+AL19)/2,0)</f>
        <v>0</v>
      </c>
      <c r="FK19" s="665">
        <f>IF(AND(AND(Stamoplysninger!$B$26="Weekendtimer og weekendtillæg afspadseres.",I19="X",C19="ikke relevant")),K19,0)</f>
        <v>0</v>
      </c>
      <c r="FL19" s="666">
        <f>IF(AND(AND(Stamoplysninger!$B$26="Weekendtimer og weekendtillæg afspadseres.",Y19="X",S19="ikke relevant")),(AA19+AL19)/2,0)</f>
        <v>0</v>
      </c>
      <c r="FM19" s="279">
        <f>IF(AND(Stamoplysninger!$B$26="Der er indgået lokalaftale omkring weekendtillæg(Kræver aftale med TR/FSL). Weekendtimerne afspadseres.",I19="X"),K19,0)</f>
        <v>0</v>
      </c>
      <c r="FN19" s="665">
        <f>IF(AND(AND(Stamoplysninger!$B$26="Der er indgået lokalaftale omkring weekendtillæg(Kræver aftale med TR/FSL). Weekendtimerne afspadseres.",I19="X",C19="ikke relevant")),K19,0)</f>
        <v>0</v>
      </c>
      <c r="FO19" s="279">
        <f>IF(AND(Stamoplysninger!$B$26="Weekendtimer og weekendtillæg udbetales.",I19="X"),K19,0)</f>
        <v>0</v>
      </c>
      <c r="FP19" s="247">
        <f>IF(AND(Stamoplysninger!$B$26="Weekendtimer og weekendtillæg udbetales.",AA19="X"),(AC19+AN19)/2,0)</f>
        <v>0</v>
      </c>
      <c r="FQ19" s="665">
        <f>IF(AND(AND(Stamoplysninger!$B$26="Weekendtimer og weekendtillæg udbetales.",I19="X",C19="ikke relevant")),K19,0)</f>
        <v>0</v>
      </c>
      <c r="FR19" s="679">
        <f>IF(AND(AND(Stamoplysninger!$B$26="Weekendtimer og weekendtillæg udbetales.",AA19="X",U19="ikke relevant")),(AC19+AN19)/2,0)</f>
        <v>0</v>
      </c>
      <c r="FS19" s="279">
        <f t="shared" si="15"/>
        <v>0</v>
      </c>
      <c r="FT19" s="649">
        <f t="shared" si="16"/>
        <v>0</v>
      </c>
      <c r="FU19">
        <f t="shared" si="17"/>
        <v>0</v>
      </c>
      <c r="FV19" s="279">
        <f>IF(AND(Stamoplysninger!$B$26="Der er indgået lokalaftale omkring weekendtimer.(Kræver aftale med TR/FSL) Weekendtillæg afspadseres.",I19="X"),K19,0)</f>
        <v>0</v>
      </c>
      <c r="FW19" s="665">
        <f>IF(AND(AND(Stamoplysninger!$B$26="Der er indgået lokalaftale omkring weekendtimer.(Kræver aftale med TR/FSL) Weekendtillæg afspadseres.",I19="X",C19="ikke relevant")),K19,0)</f>
        <v>0</v>
      </c>
      <c r="FX19" s="279">
        <f>IF(AND(Stamoplysninger!$B$26="Der er indgået lokalaftale omkring weekendtimer(Kræver aftale med TR/FSL). Weekendtillæg udbetales.",I19="X"),K19,0)</f>
        <v>0</v>
      </c>
      <c r="FY19" s="665">
        <f>IF(AND(AND(Stamoplysninger!$B$26="Der er indgået lokalaftale omkring weekendtimer(Kræver aftale med TR/FSL). Weekendtillæg udbetales.",I19="X",C19="ikke relevant")),K19,0)</f>
        <v>0</v>
      </c>
      <c r="FZ19" s="279">
        <f>IF(AND(Stamoplysninger!$B$26="Der er indgået lokalaftale omkring weekendtillæg(Kræver aftale med TR/FSL). Weekendtimerne udbetales.",I19="X"),K19,0)</f>
        <v>0</v>
      </c>
      <c r="GA19" s="665">
        <f>IF(AND(AND(Stamoplysninger!$B$26="Der er indgået lokalaftale omkring weekendtillæg(Kræver aftale med TR/FSL). Weekendtimerne udbetales.",I19="X",C19="ikke relevant")),K19,0)</f>
        <v>0</v>
      </c>
      <c r="GB19" s="279">
        <f>IF(AND(Stamoplysninger!$B$26="Der er indgået lokalaftale omkring weekendtimer og weekendtillæg.(Kræver aftale med TR/FSL).",I19="X"),K19,0)</f>
        <v>0</v>
      </c>
      <c r="GC19" s="665">
        <f>IF(AND(AND(Stamoplysninger!$B$26="Der er indgået lokalaftale omkring weekendtimer og weekendtillæg.(Kræver aftale med TR/FSL).",I19="X",C19="ikke relevant")),K19,0)</f>
        <v>0</v>
      </c>
    </row>
    <row r="20" spans="1:185">
      <c r="A20" s="241">
        <f>IF(ISNUMBER(A19),A19+1,1)</f>
        <v>12</v>
      </c>
      <c r="B20" s="127" t="str">
        <f t="shared" si="0"/>
        <v>lø</v>
      </c>
      <c r="C20" s="128" t="s">
        <v>120</v>
      </c>
      <c r="D20" s="129" t="str">
        <f t="shared" si="1"/>
        <v/>
      </c>
      <c r="E20" s="932"/>
      <c r="F20" s="933"/>
      <c r="G20" s="934"/>
      <c r="H20" s="294"/>
      <c r="I20" s="407"/>
      <c r="J20" s="407"/>
      <c r="K20" s="374"/>
      <c r="L20" s="374"/>
      <c r="M20" s="374"/>
      <c r="N20" s="313">
        <f t="shared" si="19"/>
        <v>0</v>
      </c>
      <c r="O20" s="313">
        <f t="shared" si="20"/>
        <v>0</v>
      </c>
      <c r="P20" s="313">
        <f>IF(Stamoplysninger!$H$29="JA",Oktober!DG20,CX20)</f>
        <v>0</v>
      </c>
      <c r="Q20" s="313">
        <f t="shared" si="21"/>
        <v>0</v>
      </c>
      <c r="R20" s="314"/>
      <c r="S20" s="319"/>
      <c r="T20" s="320"/>
      <c r="U20" s="320"/>
      <c r="V20" s="429"/>
      <c r="W20" s="406"/>
      <c r="X20" s="633"/>
      <c r="Y20">
        <f t="shared" si="22"/>
        <v>0</v>
      </c>
      <c r="Z20">
        <f t="shared" si="2"/>
        <v>0</v>
      </c>
      <c r="AA20" s="1">
        <f t="shared" si="3"/>
        <v>0</v>
      </c>
      <c r="AB20" s="1">
        <f t="shared" si="4"/>
        <v>0</v>
      </c>
      <c r="AC20" s="1">
        <f t="shared" si="5"/>
        <v>0</v>
      </c>
      <c r="AD20" s="1">
        <f t="shared" si="6"/>
        <v>0</v>
      </c>
      <c r="AE20" s="1">
        <f t="shared" si="7"/>
        <v>0</v>
      </c>
      <c r="AF20" s="1">
        <f>IF(C20="Orlov",7.4*Stamoplysninger!$E$15,0)</f>
        <v>0</v>
      </c>
      <c r="AG20" t="str">
        <f>IF(AND(C20="Skema 1",B20="ma"),Arbejdstidsoversigt!$E$72,"")</f>
        <v/>
      </c>
      <c r="AH20" t="str">
        <f>IF(AND(C20="Skema 1",B20="ti"),Arbejdstidsoversigt!$E$73,"")</f>
        <v/>
      </c>
      <c r="AI20" t="str">
        <f>IF(AND(C20="Skema 1",B20="on"),Arbejdstidsoversigt!$E$74,"")</f>
        <v/>
      </c>
      <c r="AJ20" t="str">
        <f>IF(AND(C20="Skema 1",B20="to"),Arbejdstidsoversigt!$E$75,"")</f>
        <v/>
      </c>
      <c r="AK20" t="str">
        <f>IF(AND(C20="Skema 1",B20="fr"),Arbejdstidsoversigt!$E$76,"")</f>
        <v/>
      </c>
      <c r="AL20" t="str">
        <f>IF(AND(C20="Skema 2",B20="ma"),Arbejdstidsoversigt!$E$81,"")</f>
        <v/>
      </c>
      <c r="AM20" t="str">
        <f>IF(AND(C20="Skema 2",B20="ti"),Arbejdstidsoversigt!$E$82,"")</f>
        <v/>
      </c>
      <c r="AN20" t="str">
        <f>IF(AND(C20="Skema 2",B20="on"),Arbejdstidsoversigt!$E$83,"")</f>
        <v/>
      </c>
      <c r="AO20" t="str">
        <f>IF(AND(C20="Skema 2",B20="to"),Arbejdstidsoversigt!$E$84,"")</f>
        <v/>
      </c>
      <c r="AP20" t="str">
        <f>IF(AND(C20="Skema 2",B20="fr"),Arbejdstidsoversigt!$E$85,"")</f>
        <v/>
      </c>
      <c r="AQ20" t="str">
        <f>IF(AND(C20="Skema 3",B20="ma"),Arbejdstidsoversigt!$E$90,"")</f>
        <v/>
      </c>
      <c r="AR20" t="str">
        <f>IF(AND(C20="Skema 3",B20="ti"),Arbejdstidsoversigt!$E$91,"")</f>
        <v/>
      </c>
      <c r="AS20" t="str">
        <f>IF(AND(C20="Skema 3",B20="on"),Arbejdstidsoversigt!$E$92,"")</f>
        <v/>
      </c>
      <c r="AT20" t="str">
        <f>IF(AND(C20="Skema 3",B20="to"),Arbejdstidsoversigt!$E$93,"")</f>
        <v/>
      </c>
      <c r="AU20" t="str">
        <f>IF(AND(C20="Skema 3",B20="fr"),Arbejdstidsoversigt!$E$94,"")</f>
        <v/>
      </c>
      <c r="AV20" t="str">
        <f>IF(AND(C20="Skema 4",B20="ma"),Arbejdstidsoversigt!$E$99,"")</f>
        <v/>
      </c>
      <c r="AW20" t="str">
        <f>IF(AND(C20="Skema 4",B20="ti"),Arbejdstidsoversigt!$E$100,"")</f>
        <v/>
      </c>
      <c r="AX20" t="str">
        <f>IF(AND(C20="Skema 4",B20="on"),Arbejdstidsoversigt!$E$101,"")</f>
        <v/>
      </c>
      <c r="AY20" t="str">
        <f>IF(AND(C20="Skema 4",B20="to"),Arbejdstidsoversigt!$E$102,"")</f>
        <v/>
      </c>
      <c r="AZ20" t="str">
        <f>IF(AND(C20="Skema 4",B20="fr"),Arbejdstidsoversigt!$E$103,"")</f>
        <v/>
      </c>
      <c r="BA20" s="1">
        <f t="shared" si="23"/>
        <v>0</v>
      </c>
      <c r="BB20" s="226">
        <f t="shared" si="8"/>
        <v>0</v>
      </c>
      <c r="BC20" s="1">
        <f t="shared" si="24"/>
        <v>0</v>
      </c>
      <c r="BD20" s="1">
        <f t="shared" si="9"/>
        <v>0</v>
      </c>
      <c r="BE20" s="1">
        <f t="shared" si="10"/>
        <v>0</v>
      </c>
      <c r="BF20" s="1">
        <f t="shared" si="11"/>
        <v>0</v>
      </c>
      <c r="BG20" s="209" t="str">
        <f>IF(AND(C20="Skema 1",B20="ma"),Skemaoplysninger!$E$30,"")</f>
        <v/>
      </c>
      <c r="BH20" s="209" t="str">
        <f>IF(AND(C20="Skema 1",B20="ti"),Skemaoplysninger!$G$30,"")</f>
        <v/>
      </c>
      <c r="BI20" s="209" t="str">
        <f>IF(AND(C20="Skema 1",B20="on"),Skemaoplysninger!$I$30,"")</f>
        <v/>
      </c>
      <c r="BJ20" s="209" t="str">
        <f>IF(AND(C20="Skema 1",B20="to"),Skemaoplysninger!$K$30,"")</f>
        <v/>
      </c>
      <c r="BK20" s="209" t="str">
        <f>IF(AND(C20="Skema 1",B20="fr"),Skemaoplysninger!$M$30,"")</f>
        <v/>
      </c>
      <c r="BL20" s="209" t="str">
        <f>IF(AND(C20="Skema 2",B20="ma"),Skemaoplysninger!$S$30,"")</f>
        <v/>
      </c>
      <c r="BM20" s="209" t="str">
        <f>IF(AND(C20="Skema 2",B20="ti"),Skemaoplysninger!$U$30,"")</f>
        <v/>
      </c>
      <c r="BN20" s="209" t="str">
        <f>IF(AND(C20="Skema 2",B20="on"),Skemaoplysninger!$W$30,"")</f>
        <v/>
      </c>
      <c r="BO20" s="209" t="str">
        <f>IF(AND(C20="Skema 2",B20="to"),Skemaoplysninger!$Y$30,"")</f>
        <v/>
      </c>
      <c r="BP20" s="209" t="str">
        <f>IF(AND(C20="Skema 2",B20="fr"),Skemaoplysninger!$AA$30,"")</f>
        <v/>
      </c>
      <c r="BQ20" s="209" t="str">
        <f>IF(AND(C20="Skema 3",B20="ma"),Skemaoplysninger!$AG$30,"")</f>
        <v/>
      </c>
      <c r="BR20" s="209" t="str">
        <f>IF(AND(C20="Skema 3",B20="ti"),Skemaoplysninger!$AI$30,"")</f>
        <v/>
      </c>
      <c r="BS20" s="209" t="str">
        <f>IF(AND(C20="Skema 3",B20="on"),Skemaoplysninger!$AK$30,"")</f>
        <v/>
      </c>
      <c r="BT20" s="209" t="str">
        <f>IF(AND(C20="Skema 3",B20="to"),Skemaoplysninger!$AM$30,"")</f>
        <v/>
      </c>
      <c r="BU20" s="209" t="str">
        <f>IF(AND(C20="Skema 3",B20="fr"),Skemaoplysninger!$AO$30,"")</f>
        <v/>
      </c>
      <c r="BV20" s="209" t="str">
        <f>IF(AND(C20="Skema 4",B20="ma"),Skemaoplysninger!$AU$30,"")</f>
        <v/>
      </c>
      <c r="BW20" s="209" t="str">
        <f>IF(AND(C20="Skema 4",B20="ti"),Skemaoplysninger!$AW$30,"")</f>
        <v/>
      </c>
      <c r="BX20" s="209" t="str">
        <f>IF(AND(C20="Skema 4",B20="on"),Skemaoplysninger!$AY$30,"")</f>
        <v/>
      </c>
      <c r="BY20" s="209" t="str">
        <f>IF(AND(C20="Skema 4",B20="to"),Skemaoplysninger!$BA$30,"")</f>
        <v/>
      </c>
      <c r="BZ20" s="209" t="str">
        <f>IF(AND(C20="Skema 4",B20="fr"),Skemaoplysninger!$BC$30,"")</f>
        <v/>
      </c>
      <c r="CA20" s="1">
        <f t="shared" si="25"/>
        <v>0</v>
      </c>
      <c r="CB20" s="1">
        <f t="shared" si="12"/>
        <v>0</v>
      </c>
      <c r="CC20" s="1">
        <f t="shared" si="13"/>
        <v>0</v>
      </c>
      <c r="CD20" s="209" t="str">
        <f>IF(AND(C20="Skema 1",B20="ma"),Skemaoplysninger!$E$31,"")</f>
        <v/>
      </c>
      <c r="CE20" s="209" t="str">
        <f>IF(AND(C20="Skema 1",B20="ti"),Skemaoplysninger!$G$31,"")</f>
        <v/>
      </c>
      <c r="CF20" s="209" t="str">
        <f>IF(AND(C20="Skema 1",B20="on"),Skemaoplysninger!$I$31,"")</f>
        <v/>
      </c>
      <c r="CG20" s="209" t="str">
        <f>IF(AND(C20="Skema 1",B20="to"),Skemaoplysninger!$K$31,"")</f>
        <v/>
      </c>
      <c r="CH20" s="209" t="str">
        <f>IF(AND(C20="Skema 1",B20="fr"),Skemaoplysninger!$M$31,"")</f>
        <v/>
      </c>
      <c r="CI20" s="209" t="str">
        <f>IF(AND(C20="Skema 2",B20="ma"),Skemaoplysninger!$S$31,"")</f>
        <v/>
      </c>
      <c r="CJ20" s="209" t="str">
        <f>IF(AND(C20="Skema 2",B20="ti"),Skemaoplysninger!$U$31,"")</f>
        <v/>
      </c>
      <c r="CK20" s="209" t="str">
        <f>IF(AND(C20="Skema 2",B20="on"),Skemaoplysninger!$W$31,"")</f>
        <v/>
      </c>
      <c r="CL20" s="209" t="str">
        <f>IF(AND(C20="Skema 2",B20="to"),Skemaoplysninger!$Y$31,"")</f>
        <v/>
      </c>
      <c r="CM20" s="209" t="str">
        <f>IF(AND(C20="Skema 2",B20="fr"),Skemaoplysninger!$AA$31,"")</f>
        <v/>
      </c>
      <c r="CN20" s="209" t="str">
        <f>IF(AND(C20="Skema 3",B20="ma"),Skemaoplysninger!$AG$31,"")</f>
        <v/>
      </c>
      <c r="CO20" s="209" t="str">
        <f>IF(AND(C20="Skema 3",B20="ti"),Skemaoplysninger!$AI$31,"")</f>
        <v/>
      </c>
      <c r="CP20" s="209" t="str">
        <f>IF(AND(C20="Skema 3",B20="on"),Skemaoplysninger!$AK$31,"")</f>
        <v/>
      </c>
      <c r="CQ20" s="209" t="str">
        <f>IF(AND(C20="Skema 3",B20="to"),Skemaoplysninger!$AM$31,"")</f>
        <v/>
      </c>
      <c r="CR20" s="209" t="str">
        <f>IF(AND(C20="Skema 3",B20="fr"),Skemaoplysninger!$AO$31,"")</f>
        <v/>
      </c>
      <c r="CS20" s="209" t="str">
        <f>IF(AND(C20="Skema 4",B20="ma"),Skemaoplysninger!$AU$31,"")</f>
        <v/>
      </c>
      <c r="CT20" s="209" t="str">
        <f>IF(AND(C20="Skema 4",B20="ti"),Skemaoplysninger!$AW$31,"")</f>
        <v/>
      </c>
      <c r="CU20" s="209" t="str">
        <f>IF(AND(C20="Skema 4",B20="on"),Skemaoplysninger!$AY$31,"")</f>
        <v/>
      </c>
      <c r="CV20" s="209" t="str">
        <f>IF(AND(C20="Skema 4",B20="to"),Skemaoplysninger!$BA$31,"")</f>
        <v/>
      </c>
      <c r="CW20" s="209" t="str">
        <f>IF(AND(C20="Skema 4",B20="fr"),Skemaoplysninger!$BC$31,"")</f>
        <v/>
      </c>
      <c r="CX20" s="245">
        <f>IF(Stamoplysninger!$H$29="NEJ",SUM(CD20:CW20)*24+CB20+CC20,0)</f>
        <v>0</v>
      </c>
      <c r="CY20" s="245">
        <f>IF(C20="Skema 1",Stamoplysninger!$H$30/200,0)</f>
        <v>0</v>
      </c>
      <c r="CZ20" s="245">
        <f>IF(C20="Skema 2",Stamoplysninger!$H$30/200,0)</f>
        <v>0</v>
      </c>
      <c r="DA20" s="245">
        <f>IF(C20="Skema 3",Stamoplysninger!$H$30/200,0)</f>
        <v>0</v>
      </c>
      <c r="DB20" s="245">
        <f>IF(C20="Skema 4",Stamoplysninger!$H$30/200,0)</f>
        <v>0</v>
      </c>
      <c r="DC20" s="245">
        <f>IF(C20="fagdag",Stamoplysninger!$H$30/200,0)</f>
        <v>0</v>
      </c>
      <c r="DD20" s="245">
        <f>IF(C20="emnedag",Stamoplysninger!$H$30/200,0)</f>
        <v>0</v>
      </c>
      <c r="DE20" s="245">
        <f>IF(C20="lejrskole",Stamoplysninger!$H$30/200,0)</f>
        <v>0</v>
      </c>
      <c r="DF20" s="245">
        <f>IF(C20="ekskursion",Stamoplysninger!$H$30/200,0)</f>
        <v>0</v>
      </c>
      <c r="DG20" s="245">
        <f t="shared" si="26"/>
        <v>0</v>
      </c>
      <c r="DH20" t="str">
        <f t="shared" si="27"/>
        <v/>
      </c>
      <c r="DI20">
        <f t="shared" si="28"/>
        <v>0</v>
      </c>
      <c r="DJ20">
        <f t="shared" si="29"/>
        <v>0</v>
      </c>
      <c r="DK20" t="str">
        <f t="shared" si="14"/>
        <v/>
      </c>
      <c r="DL20" t="str">
        <f t="shared" si="14"/>
        <v/>
      </c>
      <c r="DM20" t="str">
        <f t="shared" si="14"/>
        <v/>
      </c>
      <c r="DN20" t="str">
        <f t="shared" si="30"/>
        <v/>
      </c>
      <c r="DO20" s="643">
        <f>IF(AND(Stamoplysninger!$B$22="Ulempetillæg udbetales med 25% af nettotimelønnen.",H20&gt;0),(R20/4),0)</f>
        <v>0</v>
      </c>
      <c r="DP20">
        <f>IF(AND(Stamoplysninger!$B$22="Ulempetillæg udbetales med 25% af nettotimelønnen.",I20="X"),K20/4,0)</f>
        <v>0</v>
      </c>
      <c r="DQ20">
        <f>IF(AND(Stamoplysninger!$B$22="Ulempetillæg udbetales med 25% af nettotimelønnen.",U20="X"),(X20/4),0)</f>
        <v>0</v>
      </c>
      <c r="DR20">
        <f>IF(AND(AND(Stamoplysninger!$B$22="Ulempetillæg udbetales med 25% af nettotimelønnen.",S20="X",I20="X")),V20/4,0)</f>
        <v>0</v>
      </c>
      <c r="DS20" s="662">
        <f>IF(AND(Stamoplysninger!$B$22="Ulempetillæg udbetales med 25% af nettotimelønnen.",C20="ikke relevant"),(R20)/4,0)</f>
        <v>0</v>
      </c>
      <c r="DT20" s="662">
        <f>IF(AND(AND(Stamoplysninger!$B$22="Ulempetillæg udbetales med 25% af nettotimelønnen.",I20="X",C20="Ikke relevant")),K20/4,0)</f>
        <v>0</v>
      </c>
      <c r="DU20" s="662">
        <f>IF(AND(AND(Stamoplysninger!$B$22="Ulempetillæg udbetales med 25% af nettotimelønnen.",C20="ikke relevant",U20="X")),(X20/4),0)</f>
        <v>0</v>
      </c>
      <c r="DV20" s="663">
        <f>IF(AND(AND(AND(Stamoplysninger!$B$22="Ulempetillæg udbetales med 25% af nettotimelønnen.",I20="X",C20="Ikke relevant",S20="X"))),V20/4,0)</f>
        <v>0</v>
      </c>
      <c r="DW20" s="643"/>
      <c r="DZ20" s="662"/>
      <c r="EA20" s="662"/>
      <c r="EB20" s="663"/>
      <c r="EC20" s="643">
        <f>IF(AND(Stamoplysninger!$B$22="Ulempetillæg afspadseres med 25%(Kræver en aftale imellem ledelsen og den ansatte)",H20&gt;0),R20/4,0)</f>
        <v>0</v>
      </c>
      <c r="ED20">
        <f>IF(AND(Stamoplysninger!$B$22="Ulempetillæg afspadseres med 25%(Kræver en aftale imellem ledelsen og den ansatte)",I20="X"),K20/4,0)</f>
        <v>0</v>
      </c>
      <c r="EE20">
        <f>IF(AND(Stamoplysninger!$B$22="Ulempetillæg afspadseres med 25%(Kræver en aftale imellem ledelsen og den ansatte)",U20="X"),X20/4,0)</f>
        <v>0</v>
      </c>
      <c r="EF20">
        <f>IF(AND(AND(Stamoplysninger!$B$22="Ulempetillæg afspadseres med 25%(Kræver en aftale imellem ledelsen og den ansatte)",I20="X",S20="X")),V20/4,0)</f>
        <v>0</v>
      </c>
      <c r="EG20" s="662">
        <f>IF(AND(Stamoplysninger!$B$22="Ulempetillæg afspadseres med 25%(Kræver en aftale imellem ledelsen og den ansatte)",C20="ikke relevant"),(R20)/4,0)</f>
        <v>0</v>
      </c>
      <c r="EH20" s="662">
        <f>IF(AND(AND(Stamoplysninger!$B$22="Ulempetillæg afspadseres med 25%(Kræver en aftale imellem ledelsen og den ansatte)",I20="X",C20="Ikke relevant")),K20/4,0)</f>
        <v>0</v>
      </c>
      <c r="EI20" s="662">
        <f>IF(AND(AND(Stamoplysninger!$B$22="Ulempetillæg afspadseres med 25%(Kræver en aftale imellem ledelsen og den ansatte)",U20="X",C20="Ikke relevant")),X20/4,0)</f>
        <v>0</v>
      </c>
      <c r="EJ20" s="662">
        <f>IF(AND(AND(AND(Stamoplysninger!$B$22="Ulempetillæg afspadseres med 25%(Kræver en aftale imellem ledelsen og den ansatte)",I20="X",C20="Ikke relevant",S20="X"))),V20/4,0)</f>
        <v>0</v>
      </c>
      <c r="EK20" s="279">
        <f>IF(AND(Stamoplysninger!$B$26="Weekendtimer og weekendtillæg afspadseres.",I20="X"),K20*1.5,0)</f>
        <v>0</v>
      </c>
      <c r="EL20" s="247">
        <f>IF(AND(AND(Stamoplysninger!$B$26="Weekendtimer og weekendtillæg afspadseres.",I20="X",S20="X")),V20*1.5,0)</f>
        <v>0</v>
      </c>
      <c r="EM20" s="665">
        <f>IF(AND(AND(Stamoplysninger!$B$26="Weekendtimer og weekendtillæg afspadseres.",I20="X",C20="ikke relevant")),K20*1.5,0)</f>
        <v>0</v>
      </c>
      <c r="EN20" s="666">
        <f>IF(AND(AND(AND(Stamoplysninger!$B$26="Weekendtimer og weekendtillæg afspadseres.",I20="X",C20="ikke relevant",S20="X"))),(V20*1.5),0)</f>
        <v>0</v>
      </c>
      <c r="EO20" s="279">
        <f>IF(AND(Stamoplysninger!$B$26="Weekendtimer og weekendtillæg udbetales.",I20="X"),K20*1.5,0)</f>
        <v>0</v>
      </c>
      <c r="EP20" s="247">
        <f>IF(AND(AND(Stamoplysninger!$B$26="Weekendtimer og weekendtillæg udbetales.",I20="X",S20="X")),V20*1.5,0)</f>
        <v>0</v>
      </c>
      <c r="EQ20" s="665">
        <f>IF(AND(AND(Stamoplysninger!$B$26="Weekendtimer og weekendtillæg udbetales.",I20="X",C20="ikke relevant")),K20*1.5,0)</f>
        <v>0</v>
      </c>
      <c r="ER20" s="666">
        <f>IF(AND(AND(AND(Stamoplysninger!$B$26="Weekendtimer og weekendtillæg udbetales.",I20="X",C20="ikke relevant",S20="X"))),(V20*1.5),0)</f>
        <v>0</v>
      </c>
      <c r="ES20" s="279">
        <f>IF(AND(Stamoplysninger!$B$26="Der er indgået lokalaftale omkring weekendtimer.(Kræver aftale med TR/FSL) Weekendtillæg afspadseres.",I20="X"),K20*0.5,0)</f>
        <v>0</v>
      </c>
      <c r="ET20" s="247">
        <f>IF(AND(AND(Stamoplysninger!$B$26="Der er indgået lokalaftale omkring weekendtimer.(Kræver aftale med TR/FSL) Weekendtillæg afspadseres.",I20="X",S20="X")),V20*0.5,0)</f>
        <v>0</v>
      </c>
      <c r="EU20" s="665">
        <f>IF(AND(AND(Stamoplysninger!$B$26="Der er indgået lokalaftale omkring weekendtimer.(Kræver aftale med TR/FSL) Weekendtillæg afspadseres.",I20="X",C20="ikke relevant")),K20*0.5,0)</f>
        <v>0</v>
      </c>
      <c r="EV20" s="666">
        <f>IF(AND(AND(AND(Stamoplysninger!$B$26="Der er indgået lokalaftale omkring weekendtimer.(Kræver aftale med TR/FSL) Weekendtillæg afspadseres.",I20="X",C20="ikke relevant",S20="X"))),(V20*0.5),0)</f>
        <v>0</v>
      </c>
      <c r="EW20" s="279">
        <f>IF(AND(Stamoplysninger!$B$26="Der er indgået lokalaftale omkring weekendtimer(Kræver aftale med TR/FSL). Weekendtillæg udbetales.",I20="X"),K20*0.5,0)</f>
        <v>0</v>
      </c>
      <c r="EX20" s="247">
        <f>IF(AND(AND(Stamoplysninger!$B$26="Der er indgået lokalaftale omkring weekendtimer(Kræver aftale med TR/FSL). Weekendtillæg udbetales.",I20="X",S20="X")),V20*0.5,0)</f>
        <v>0</v>
      </c>
      <c r="EY20" s="665">
        <f>IF(AND(AND(Stamoplysninger!$B$26="Der er indgået lokalaftale omkring weekendtimer(Kræver aftale med TR/FSL). Weekendtillæg udbetales.",I20="X",C20="ikke relevant")),K20*0.5,0)</f>
        <v>0</v>
      </c>
      <c r="EZ20" s="666">
        <f>IF(AND(AND(AND(Stamoplysninger!$B$26="Der er indgået lokalaftale omkring weekendtimer(Kræver aftale med TR/FSL). Weekendtillæg udbetales.",I20="X",C20="ikke relevant",S20="X"))),(V20*0.5),0)</f>
        <v>0</v>
      </c>
      <c r="FA20" s="279">
        <f>IF(AND(Stamoplysninger!$B$26="Der er indgået lokalaftale omkring weekendtillæg(Kræver aftale med TR/FSL). Weekendtimerne afspadseres.",I20="X"),K20,0)</f>
        <v>0</v>
      </c>
      <c r="FB20" s="247">
        <f>IF(AND(AND(Stamoplysninger!$B$26="Der er indgået lokalaftale omkring weekendtillæg(Kræver aftale med TR/FSL). Weekendtimerne afspadseres.",I20="X",S20="X")),V20,0)</f>
        <v>0</v>
      </c>
      <c r="FC20" s="665">
        <f>IF(AND(AND(Stamoplysninger!$B$26="Der er indgået lokalaftale omkring weekendtillæg(Kræver aftale med TR/FSL). Weekendtimerne afspadseres..",I20="X",C20="ikke relevant")),K20,0)</f>
        <v>0</v>
      </c>
      <c r="FD20" s="666">
        <f>IF(AND(AND(AND(Stamoplysninger!$B$26="Der er indgået lokalaftale omkring weekendtillæg(Kræver aftale med TR/FSL). Weekendtimerne afspadseres.",I20="X",C20="ikke relevant",S20="X"))),(V20),0)</f>
        <v>0</v>
      </c>
      <c r="FE20" s="279">
        <f>IF(AND(Stamoplysninger!$B$26="Der er indgået lokalaftale omkring weekendtillæg(Kræver aftale med TR/FSL). Weekendtimerne udbetales.",I20="X"),K20,0)</f>
        <v>0</v>
      </c>
      <c r="FF20" s="247">
        <f>IF(AND(AND(Stamoplysninger!$B$26="Der er indgået lokalaftale omkring weekendtillæg(Kræver aftale med TR/FSL). Weekendtimerne udbetales.",I20="X",S20="X")),V20,0)</f>
        <v>0</v>
      </c>
      <c r="FG20" s="665">
        <f>IF(AND(AND(Stamoplysninger!$B$26="Der er indgået lokalaftale omkring weekendtillæg(Kræver aftale med TR/FSL). Weekendtimerne udbetales.",I20="X",C20="ikke relevant")),K20,0)</f>
        <v>0</v>
      </c>
      <c r="FH20" s="666">
        <f>IF(AND(AND(AND(Stamoplysninger!$B$26="Der er indgået lokalaftale omkring weekendtillæg(Kræver aftale med TR/FSL). Weekendtimerne udbetales.",I20="X",C20="ikke relevant",S20="X"))),(V20),0)</f>
        <v>0</v>
      </c>
      <c r="FI20" s="279">
        <f>IF(AND(Stamoplysninger!$B$26="Weekendtimer og weekendtillæg afspadseres.",I20="X"),K20,0)</f>
        <v>0</v>
      </c>
      <c r="FJ20" s="247">
        <f>IF(AND(Stamoplysninger!$B$26="Weekendtimer og weekendtillæg afspadseres.",Y20="X"),(AA20+AL20)/2,0)</f>
        <v>0</v>
      </c>
      <c r="FK20" s="665">
        <f>IF(AND(AND(Stamoplysninger!$B$26="Weekendtimer og weekendtillæg afspadseres.",I20="X",C20="ikke relevant")),K20,0)</f>
        <v>0</v>
      </c>
      <c r="FL20" s="666">
        <f>IF(AND(AND(Stamoplysninger!$B$26="Weekendtimer og weekendtillæg afspadseres.",Y20="X",S20="ikke relevant")),(AA20+AL20)/2,0)</f>
        <v>0</v>
      </c>
      <c r="FM20" s="279">
        <f>IF(AND(Stamoplysninger!$B$26="Der er indgået lokalaftale omkring weekendtillæg(Kræver aftale med TR/FSL). Weekendtimerne afspadseres.",I20="X"),K20,0)</f>
        <v>0</v>
      </c>
      <c r="FN20" s="665">
        <f>IF(AND(AND(Stamoplysninger!$B$26="Der er indgået lokalaftale omkring weekendtillæg(Kræver aftale med TR/FSL). Weekendtimerne afspadseres.",I20="X",C20="ikke relevant")),K20,0)</f>
        <v>0</v>
      </c>
      <c r="FO20" s="279">
        <f>IF(AND(Stamoplysninger!$B$26="Weekendtimer og weekendtillæg udbetales.",I20="X"),K20,0)</f>
        <v>0</v>
      </c>
      <c r="FP20" s="247">
        <f>IF(AND(Stamoplysninger!$B$26="Weekendtimer og weekendtillæg udbetales.",AA20="X"),(AC20+AN20)/2,0)</f>
        <v>0</v>
      </c>
      <c r="FQ20" s="665">
        <f>IF(AND(AND(Stamoplysninger!$B$26="Weekendtimer og weekendtillæg udbetales.",I20="X",C20="ikke relevant")),K20,0)</f>
        <v>0</v>
      </c>
      <c r="FR20" s="679">
        <f>IF(AND(AND(Stamoplysninger!$B$26="Weekendtimer og weekendtillæg udbetales.",AA20="X",U20="ikke relevant")),(AC20+AN20)/2,0)</f>
        <v>0</v>
      </c>
      <c r="FS20" s="279">
        <f t="shared" si="15"/>
        <v>0</v>
      </c>
      <c r="FT20" s="649">
        <f t="shared" si="16"/>
        <v>0</v>
      </c>
      <c r="FU20">
        <f t="shared" si="17"/>
        <v>0</v>
      </c>
      <c r="FV20" s="279">
        <f>IF(AND(Stamoplysninger!$B$26="Der er indgået lokalaftale omkring weekendtimer.(Kræver aftale med TR/FSL) Weekendtillæg afspadseres.",I20="X"),K20,0)</f>
        <v>0</v>
      </c>
      <c r="FW20" s="665">
        <f>IF(AND(AND(Stamoplysninger!$B$26="Der er indgået lokalaftale omkring weekendtimer.(Kræver aftale med TR/FSL) Weekendtillæg afspadseres.",I20="X",C20="ikke relevant")),K20,0)</f>
        <v>0</v>
      </c>
      <c r="FX20" s="279">
        <f>IF(AND(Stamoplysninger!$B$26="Der er indgået lokalaftale omkring weekendtimer(Kræver aftale med TR/FSL). Weekendtillæg udbetales.",I20="X"),K20,0)</f>
        <v>0</v>
      </c>
      <c r="FY20" s="665">
        <f>IF(AND(AND(Stamoplysninger!$B$26="Der er indgået lokalaftale omkring weekendtimer(Kræver aftale med TR/FSL). Weekendtillæg udbetales.",I20="X",C20="ikke relevant")),K20,0)</f>
        <v>0</v>
      </c>
      <c r="FZ20" s="279">
        <f>IF(AND(Stamoplysninger!$B$26="Der er indgået lokalaftale omkring weekendtillæg(Kræver aftale med TR/FSL). Weekendtimerne udbetales.",I20="X"),K20,0)</f>
        <v>0</v>
      </c>
      <c r="GA20" s="665">
        <f>IF(AND(AND(Stamoplysninger!$B$26="Der er indgået lokalaftale omkring weekendtillæg(Kræver aftale med TR/FSL). Weekendtimerne udbetales.",I20="X",C20="ikke relevant")),K20,0)</f>
        <v>0</v>
      </c>
      <c r="GB20" s="279">
        <f>IF(AND(Stamoplysninger!$B$26="Der er indgået lokalaftale omkring weekendtimer og weekendtillæg.(Kræver aftale med TR/FSL).",I20="X"),K20,0)</f>
        <v>0</v>
      </c>
      <c r="GC20" s="665">
        <f>IF(AND(AND(Stamoplysninger!$B$26="Der er indgået lokalaftale omkring weekendtimer og weekendtillæg.(Kræver aftale med TR/FSL).",I20="X",C20="ikke relevant")),K20,0)</f>
        <v>0</v>
      </c>
    </row>
    <row r="21" spans="1:185">
      <c r="A21" s="241">
        <f>IF(ISNUMBER(A20),A20+1,1)</f>
        <v>13</v>
      </c>
      <c r="B21" s="127" t="str">
        <f t="shared" si="0"/>
        <v>sø</v>
      </c>
      <c r="C21" s="128" t="s">
        <v>120</v>
      </c>
      <c r="D21" s="129" t="str">
        <f t="shared" si="1"/>
        <v/>
      </c>
      <c r="E21" s="964"/>
      <c r="F21" s="965"/>
      <c r="G21" s="966"/>
      <c r="H21" s="293"/>
      <c r="I21" s="407"/>
      <c r="J21" s="407"/>
      <c r="K21" s="374"/>
      <c r="L21" s="374"/>
      <c r="M21" s="374"/>
      <c r="N21" s="313">
        <f t="shared" si="19"/>
        <v>0</v>
      </c>
      <c r="O21" s="313">
        <f t="shared" si="20"/>
        <v>0</v>
      </c>
      <c r="P21" s="313">
        <f>IF(Stamoplysninger!$H$29="JA",Oktober!DG21,CX21)</f>
        <v>0</v>
      </c>
      <c r="Q21" s="313">
        <f t="shared" si="21"/>
        <v>0</v>
      </c>
      <c r="R21" s="314"/>
      <c r="S21" s="319"/>
      <c r="T21" s="320"/>
      <c r="U21" s="320"/>
      <c r="V21" s="429"/>
      <c r="W21" s="406"/>
      <c r="X21" s="633"/>
      <c r="Y21">
        <f t="shared" si="22"/>
        <v>0</v>
      </c>
      <c r="Z21">
        <f t="shared" si="2"/>
        <v>0</v>
      </c>
      <c r="AA21" s="1">
        <f t="shared" si="3"/>
        <v>0</v>
      </c>
      <c r="AB21" s="1">
        <f t="shared" si="4"/>
        <v>0</v>
      </c>
      <c r="AC21" s="1">
        <f t="shared" si="5"/>
        <v>0</v>
      </c>
      <c r="AD21" s="1">
        <f t="shared" si="6"/>
        <v>0</v>
      </c>
      <c r="AE21" s="1">
        <f t="shared" si="7"/>
        <v>0</v>
      </c>
      <c r="AF21" s="1">
        <f>IF(C21="Orlov",7.4*Stamoplysninger!$E$15,0)</f>
        <v>0</v>
      </c>
      <c r="AG21" t="str">
        <f>IF(AND(C21="Skema 1",B21="ma"),Arbejdstidsoversigt!$E$72,"")</f>
        <v/>
      </c>
      <c r="AH21" t="str">
        <f>IF(AND(C21="Skema 1",B21="ti"),Arbejdstidsoversigt!$E$73,"")</f>
        <v/>
      </c>
      <c r="AI21" t="str">
        <f>IF(AND(C21="Skema 1",B21="on"),Arbejdstidsoversigt!$E$74,"")</f>
        <v/>
      </c>
      <c r="AJ21" t="str">
        <f>IF(AND(C21="Skema 1",B21="to"),Arbejdstidsoversigt!$E$75,"")</f>
        <v/>
      </c>
      <c r="AK21" t="str">
        <f>IF(AND(C21="Skema 1",B21="fr"),Arbejdstidsoversigt!$E$76,"")</f>
        <v/>
      </c>
      <c r="AL21" t="str">
        <f>IF(AND(C21="Skema 2",B21="ma"),Arbejdstidsoversigt!$E$81,"")</f>
        <v/>
      </c>
      <c r="AM21" t="str">
        <f>IF(AND(C21="Skema 2",B21="ti"),Arbejdstidsoversigt!$E$82,"")</f>
        <v/>
      </c>
      <c r="AN21" t="str">
        <f>IF(AND(C21="Skema 2",B21="on"),Arbejdstidsoversigt!$E$83,"")</f>
        <v/>
      </c>
      <c r="AO21" t="str">
        <f>IF(AND(C21="Skema 2",B21="to"),Arbejdstidsoversigt!$E$84,"")</f>
        <v/>
      </c>
      <c r="AP21" t="str">
        <f>IF(AND(C21="Skema 2",B21="fr"),Arbejdstidsoversigt!$E$85,"")</f>
        <v/>
      </c>
      <c r="AQ21" t="str">
        <f>IF(AND(C21="Skema 3",B21="ma"),Arbejdstidsoversigt!$E$90,"")</f>
        <v/>
      </c>
      <c r="AR21" t="str">
        <f>IF(AND(C21="Skema 3",B21="ti"),Arbejdstidsoversigt!$E$91,"")</f>
        <v/>
      </c>
      <c r="AS21" t="str">
        <f>IF(AND(C21="Skema 3",B21="on"),Arbejdstidsoversigt!$E$92,"")</f>
        <v/>
      </c>
      <c r="AT21" t="str">
        <f>IF(AND(C21="Skema 3",B21="to"),Arbejdstidsoversigt!$E$93,"")</f>
        <v/>
      </c>
      <c r="AU21" t="str">
        <f>IF(AND(C21="Skema 3",B21="fr"),Arbejdstidsoversigt!$E$94,"")</f>
        <v/>
      </c>
      <c r="AV21" t="str">
        <f>IF(AND(C21="Skema 4",B21="ma"),Arbejdstidsoversigt!$E$99,"")</f>
        <v/>
      </c>
      <c r="AW21" t="str">
        <f>IF(AND(C21="Skema 4",B21="ti"),Arbejdstidsoversigt!$E$100,"")</f>
        <v/>
      </c>
      <c r="AX21" t="str">
        <f>IF(AND(C21="Skema 4",B21="on"),Arbejdstidsoversigt!$E$101,"")</f>
        <v/>
      </c>
      <c r="AY21" t="str">
        <f>IF(AND(C21="Skema 4",B21="to"),Arbejdstidsoversigt!$E$102,"")</f>
        <v/>
      </c>
      <c r="AZ21" t="str">
        <f>IF(AND(C21="Skema 4",B21="fr"),Arbejdstidsoversigt!$E$103,"")</f>
        <v/>
      </c>
      <c r="BA21" s="1">
        <f t="shared" si="23"/>
        <v>0</v>
      </c>
      <c r="BB21" s="226">
        <f t="shared" si="8"/>
        <v>0</v>
      </c>
      <c r="BC21" s="1">
        <f t="shared" si="24"/>
        <v>0</v>
      </c>
      <c r="BD21" s="1">
        <f t="shared" si="9"/>
        <v>0</v>
      </c>
      <c r="BE21" s="1">
        <f t="shared" si="10"/>
        <v>0</v>
      </c>
      <c r="BF21" s="1">
        <f t="shared" si="11"/>
        <v>0</v>
      </c>
      <c r="BG21" s="209" t="str">
        <f>IF(AND(C21="Skema 1",B21="ma"),Skemaoplysninger!$E$30,"")</f>
        <v/>
      </c>
      <c r="BH21" s="209" t="str">
        <f>IF(AND(C21="Skema 1",B21="ti"),Skemaoplysninger!$G$30,"")</f>
        <v/>
      </c>
      <c r="BI21" s="209" t="str">
        <f>IF(AND(C21="Skema 1",B21="on"),Skemaoplysninger!$I$30,"")</f>
        <v/>
      </c>
      <c r="BJ21" s="209" t="str">
        <f>IF(AND(C21="Skema 1",B21="to"),Skemaoplysninger!$K$30,"")</f>
        <v/>
      </c>
      <c r="BK21" s="209" t="str">
        <f>IF(AND(C21="Skema 1",B21="fr"),Skemaoplysninger!$M$30,"")</f>
        <v/>
      </c>
      <c r="BL21" s="209" t="str">
        <f>IF(AND(C21="Skema 2",B21="ma"),Skemaoplysninger!$S$30,"")</f>
        <v/>
      </c>
      <c r="BM21" s="209" t="str">
        <f>IF(AND(C21="Skema 2",B21="ti"),Skemaoplysninger!$U$30,"")</f>
        <v/>
      </c>
      <c r="BN21" s="209" t="str">
        <f>IF(AND(C21="Skema 2",B21="on"),Skemaoplysninger!$W$30,"")</f>
        <v/>
      </c>
      <c r="BO21" s="209" t="str">
        <f>IF(AND(C21="Skema 2",B21="to"),Skemaoplysninger!$Y$30,"")</f>
        <v/>
      </c>
      <c r="BP21" s="209" t="str">
        <f>IF(AND(C21="Skema 2",B21="fr"),Skemaoplysninger!$AA$30,"")</f>
        <v/>
      </c>
      <c r="BQ21" s="209" t="str">
        <f>IF(AND(C21="Skema 3",B21="ma"),Skemaoplysninger!$AG$30,"")</f>
        <v/>
      </c>
      <c r="BR21" s="209" t="str">
        <f>IF(AND(C21="Skema 3",B21="ti"),Skemaoplysninger!$AI$30,"")</f>
        <v/>
      </c>
      <c r="BS21" s="209" t="str">
        <f>IF(AND(C21="Skema 3",B21="on"),Skemaoplysninger!$AK$30,"")</f>
        <v/>
      </c>
      <c r="BT21" s="209" t="str">
        <f>IF(AND(C21="Skema 3",B21="to"),Skemaoplysninger!$AM$30,"")</f>
        <v/>
      </c>
      <c r="BU21" s="209" t="str">
        <f>IF(AND(C21="Skema 3",B21="fr"),Skemaoplysninger!$AO$30,"")</f>
        <v/>
      </c>
      <c r="BV21" s="209" t="str">
        <f>IF(AND(C21="Skema 4",B21="ma"),Skemaoplysninger!$AU$30,"")</f>
        <v/>
      </c>
      <c r="BW21" s="209" t="str">
        <f>IF(AND(C21="Skema 4",B21="ti"),Skemaoplysninger!$AW$30,"")</f>
        <v/>
      </c>
      <c r="BX21" s="209" t="str">
        <f>IF(AND(C21="Skema 4",B21="on"),Skemaoplysninger!$AY$30,"")</f>
        <v/>
      </c>
      <c r="BY21" s="209" t="str">
        <f>IF(AND(C21="Skema 4",B21="to"),Skemaoplysninger!$BA$30,"")</f>
        <v/>
      </c>
      <c r="BZ21" s="209" t="str">
        <f>IF(AND(C21="Skema 4",B21="fr"),Skemaoplysninger!$BC$30,"")</f>
        <v/>
      </c>
      <c r="CA21" s="1">
        <f t="shared" si="25"/>
        <v>0</v>
      </c>
      <c r="CB21" s="1">
        <f t="shared" si="12"/>
        <v>0</v>
      </c>
      <c r="CC21" s="1">
        <f t="shared" si="13"/>
        <v>0</v>
      </c>
      <c r="CD21" s="209" t="str">
        <f>IF(AND(C21="Skema 1",B21="ma"),Skemaoplysninger!$E$31,"")</f>
        <v/>
      </c>
      <c r="CE21" s="209" t="str">
        <f>IF(AND(C21="Skema 1",B21="ti"),Skemaoplysninger!$G$31,"")</f>
        <v/>
      </c>
      <c r="CF21" s="209" t="str">
        <f>IF(AND(C21="Skema 1",B21="on"),Skemaoplysninger!$I$31,"")</f>
        <v/>
      </c>
      <c r="CG21" s="209" t="str">
        <f>IF(AND(C21="Skema 1",B21="to"),Skemaoplysninger!$K$31,"")</f>
        <v/>
      </c>
      <c r="CH21" s="209" t="str">
        <f>IF(AND(C21="Skema 1",B21="fr"),Skemaoplysninger!$M$31,"")</f>
        <v/>
      </c>
      <c r="CI21" s="209" t="str">
        <f>IF(AND(C21="Skema 2",B21="ma"),Skemaoplysninger!$S$31,"")</f>
        <v/>
      </c>
      <c r="CJ21" s="209" t="str">
        <f>IF(AND(C21="Skema 2",B21="ti"),Skemaoplysninger!$U$31,"")</f>
        <v/>
      </c>
      <c r="CK21" s="209" t="str">
        <f>IF(AND(C21="Skema 2",B21="on"),Skemaoplysninger!$W$31,"")</f>
        <v/>
      </c>
      <c r="CL21" s="209" t="str">
        <f>IF(AND(C21="Skema 2",B21="to"),Skemaoplysninger!$Y$31,"")</f>
        <v/>
      </c>
      <c r="CM21" s="209" t="str">
        <f>IF(AND(C21="Skema 2",B21="fr"),Skemaoplysninger!$AA$31,"")</f>
        <v/>
      </c>
      <c r="CN21" s="209" t="str">
        <f>IF(AND(C21="Skema 3",B21="ma"),Skemaoplysninger!$AG$31,"")</f>
        <v/>
      </c>
      <c r="CO21" s="209" t="str">
        <f>IF(AND(C21="Skema 3",B21="ti"),Skemaoplysninger!$AI$31,"")</f>
        <v/>
      </c>
      <c r="CP21" s="209" t="str">
        <f>IF(AND(C21="Skema 3",B21="on"),Skemaoplysninger!$AK$31,"")</f>
        <v/>
      </c>
      <c r="CQ21" s="209" t="str">
        <f>IF(AND(C21="Skema 3",B21="to"),Skemaoplysninger!$AM$31,"")</f>
        <v/>
      </c>
      <c r="CR21" s="209" t="str">
        <f>IF(AND(C21="Skema 3",B21="fr"),Skemaoplysninger!$AO$31,"")</f>
        <v/>
      </c>
      <c r="CS21" s="209" t="str">
        <f>IF(AND(C21="Skema 4",B21="ma"),Skemaoplysninger!$AU$31,"")</f>
        <v/>
      </c>
      <c r="CT21" s="209" t="str">
        <f>IF(AND(C21="Skema 4",B21="ti"),Skemaoplysninger!$AW$31,"")</f>
        <v/>
      </c>
      <c r="CU21" s="209" t="str">
        <f>IF(AND(C21="Skema 4",B21="on"),Skemaoplysninger!$AY$31,"")</f>
        <v/>
      </c>
      <c r="CV21" s="209" t="str">
        <f>IF(AND(C21="Skema 4",B21="to"),Skemaoplysninger!$BA$31,"")</f>
        <v/>
      </c>
      <c r="CW21" s="209" t="str">
        <f>IF(AND(C21="Skema 4",B21="fr"),Skemaoplysninger!$BC$31,"")</f>
        <v/>
      </c>
      <c r="CX21" s="245">
        <f>IF(Stamoplysninger!$H$29="NEJ",SUM(CD21:CW21)*24+CB21+CC21,0)</f>
        <v>0</v>
      </c>
      <c r="CY21" s="245">
        <f>IF(C21="Skema 1",Stamoplysninger!$H$30/200,0)</f>
        <v>0</v>
      </c>
      <c r="CZ21" s="245">
        <f>IF(C21="Skema 2",Stamoplysninger!$H$30/200,0)</f>
        <v>0</v>
      </c>
      <c r="DA21" s="245">
        <f>IF(C21="Skema 3",Stamoplysninger!$H$30/200,0)</f>
        <v>0</v>
      </c>
      <c r="DB21" s="245">
        <f>IF(C21="Skema 4",Stamoplysninger!$H$30/200,0)</f>
        <v>0</v>
      </c>
      <c r="DC21" s="245">
        <f>IF(C21="fagdag",Stamoplysninger!$H$30/200,0)</f>
        <v>0</v>
      </c>
      <c r="DD21" s="245">
        <f>IF(C21="emnedag",Stamoplysninger!$H$30/200,0)</f>
        <v>0</v>
      </c>
      <c r="DE21" s="245">
        <f>IF(C21="lejrskole",Stamoplysninger!$H$30/200,0)</f>
        <v>0</v>
      </c>
      <c r="DF21" s="245">
        <f>IF(C21="ekskursion",Stamoplysninger!$H$30/200,0)</f>
        <v>0</v>
      </c>
      <c r="DG21" s="245">
        <f t="shared" si="26"/>
        <v>0</v>
      </c>
      <c r="DH21" t="str">
        <f t="shared" si="27"/>
        <v/>
      </c>
      <c r="DI21">
        <f t="shared" si="28"/>
        <v>0</v>
      </c>
      <c r="DJ21">
        <f t="shared" si="29"/>
        <v>0</v>
      </c>
      <c r="DK21" t="str">
        <f t="shared" si="14"/>
        <v/>
      </c>
      <c r="DL21" t="str">
        <f t="shared" si="14"/>
        <v/>
      </c>
      <c r="DM21" t="str">
        <f t="shared" si="14"/>
        <v/>
      </c>
      <c r="DN21" t="str">
        <f t="shared" si="30"/>
        <v/>
      </c>
      <c r="DO21" s="643">
        <f>IF(AND(Stamoplysninger!$B$22="Ulempetillæg udbetales med 25% af nettotimelønnen.",H21&gt;0),(R21/4),0)</f>
        <v>0</v>
      </c>
      <c r="DP21">
        <f>IF(AND(Stamoplysninger!$B$22="Ulempetillæg udbetales med 25% af nettotimelønnen.",I21="X"),K21/4,0)</f>
        <v>0</v>
      </c>
      <c r="DQ21">
        <f>IF(AND(Stamoplysninger!$B$22="Ulempetillæg udbetales med 25% af nettotimelønnen.",U21="X"),(X21/4),0)</f>
        <v>0</v>
      </c>
      <c r="DR21">
        <f>IF(AND(AND(Stamoplysninger!$B$22="Ulempetillæg udbetales med 25% af nettotimelønnen.",S21="X",I21="X")),V21/4,0)</f>
        <v>0</v>
      </c>
      <c r="DS21" s="662">
        <f>IF(AND(Stamoplysninger!$B$22="Ulempetillæg udbetales med 25% af nettotimelønnen.",C21="ikke relevant"),(R21)/4,0)</f>
        <v>0</v>
      </c>
      <c r="DT21" s="662">
        <f>IF(AND(AND(Stamoplysninger!$B$22="Ulempetillæg udbetales med 25% af nettotimelønnen.",I21="X",C21="Ikke relevant")),K21/4,0)</f>
        <v>0</v>
      </c>
      <c r="DU21" s="662">
        <f>IF(AND(AND(Stamoplysninger!$B$22="Ulempetillæg udbetales med 25% af nettotimelønnen.",C21="ikke relevant",U21="X")),(X21/4),0)</f>
        <v>0</v>
      </c>
      <c r="DV21" s="663">
        <f>IF(AND(AND(AND(Stamoplysninger!$B$22="Ulempetillæg udbetales med 25% af nettotimelønnen.",I21="X",C21="Ikke relevant",S21="X"))),V21/4,0)</f>
        <v>0</v>
      </c>
      <c r="DW21" s="643"/>
      <c r="DZ21" s="662"/>
      <c r="EA21" s="662"/>
      <c r="EB21" s="663"/>
      <c r="EC21" s="643">
        <f>IF(AND(Stamoplysninger!$B$22="Ulempetillæg afspadseres med 25%(Kræver en aftale imellem ledelsen og den ansatte)",H21&gt;0),R21/4,0)</f>
        <v>0</v>
      </c>
      <c r="ED21">
        <f>IF(AND(Stamoplysninger!$B$22="Ulempetillæg afspadseres med 25%(Kræver en aftale imellem ledelsen og den ansatte)",I21="X"),K21/4,0)</f>
        <v>0</v>
      </c>
      <c r="EE21">
        <f>IF(AND(Stamoplysninger!$B$22="Ulempetillæg afspadseres med 25%(Kræver en aftale imellem ledelsen og den ansatte)",U21="X"),X21/4,0)</f>
        <v>0</v>
      </c>
      <c r="EF21">
        <f>IF(AND(AND(Stamoplysninger!$B$22="Ulempetillæg afspadseres med 25%(Kræver en aftale imellem ledelsen og den ansatte)",I21="X",S21="X")),V21/4,0)</f>
        <v>0</v>
      </c>
      <c r="EG21" s="662">
        <f>IF(AND(Stamoplysninger!$B$22="Ulempetillæg afspadseres med 25%(Kræver en aftale imellem ledelsen og den ansatte)",C21="ikke relevant"),(R21)/4,0)</f>
        <v>0</v>
      </c>
      <c r="EH21" s="662">
        <f>IF(AND(AND(Stamoplysninger!$B$22="Ulempetillæg afspadseres med 25%(Kræver en aftale imellem ledelsen og den ansatte)",I21="X",C21="Ikke relevant")),K21/4,0)</f>
        <v>0</v>
      </c>
      <c r="EI21" s="662">
        <f>IF(AND(AND(Stamoplysninger!$B$22="Ulempetillæg afspadseres med 25%(Kræver en aftale imellem ledelsen og den ansatte)",U21="X",C21="Ikke relevant")),X21/4,0)</f>
        <v>0</v>
      </c>
      <c r="EJ21" s="662">
        <f>IF(AND(AND(AND(Stamoplysninger!$B$22="Ulempetillæg afspadseres med 25%(Kræver en aftale imellem ledelsen og den ansatte)",I21="X",C21="Ikke relevant",S21="X"))),V21/4,0)</f>
        <v>0</v>
      </c>
      <c r="EK21" s="279">
        <f>IF(AND(Stamoplysninger!$B$26="Weekendtimer og weekendtillæg afspadseres.",I21="X"),K21*1.5,0)</f>
        <v>0</v>
      </c>
      <c r="EL21" s="247">
        <f>IF(AND(AND(Stamoplysninger!$B$26="Weekendtimer og weekendtillæg afspadseres.",I21="X",S21="X")),V21*1.5,0)</f>
        <v>0</v>
      </c>
      <c r="EM21" s="665">
        <f>IF(AND(AND(Stamoplysninger!$B$26="Weekendtimer og weekendtillæg afspadseres.",I21="X",C21="ikke relevant")),K21*1.5,0)</f>
        <v>0</v>
      </c>
      <c r="EN21" s="666">
        <f>IF(AND(AND(AND(Stamoplysninger!$B$26="Weekendtimer og weekendtillæg afspadseres.",I21="X",C21="ikke relevant",S21="X"))),(V21*1.5),0)</f>
        <v>0</v>
      </c>
      <c r="EO21" s="279">
        <f>IF(AND(Stamoplysninger!$B$26="Weekendtimer og weekendtillæg udbetales.",I21="X"),K21*1.5,0)</f>
        <v>0</v>
      </c>
      <c r="EP21" s="247">
        <f>IF(AND(AND(Stamoplysninger!$B$26="Weekendtimer og weekendtillæg udbetales.",I21="X",S21="X")),V21*1.5,0)</f>
        <v>0</v>
      </c>
      <c r="EQ21" s="665">
        <f>IF(AND(AND(Stamoplysninger!$B$26="Weekendtimer og weekendtillæg udbetales.",I21="X",C21="ikke relevant")),K21*1.5,0)</f>
        <v>0</v>
      </c>
      <c r="ER21" s="666">
        <f>IF(AND(AND(AND(Stamoplysninger!$B$26="Weekendtimer og weekendtillæg udbetales.",I21="X",C21="ikke relevant",S21="X"))),(V21*1.5),0)</f>
        <v>0</v>
      </c>
      <c r="ES21" s="279">
        <f>IF(AND(Stamoplysninger!$B$26="Der er indgået lokalaftale omkring weekendtimer.(Kræver aftale med TR/FSL) Weekendtillæg afspadseres.",I21="X"),K21*0.5,0)</f>
        <v>0</v>
      </c>
      <c r="ET21" s="247">
        <f>IF(AND(AND(Stamoplysninger!$B$26="Der er indgået lokalaftale omkring weekendtimer.(Kræver aftale med TR/FSL) Weekendtillæg afspadseres.",I21="X",S21="X")),V21*0.5,0)</f>
        <v>0</v>
      </c>
      <c r="EU21" s="665">
        <f>IF(AND(AND(Stamoplysninger!$B$26="Der er indgået lokalaftale omkring weekendtimer.(Kræver aftale med TR/FSL) Weekendtillæg afspadseres.",I21="X",C21="ikke relevant")),K21*0.5,0)</f>
        <v>0</v>
      </c>
      <c r="EV21" s="666">
        <f>IF(AND(AND(AND(Stamoplysninger!$B$26="Der er indgået lokalaftale omkring weekendtimer.(Kræver aftale med TR/FSL) Weekendtillæg afspadseres.",I21="X",C21="ikke relevant",S21="X"))),(V21*0.5),0)</f>
        <v>0</v>
      </c>
      <c r="EW21" s="279">
        <f>IF(AND(Stamoplysninger!$B$26="Der er indgået lokalaftale omkring weekendtimer(Kræver aftale med TR/FSL). Weekendtillæg udbetales.",I21="X"),K21*0.5,0)</f>
        <v>0</v>
      </c>
      <c r="EX21" s="247">
        <f>IF(AND(AND(Stamoplysninger!$B$26="Der er indgået lokalaftale omkring weekendtimer(Kræver aftale med TR/FSL). Weekendtillæg udbetales.",I21="X",S21="X")),V21*0.5,0)</f>
        <v>0</v>
      </c>
      <c r="EY21" s="665">
        <f>IF(AND(AND(Stamoplysninger!$B$26="Der er indgået lokalaftale omkring weekendtimer(Kræver aftale med TR/FSL). Weekendtillæg udbetales.",I21="X",C21="ikke relevant")),K21*0.5,0)</f>
        <v>0</v>
      </c>
      <c r="EZ21" s="666">
        <f>IF(AND(AND(AND(Stamoplysninger!$B$26="Der er indgået lokalaftale omkring weekendtimer(Kræver aftale med TR/FSL). Weekendtillæg udbetales.",I21="X",C21="ikke relevant",S21="X"))),(V21*0.5),0)</f>
        <v>0</v>
      </c>
      <c r="FA21" s="279">
        <f>IF(AND(Stamoplysninger!$B$26="Der er indgået lokalaftale omkring weekendtillæg(Kræver aftale med TR/FSL). Weekendtimerne afspadseres.",I21="X"),K21,0)</f>
        <v>0</v>
      </c>
      <c r="FB21" s="247">
        <f>IF(AND(AND(Stamoplysninger!$B$26="Der er indgået lokalaftale omkring weekendtillæg(Kræver aftale med TR/FSL). Weekendtimerne afspadseres.",I21="X",S21="X")),V21,0)</f>
        <v>0</v>
      </c>
      <c r="FC21" s="665">
        <f>IF(AND(AND(Stamoplysninger!$B$26="Der er indgået lokalaftale omkring weekendtillæg(Kræver aftale med TR/FSL). Weekendtimerne afspadseres..",I21="X",C21="ikke relevant")),K21,0)</f>
        <v>0</v>
      </c>
      <c r="FD21" s="666">
        <f>IF(AND(AND(AND(Stamoplysninger!$B$26="Der er indgået lokalaftale omkring weekendtillæg(Kræver aftale med TR/FSL). Weekendtimerne afspadseres.",I21="X",C21="ikke relevant",S21="X"))),(V21),0)</f>
        <v>0</v>
      </c>
      <c r="FE21" s="279">
        <f>IF(AND(Stamoplysninger!$B$26="Der er indgået lokalaftale omkring weekendtillæg(Kræver aftale med TR/FSL). Weekendtimerne udbetales.",I21="X"),K21,0)</f>
        <v>0</v>
      </c>
      <c r="FF21" s="247">
        <f>IF(AND(AND(Stamoplysninger!$B$26="Der er indgået lokalaftale omkring weekendtillæg(Kræver aftale med TR/FSL). Weekendtimerne udbetales.",I21="X",S21="X")),V21,0)</f>
        <v>0</v>
      </c>
      <c r="FG21" s="665">
        <f>IF(AND(AND(Stamoplysninger!$B$26="Der er indgået lokalaftale omkring weekendtillæg(Kræver aftale med TR/FSL). Weekendtimerne udbetales.",I21="X",C21="ikke relevant")),K21,0)</f>
        <v>0</v>
      </c>
      <c r="FH21" s="666">
        <f>IF(AND(AND(AND(Stamoplysninger!$B$26="Der er indgået lokalaftale omkring weekendtillæg(Kræver aftale med TR/FSL). Weekendtimerne udbetales.",I21="X",C21="ikke relevant",S21="X"))),(V21),0)</f>
        <v>0</v>
      </c>
      <c r="FI21" s="279">
        <f>IF(AND(Stamoplysninger!$B$26="Weekendtimer og weekendtillæg afspadseres.",I21="X"),K21,0)</f>
        <v>0</v>
      </c>
      <c r="FJ21" s="247">
        <f>IF(AND(Stamoplysninger!$B$26="Weekendtimer og weekendtillæg afspadseres.",Y21="X"),(AA21+AL21)/2,0)</f>
        <v>0</v>
      </c>
      <c r="FK21" s="665">
        <f>IF(AND(AND(Stamoplysninger!$B$26="Weekendtimer og weekendtillæg afspadseres.",I21="X",C21="ikke relevant")),K21,0)</f>
        <v>0</v>
      </c>
      <c r="FL21" s="666">
        <f>IF(AND(AND(Stamoplysninger!$B$26="Weekendtimer og weekendtillæg afspadseres.",Y21="X",S21="ikke relevant")),(AA21+AL21)/2,0)</f>
        <v>0</v>
      </c>
      <c r="FM21" s="279">
        <f>IF(AND(Stamoplysninger!$B$26="Der er indgået lokalaftale omkring weekendtillæg(Kræver aftale med TR/FSL). Weekendtimerne afspadseres.",I21="X"),K21,0)</f>
        <v>0</v>
      </c>
      <c r="FN21" s="665">
        <f>IF(AND(AND(Stamoplysninger!$B$26="Der er indgået lokalaftale omkring weekendtillæg(Kræver aftale med TR/FSL). Weekendtimerne afspadseres.",I21="X",C21="ikke relevant")),K21,0)</f>
        <v>0</v>
      </c>
      <c r="FO21" s="279">
        <f>IF(AND(Stamoplysninger!$B$26="Weekendtimer og weekendtillæg udbetales.",I21="X"),K21,0)</f>
        <v>0</v>
      </c>
      <c r="FP21" s="247">
        <f>IF(AND(Stamoplysninger!$B$26="Weekendtimer og weekendtillæg udbetales.",AA21="X"),(AC21+AN21)/2,0)</f>
        <v>0</v>
      </c>
      <c r="FQ21" s="665">
        <f>IF(AND(AND(Stamoplysninger!$B$26="Weekendtimer og weekendtillæg udbetales.",I21="X",C21="ikke relevant")),K21,0)</f>
        <v>0</v>
      </c>
      <c r="FR21" s="679">
        <f>IF(AND(AND(Stamoplysninger!$B$26="Weekendtimer og weekendtillæg udbetales.",AA21="X",U21="ikke relevant")),(AC21+AN21)/2,0)</f>
        <v>0</v>
      </c>
      <c r="FS21" s="279">
        <f t="shared" si="15"/>
        <v>0</v>
      </c>
      <c r="FT21" s="649">
        <f t="shared" si="16"/>
        <v>0</v>
      </c>
      <c r="FU21">
        <f t="shared" si="17"/>
        <v>0</v>
      </c>
      <c r="FV21" s="279">
        <f>IF(AND(Stamoplysninger!$B$26="Der er indgået lokalaftale omkring weekendtimer.(Kræver aftale med TR/FSL) Weekendtillæg afspadseres.",I21="X"),K21,0)</f>
        <v>0</v>
      </c>
      <c r="FW21" s="665">
        <f>IF(AND(AND(Stamoplysninger!$B$26="Der er indgået lokalaftale omkring weekendtimer.(Kræver aftale med TR/FSL) Weekendtillæg afspadseres.",I21="X",C21="ikke relevant")),K21,0)</f>
        <v>0</v>
      </c>
      <c r="FX21" s="279">
        <f>IF(AND(Stamoplysninger!$B$26="Der er indgået lokalaftale omkring weekendtimer(Kræver aftale med TR/FSL). Weekendtillæg udbetales.",I21="X"),K21,0)</f>
        <v>0</v>
      </c>
      <c r="FY21" s="665">
        <f>IF(AND(AND(Stamoplysninger!$B$26="Der er indgået lokalaftale omkring weekendtimer(Kræver aftale med TR/FSL). Weekendtillæg udbetales.",I21="X",C21="ikke relevant")),K21,0)</f>
        <v>0</v>
      </c>
      <c r="FZ21" s="279">
        <f>IF(AND(Stamoplysninger!$B$26="Der er indgået lokalaftale omkring weekendtillæg(Kræver aftale med TR/FSL). Weekendtimerne udbetales.",I21="X"),K21,0)</f>
        <v>0</v>
      </c>
      <c r="GA21" s="665">
        <f>IF(AND(AND(Stamoplysninger!$B$26="Der er indgået lokalaftale omkring weekendtillæg(Kræver aftale med TR/FSL). Weekendtimerne udbetales.",I21="X",C21="ikke relevant")),K21,0)</f>
        <v>0</v>
      </c>
      <c r="GB21" s="279">
        <f>IF(AND(Stamoplysninger!$B$26="Der er indgået lokalaftale omkring weekendtimer og weekendtillæg.(Kræver aftale med TR/FSL).",I21="X"),K21,0)</f>
        <v>0</v>
      </c>
      <c r="GC21" s="665">
        <f>IF(AND(AND(Stamoplysninger!$B$26="Der er indgået lokalaftale omkring weekendtimer og weekendtillæg.(Kræver aftale med TR/FSL).",I21="X",C21="ikke relevant")),K21,0)</f>
        <v>0</v>
      </c>
    </row>
    <row r="22" spans="1:185">
      <c r="A22" s="241">
        <f t="shared" si="18"/>
        <v>14</v>
      </c>
      <c r="B22" s="127" t="str">
        <f t="shared" si="0"/>
        <v>ma</v>
      </c>
      <c r="C22" s="128" t="s">
        <v>210</v>
      </c>
      <c r="D22" s="129">
        <f t="shared" si="1"/>
        <v>42</v>
      </c>
      <c r="E22" s="964" t="s">
        <v>140</v>
      </c>
      <c r="F22" s="965"/>
      <c r="G22" s="966"/>
      <c r="H22" s="293"/>
      <c r="I22" s="519"/>
      <c r="J22" s="407"/>
      <c r="K22" s="374"/>
      <c r="L22" s="374"/>
      <c r="M22" s="374"/>
      <c r="N22" s="313">
        <f t="shared" si="19"/>
        <v>0</v>
      </c>
      <c r="O22" s="313">
        <f t="shared" si="20"/>
        <v>0</v>
      </c>
      <c r="P22" s="313">
        <f>IF(Stamoplysninger!$H$29="JA",Oktober!DG22,CX22)</f>
        <v>0</v>
      </c>
      <c r="Q22" s="313">
        <f t="shared" si="21"/>
        <v>0</v>
      </c>
      <c r="R22" s="314"/>
      <c r="S22" s="319"/>
      <c r="T22" s="320"/>
      <c r="U22" s="320"/>
      <c r="V22" s="429"/>
      <c r="W22" s="406"/>
      <c r="X22" s="633"/>
      <c r="Y22">
        <f t="shared" si="22"/>
        <v>0</v>
      </c>
      <c r="Z22">
        <f t="shared" si="2"/>
        <v>0</v>
      </c>
      <c r="AA22" s="1">
        <f t="shared" si="3"/>
        <v>0</v>
      </c>
      <c r="AB22" s="1">
        <f t="shared" si="4"/>
        <v>0</v>
      </c>
      <c r="AC22" s="1">
        <f t="shared" si="5"/>
        <v>0</v>
      </c>
      <c r="AD22" s="1">
        <f t="shared" si="6"/>
        <v>0</v>
      </c>
      <c r="AE22" s="1">
        <f t="shared" si="7"/>
        <v>0</v>
      </c>
      <c r="AF22" s="1">
        <f>IF(C22="Orlov",7.4*Stamoplysninger!$E$15,0)</f>
        <v>0</v>
      </c>
      <c r="AG22" t="str">
        <f>IF(AND(C22="Skema 1",B22="ma"),Arbejdstidsoversigt!$E$72,"")</f>
        <v/>
      </c>
      <c r="AH22" t="str">
        <f>IF(AND(C22="Skema 1",B22="ti"),Arbejdstidsoversigt!$E$73,"")</f>
        <v/>
      </c>
      <c r="AI22" t="str">
        <f>IF(AND(C22="Skema 1",B22="on"),Arbejdstidsoversigt!$E$74,"")</f>
        <v/>
      </c>
      <c r="AJ22" t="str">
        <f>IF(AND(C22="Skema 1",B22="to"),Arbejdstidsoversigt!$E$75,"")</f>
        <v/>
      </c>
      <c r="AK22" t="str">
        <f>IF(AND(C22="Skema 1",B22="fr"),Arbejdstidsoversigt!$E$76,"")</f>
        <v/>
      </c>
      <c r="AL22" t="str">
        <f>IF(AND(C22="Skema 2",B22="ma"),Arbejdstidsoversigt!$E$81,"")</f>
        <v/>
      </c>
      <c r="AM22" t="str">
        <f>IF(AND(C22="Skema 2",B22="ti"),Arbejdstidsoversigt!$E$82,"")</f>
        <v/>
      </c>
      <c r="AN22" t="str">
        <f>IF(AND(C22="Skema 2",B22="on"),Arbejdstidsoversigt!$E$83,"")</f>
        <v/>
      </c>
      <c r="AO22" t="str">
        <f>IF(AND(C22="Skema 2",B22="to"),Arbejdstidsoversigt!$E$84,"")</f>
        <v/>
      </c>
      <c r="AP22" t="str">
        <f>IF(AND(C22="Skema 2",B22="fr"),Arbejdstidsoversigt!$E$85,"")</f>
        <v/>
      </c>
      <c r="AQ22" t="str">
        <f>IF(AND(C22="Skema 3",B22="ma"),Arbejdstidsoversigt!$E$90,"")</f>
        <v/>
      </c>
      <c r="AR22" t="str">
        <f>IF(AND(C22="Skema 3",B22="ti"),Arbejdstidsoversigt!$E$91,"")</f>
        <v/>
      </c>
      <c r="AS22" t="str">
        <f>IF(AND(C22="Skema 3",B22="on"),Arbejdstidsoversigt!$E$92,"")</f>
        <v/>
      </c>
      <c r="AT22" t="str">
        <f>IF(AND(C22="Skema 3",B22="to"),Arbejdstidsoversigt!$E$93,"")</f>
        <v/>
      </c>
      <c r="AU22" t="str">
        <f>IF(AND(C22="Skema 3",B22="fr"),Arbejdstidsoversigt!$E$94,"")</f>
        <v/>
      </c>
      <c r="AV22" t="str">
        <f>IF(AND(C22="Skema 4",B22="ma"),Arbejdstidsoversigt!$E$99,"")</f>
        <v/>
      </c>
      <c r="AW22" t="str">
        <f>IF(AND(C22="Skema 4",B22="ti"),Arbejdstidsoversigt!$E$100,"")</f>
        <v/>
      </c>
      <c r="AX22" t="str">
        <f>IF(AND(C22="Skema 4",B22="on"),Arbejdstidsoversigt!$E$101,"")</f>
        <v/>
      </c>
      <c r="AY22" t="str">
        <f>IF(AND(C22="Skema 4",B22="to"),Arbejdstidsoversigt!$E$102,"")</f>
        <v/>
      </c>
      <c r="AZ22" t="str">
        <f>IF(AND(C22="Skema 4",B22="fr"),Arbejdstidsoversigt!$E$103,"")</f>
        <v/>
      </c>
      <c r="BA22" s="1">
        <f t="shared" si="23"/>
        <v>0</v>
      </c>
      <c r="BB22" s="226">
        <f t="shared" si="8"/>
        <v>0</v>
      </c>
      <c r="BC22" s="1">
        <f t="shared" si="24"/>
        <v>0</v>
      </c>
      <c r="BD22" s="1">
        <f t="shared" si="9"/>
        <v>0</v>
      </c>
      <c r="BE22" s="1">
        <f t="shared" si="10"/>
        <v>0</v>
      </c>
      <c r="BF22" s="1">
        <f t="shared" si="11"/>
        <v>0</v>
      </c>
      <c r="BG22" s="209" t="str">
        <f>IF(AND(C22="Skema 1",B22="ma"),Skemaoplysninger!$E$30,"")</f>
        <v/>
      </c>
      <c r="BH22" s="209" t="str">
        <f>IF(AND(C22="Skema 1",B22="ti"),Skemaoplysninger!$G$30,"")</f>
        <v/>
      </c>
      <c r="BI22" s="209" t="str">
        <f>IF(AND(C22="Skema 1",B22="on"),Skemaoplysninger!$I$30,"")</f>
        <v/>
      </c>
      <c r="BJ22" s="209" t="str">
        <f>IF(AND(C22="Skema 1",B22="to"),Skemaoplysninger!$K$30,"")</f>
        <v/>
      </c>
      <c r="BK22" s="209" t="str">
        <f>IF(AND(C22="Skema 1",B22="fr"),Skemaoplysninger!$M$30,"")</f>
        <v/>
      </c>
      <c r="BL22" s="209" t="str">
        <f>IF(AND(C22="Skema 2",B22="ma"),Skemaoplysninger!$S$30,"")</f>
        <v/>
      </c>
      <c r="BM22" s="209" t="str">
        <f>IF(AND(C22="Skema 2",B22="ti"),Skemaoplysninger!$U$30,"")</f>
        <v/>
      </c>
      <c r="BN22" s="209" t="str">
        <f>IF(AND(C22="Skema 2",B22="on"),Skemaoplysninger!$W$30,"")</f>
        <v/>
      </c>
      <c r="BO22" s="209" t="str">
        <f>IF(AND(C22="Skema 2",B22="to"),Skemaoplysninger!$Y$30,"")</f>
        <v/>
      </c>
      <c r="BP22" s="209" t="str">
        <f>IF(AND(C22="Skema 2",B22="fr"),Skemaoplysninger!$AA$30,"")</f>
        <v/>
      </c>
      <c r="BQ22" s="209" t="str">
        <f>IF(AND(C22="Skema 3",B22="ma"),Skemaoplysninger!$AG$30,"")</f>
        <v/>
      </c>
      <c r="BR22" s="209" t="str">
        <f>IF(AND(C22="Skema 3",B22="ti"),Skemaoplysninger!$AI$30,"")</f>
        <v/>
      </c>
      <c r="BS22" s="209" t="str">
        <f>IF(AND(C22="Skema 3",B22="on"),Skemaoplysninger!$AK$30,"")</f>
        <v/>
      </c>
      <c r="BT22" s="209" t="str">
        <f>IF(AND(C22="Skema 3",B22="to"),Skemaoplysninger!$AM$30,"")</f>
        <v/>
      </c>
      <c r="BU22" s="209" t="str">
        <f>IF(AND(C22="Skema 3",B22="fr"),Skemaoplysninger!$AO$30,"")</f>
        <v/>
      </c>
      <c r="BV22" s="209" t="str">
        <f>IF(AND(C22="Skema 4",B22="ma"),Skemaoplysninger!$AU$30,"")</f>
        <v/>
      </c>
      <c r="BW22" s="209" t="str">
        <f>IF(AND(C22="Skema 4",B22="ti"),Skemaoplysninger!$AW$30,"")</f>
        <v/>
      </c>
      <c r="BX22" s="209" t="str">
        <f>IF(AND(C22="Skema 4",B22="on"),Skemaoplysninger!$AY$30,"")</f>
        <v/>
      </c>
      <c r="BY22" s="209" t="str">
        <f>IF(AND(C22="Skema 4",B22="to"),Skemaoplysninger!$BA$30,"")</f>
        <v/>
      </c>
      <c r="BZ22" s="209" t="str">
        <f>IF(AND(C22="Skema 4",B22="fr"),Skemaoplysninger!$BC$30,"")</f>
        <v/>
      </c>
      <c r="CA22" s="1">
        <f t="shared" si="25"/>
        <v>0</v>
      </c>
      <c r="CB22" s="1">
        <f t="shared" si="12"/>
        <v>0</v>
      </c>
      <c r="CC22" s="1">
        <f t="shared" si="13"/>
        <v>0</v>
      </c>
      <c r="CD22" s="209" t="str">
        <f>IF(AND(C22="Skema 1",B22="ma"),Skemaoplysninger!$E$31,"")</f>
        <v/>
      </c>
      <c r="CE22" s="209" t="str">
        <f>IF(AND(C22="Skema 1",B22="ti"),Skemaoplysninger!$G$31,"")</f>
        <v/>
      </c>
      <c r="CF22" s="209" t="str">
        <f>IF(AND(C22="Skema 1",B22="on"),Skemaoplysninger!$I$31,"")</f>
        <v/>
      </c>
      <c r="CG22" s="209" t="str">
        <f>IF(AND(C22="Skema 1",B22="to"),Skemaoplysninger!$K$31,"")</f>
        <v/>
      </c>
      <c r="CH22" s="209" t="str">
        <f>IF(AND(C22="Skema 1",B22="fr"),Skemaoplysninger!$M$31,"")</f>
        <v/>
      </c>
      <c r="CI22" s="209" t="str">
        <f>IF(AND(C22="Skema 2",B22="ma"),Skemaoplysninger!$S$31,"")</f>
        <v/>
      </c>
      <c r="CJ22" s="209" t="str">
        <f>IF(AND(C22="Skema 2",B22="ti"),Skemaoplysninger!$U$31,"")</f>
        <v/>
      </c>
      <c r="CK22" s="209" t="str">
        <f>IF(AND(C22="Skema 2",B22="on"),Skemaoplysninger!$W$31,"")</f>
        <v/>
      </c>
      <c r="CL22" s="209" t="str">
        <f>IF(AND(C22="Skema 2",B22="to"),Skemaoplysninger!$Y$31,"")</f>
        <v/>
      </c>
      <c r="CM22" s="209" t="str">
        <f>IF(AND(C22="Skema 2",B22="fr"),Skemaoplysninger!$AA$31,"")</f>
        <v/>
      </c>
      <c r="CN22" s="209" t="str">
        <f>IF(AND(C22="Skema 3",B22="ma"),Skemaoplysninger!$AG$31,"")</f>
        <v/>
      </c>
      <c r="CO22" s="209" t="str">
        <f>IF(AND(C22="Skema 3",B22="ti"),Skemaoplysninger!$AI$31,"")</f>
        <v/>
      </c>
      <c r="CP22" s="209" t="str">
        <f>IF(AND(C22="Skema 3",B22="on"),Skemaoplysninger!$AK$31,"")</f>
        <v/>
      </c>
      <c r="CQ22" s="209" t="str">
        <f>IF(AND(C22="Skema 3",B22="to"),Skemaoplysninger!$AM$31,"")</f>
        <v/>
      </c>
      <c r="CR22" s="209" t="str">
        <f>IF(AND(C22="Skema 3",B22="fr"),Skemaoplysninger!$AO$31,"")</f>
        <v/>
      </c>
      <c r="CS22" s="209" t="str">
        <f>IF(AND(C22="Skema 4",B22="ma"),Skemaoplysninger!$AU$31,"")</f>
        <v/>
      </c>
      <c r="CT22" s="209" t="str">
        <f>IF(AND(C22="Skema 4",B22="ti"),Skemaoplysninger!$AW$31,"")</f>
        <v/>
      </c>
      <c r="CU22" s="209" t="str">
        <f>IF(AND(C22="Skema 4",B22="on"),Skemaoplysninger!$AY$31,"")</f>
        <v/>
      </c>
      <c r="CV22" s="209" t="str">
        <f>IF(AND(C22="Skema 4",B22="to"),Skemaoplysninger!$BA$31,"")</f>
        <v/>
      </c>
      <c r="CW22" s="209" t="str">
        <f>IF(AND(C22="Skema 4",B22="fr"),Skemaoplysninger!$BC$31,"")</f>
        <v/>
      </c>
      <c r="CX22" s="245">
        <f>IF(Stamoplysninger!$H$29="NEJ",SUM(CD22:CW22)*24+CB22+CC22,0)</f>
        <v>0</v>
      </c>
      <c r="CY22" s="245">
        <f>IF(C22="Skema 1",Stamoplysninger!$H$30/200,0)</f>
        <v>0</v>
      </c>
      <c r="CZ22" s="245">
        <f>IF(C22="Skema 2",Stamoplysninger!$H$30/200,0)</f>
        <v>0</v>
      </c>
      <c r="DA22" s="245">
        <f>IF(C22="Skema 3",Stamoplysninger!$H$30/200,0)</f>
        <v>0</v>
      </c>
      <c r="DB22" s="245">
        <f>IF(C22="Skema 4",Stamoplysninger!$H$30/200,0)</f>
        <v>0</v>
      </c>
      <c r="DC22" s="245">
        <f>IF(C22="fagdag",Stamoplysninger!$H$30/200,0)</f>
        <v>0</v>
      </c>
      <c r="DD22" s="245">
        <f>IF(C22="emnedag",Stamoplysninger!$H$30/200,0)</f>
        <v>0</v>
      </c>
      <c r="DE22" s="245">
        <f>IF(C22="lejrskole",Stamoplysninger!$H$30/200,0)</f>
        <v>0</v>
      </c>
      <c r="DF22" s="245">
        <f>IF(C22="ekskursion",Stamoplysninger!$H$30/200,0)</f>
        <v>0</v>
      </c>
      <c r="DG22" s="245">
        <f t="shared" si="26"/>
        <v>0</v>
      </c>
      <c r="DH22" t="str">
        <f t="shared" si="27"/>
        <v/>
      </c>
      <c r="DI22" t="str">
        <f t="shared" si="28"/>
        <v>Efterårsferie</v>
      </c>
      <c r="DJ22" t="str">
        <f t="shared" si="29"/>
        <v/>
      </c>
      <c r="DK22" t="str">
        <f t="shared" si="14"/>
        <v/>
      </c>
      <c r="DL22" t="str">
        <f t="shared" si="14"/>
        <v>Efterårsferie</v>
      </c>
      <c r="DM22" t="str">
        <f t="shared" si="14"/>
        <v/>
      </c>
      <c r="DN22" t="str">
        <f t="shared" si="30"/>
        <v>Efterårsferie</v>
      </c>
      <c r="DO22" s="643">
        <f>IF(AND(Stamoplysninger!$B$22="Ulempetillæg udbetales med 25% af nettotimelønnen.",H22&gt;0),(R22/4),0)</f>
        <v>0</v>
      </c>
      <c r="DP22">
        <f>IF(AND(Stamoplysninger!$B$22="Ulempetillæg udbetales med 25% af nettotimelønnen.",I22="X"),K22/4,0)</f>
        <v>0</v>
      </c>
      <c r="DQ22">
        <f>IF(AND(Stamoplysninger!$B$22="Ulempetillæg udbetales med 25% af nettotimelønnen.",U22="X"),(X22/4),0)</f>
        <v>0</v>
      </c>
      <c r="DR22">
        <f>IF(AND(AND(Stamoplysninger!$B$22="Ulempetillæg udbetales med 25% af nettotimelønnen.",S22="X",I22="X")),V22/4,0)</f>
        <v>0</v>
      </c>
      <c r="DS22" s="662">
        <f>IF(AND(Stamoplysninger!$B$22="Ulempetillæg udbetales med 25% af nettotimelønnen.",C22="ikke relevant"),(R22)/4,0)</f>
        <v>0</v>
      </c>
      <c r="DT22" s="662">
        <f>IF(AND(AND(Stamoplysninger!$B$22="Ulempetillæg udbetales med 25% af nettotimelønnen.",I22="X",C22="Ikke relevant")),K22/4,0)</f>
        <v>0</v>
      </c>
      <c r="DU22" s="662">
        <f>IF(AND(AND(Stamoplysninger!$B$22="Ulempetillæg udbetales med 25% af nettotimelønnen.",C22="ikke relevant",U22="X")),(X22/4),0)</f>
        <v>0</v>
      </c>
      <c r="DV22" s="663">
        <f>IF(AND(AND(AND(Stamoplysninger!$B$22="Ulempetillæg udbetales med 25% af nettotimelønnen.",I22="X",C22="Ikke relevant",S22="X"))),V22/4,0)</f>
        <v>0</v>
      </c>
      <c r="DW22" s="643"/>
      <c r="DZ22" s="662"/>
      <c r="EA22" s="662"/>
      <c r="EB22" s="663"/>
      <c r="EC22" s="643">
        <f>IF(AND(Stamoplysninger!$B$22="Ulempetillæg afspadseres med 25%(Kræver en aftale imellem ledelsen og den ansatte)",H22&gt;0),R22/4,0)</f>
        <v>0</v>
      </c>
      <c r="ED22">
        <f>IF(AND(Stamoplysninger!$B$22="Ulempetillæg afspadseres med 25%(Kræver en aftale imellem ledelsen og den ansatte)",I22="X"),K22/4,0)</f>
        <v>0</v>
      </c>
      <c r="EE22">
        <f>IF(AND(Stamoplysninger!$B$22="Ulempetillæg afspadseres med 25%(Kræver en aftale imellem ledelsen og den ansatte)",U22="X"),X22/4,0)</f>
        <v>0</v>
      </c>
      <c r="EF22">
        <f>IF(AND(AND(Stamoplysninger!$B$22="Ulempetillæg afspadseres med 25%(Kræver en aftale imellem ledelsen og den ansatte)",I22="X",S22="X")),V22/4,0)</f>
        <v>0</v>
      </c>
      <c r="EG22" s="662">
        <f>IF(AND(Stamoplysninger!$B$22="Ulempetillæg afspadseres med 25%(Kræver en aftale imellem ledelsen og den ansatte)",C22="ikke relevant"),(R22)/4,0)</f>
        <v>0</v>
      </c>
      <c r="EH22" s="662">
        <f>IF(AND(AND(Stamoplysninger!$B$22="Ulempetillæg afspadseres med 25%(Kræver en aftale imellem ledelsen og den ansatte)",I22="X",C22="Ikke relevant")),K22/4,0)</f>
        <v>0</v>
      </c>
      <c r="EI22" s="662">
        <f>IF(AND(AND(Stamoplysninger!$B$22="Ulempetillæg afspadseres med 25%(Kræver en aftale imellem ledelsen og den ansatte)",U22="X",C22="Ikke relevant")),X22/4,0)</f>
        <v>0</v>
      </c>
      <c r="EJ22" s="662">
        <f>IF(AND(AND(AND(Stamoplysninger!$B$22="Ulempetillæg afspadseres med 25%(Kræver en aftale imellem ledelsen og den ansatte)",I22="X",C22="Ikke relevant",S22="X"))),V22/4,0)</f>
        <v>0</v>
      </c>
      <c r="EK22" s="279">
        <f>IF(AND(Stamoplysninger!$B$26="Weekendtimer og weekendtillæg afspadseres.",I22="X"),K22*1.5,0)</f>
        <v>0</v>
      </c>
      <c r="EL22" s="247">
        <f>IF(AND(AND(Stamoplysninger!$B$26="Weekendtimer og weekendtillæg afspadseres.",I22="X",S22="X")),V22*1.5,0)</f>
        <v>0</v>
      </c>
      <c r="EM22" s="665">
        <f>IF(AND(AND(Stamoplysninger!$B$26="Weekendtimer og weekendtillæg afspadseres.",I22="X",C22="ikke relevant")),K22*1.5,0)</f>
        <v>0</v>
      </c>
      <c r="EN22" s="666">
        <f>IF(AND(AND(AND(Stamoplysninger!$B$26="Weekendtimer og weekendtillæg afspadseres.",I22="X",C22="ikke relevant",S22="X"))),(V22*1.5),0)</f>
        <v>0</v>
      </c>
      <c r="EO22" s="279">
        <f>IF(AND(Stamoplysninger!$B$26="Weekendtimer og weekendtillæg udbetales.",I22="X"),K22*1.5,0)</f>
        <v>0</v>
      </c>
      <c r="EP22" s="247">
        <f>IF(AND(AND(Stamoplysninger!$B$26="Weekendtimer og weekendtillæg udbetales.",I22="X",S22="X")),V22*1.5,0)</f>
        <v>0</v>
      </c>
      <c r="EQ22" s="665">
        <f>IF(AND(AND(Stamoplysninger!$B$26="Weekendtimer og weekendtillæg udbetales.",I22="X",C22="ikke relevant")),K22*1.5,0)</f>
        <v>0</v>
      </c>
      <c r="ER22" s="666">
        <f>IF(AND(AND(AND(Stamoplysninger!$B$26="Weekendtimer og weekendtillæg udbetales.",I22="X",C22="ikke relevant",S22="X"))),(V22*1.5),0)</f>
        <v>0</v>
      </c>
      <c r="ES22" s="279">
        <f>IF(AND(Stamoplysninger!$B$26="Der er indgået lokalaftale omkring weekendtimer.(Kræver aftale med TR/FSL) Weekendtillæg afspadseres.",I22="X"),K22*0.5,0)</f>
        <v>0</v>
      </c>
      <c r="ET22" s="247">
        <f>IF(AND(AND(Stamoplysninger!$B$26="Der er indgået lokalaftale omkring weekendtimer.(Kræver aftale med TR/FSL) Weekendtillæg afspadseres.",I22="X",S22="X")),V22*0.5,0)</f>
        <v>0</v>
      </c>
      <c r="EU22" s="665">
        <f>IF(AND(AND(Stamoplysninger!$B$26="Der er indgået lokalaftale omkring weekendtimer.(Kræver aftale med TR/FSL) Weekendtillæg afspadseres.",I22="X",C22="ikke relevant")),K22*0.5,0)</f>
        <v>0</v>
      </c>
      <c r="EV22" s="666">
        <f>IF(AND(AND(AND(Stamoplysninger!$B$26="Der er indgået lokalaftale omkring weekendtimer.(Kræver aftale med TR/FSL) Weekendtillæg afspadseres.",I22="X",C22="ikke relevant",S22="X"))),(V22*0.5),0)</f>
        <v>0</v>
      </c>
      <c r="EW22" s="279">
        <f>IF(AND(Stamoplysninger!$B$26="Der er indgået lokalaftale omkring weekendtimer(Kræver aftale med TR/FSL). Weekendtillæg udbetales.",I22="X"),K22*0.5,0)</f>
        <v>0</v>
      </c>
      <c r="EX22" s="247">
        <f>IF(AND(AND(Stamoplysninger!$B$26="Der er indgået lokalaftale omkring weekendtimer(Kræver aftale med TR/FSL). Weekendtillæg udbetales.",I22="X",S22="X")),V22*0.5,0)</f>
        <v>0</v>
      </c>
      <c r="EY22" s="665">
        <f>IF(AND(AND(Stamoplysninger!$B$26="Der er indgået lokalaftale omkring weekendtimer(Kræver aftale med TR/FSL). Weekendtillæg udbetales.",I22="X",C22="ikke relevant")),K22*0.5,0)</f>
        <v>0</v>
      </c>
      <c r="EZ22" s="666">
        <f>IF(AND(AND(AND(Stamoplysninger!$B$26="Der er indgået lokalaftale omkring weekendtimer(Kræver aftale med TR/FSL). Weekendtillæg udbetales.",I22="X",C22="ikke relevant",S22="X"))),(V22*0.5),0)</f>
        <v>0</v>
      </c>
      <c r="FA22" s="279">
        <f>IF(AND(Stamoplysninger!$B$26="Der er indgået lokalaftale omkring weekendtillæg(Kræver aftale med TR/FSL). Weekendtimerne afspadseres.",I22="X"),K22,0)</f>
        <v>0</v>
      </c>
      <c r="FB22" s="247">
        <f>IF(AND(AND(Stamoplysninger!$B$26="Der er indgået lokalaftale omkring weekendtillæg(Kræver aftale med TR/FSL). Weekendtimerne afspadseres.",I22="X",S22="X")),V22,0)</f>
        <v>0</v>
      </c>
      <c r="FC22" s="665">
        <f>IF(AND(AND(Stamoplysninger!$B$26="Der er indgået lokalaftale omkring weekendtillæg(Kræver aftale med TR/FSL). Weekendtimerne afspadseres..",I22="X",C22="ikke relevant")),K22,0)</f>
        <v>0</v>
      </c>
      <c r="FD22" s="666">
        <f>IF(AND(AND(AND(Stamoplysninger!$B$26="Der er indgået lokalaftale omkring weekendtillæg(Kræver aftale med TR/FSL). Weekendtimerne afspadseres.",I22="X",C22="ikke relevant",S22="X"))),(V22),0)</f>
        <v>0</v>
      </c>
      <c r="FE22" s="279">
        <f>IF(AND(Stamoplysninger!$B$26="Der er indgået lokalaftale omkring weekendtillæg(Kræver aftale med TR/FSL). Weekendtimerne udbetales.",I22="X"),K22,0)</f>
        <v>0</v>
      </c>
      <c r="FF22" s="247">
        <f>IF(AND(AND(Stamoplysninger!$B$26="Der er indgået lokalaftale omkring weekendtillæg(Kræver aftale med TR/FSL). Weekendtimerne udbetales.",I22="X",S22="X")),V22,0)</f>
        <v>0</v>
      </c>
      <c r="FG22" s="665">
        <f>IF(AND(AND(Stamoplysninger!$B$26="Der er indgået lokalaftale omkring weekendtillæg(Kræver aftale med TR/FSL). Weekendtimerne udbetales.",I22="X",C22="ikke relevant")),K22,0)</f>
        <v>0</v>
      </c>
      <c r="FH22" s="666">
        <f>IF(AND(AND(AND(Stamoplysninger!$B$26="Der er indgået lokalaftale omkring weekendtillæg(Kræver aftale med TR/FSL). Weekendtimerne udbetales.",I22="X",C22="ikke relevant",S22="X"))),(V22),0)</f>
        <v>0</v>
      </c>
      <c r="FI22" s="279">
        <f>IF(AND(Stamoplysninger!$B$26="Weekendtimer og weekendtillæg afspadseres.",I22="X"),K22,0)</f>
        <v>0</v>
      </c>
      <c r="FJ22" s="247">
        <f>IF(AND(Stamoplysninger!$B$26="Weekendtimer og weekendtillæg afspadseres.",Y22="X"),(AA22+AL22)/2,0)</f>
        <v>0</v>
      </c>
      <c r="FK22" s="665">
        <f>IF(AND(AND(Stamoplysninger!$B$26="Weekendtimer og weekendtillæg afspadseres.",I22="X",C22="ikke relevant")),K22,0)</f>
        <v>0</v>
      </c>
      <c r="FL22" s="666">
        <f>IF(AND(AND(Stamoplysninger!$B$26="Weekendtimer og weekendtillæg afspadseres.",Y22="X",S22="ikke relevant")),(AA22+AL22)/2,0)</f>
        <v>0</v>
      </c>
      <c r="FM22" s="279">
        <f>IF(AND(Stamoplysninger!$B$26="Der er indgået lokalaftale omkring weekendtillæg(Kræver aftale med TR/FSL). Weekendtimerne afspadseres.",I22="X"),K22,0)</f>
        <v>0</v>
      </c>
      <c r="FN22" s="665">
        <f>IF(AND(AND(Stamoplysninger!$B$26="Der er indgået lokalaftale omkring weekendtillæg(Kræver aftale med TR/FSL). Weekendtimerne afspadseres.",I22="X",C22="ikke relevant")),K22,0)</f>
        <v>0</v>
      </c>
      <c r="FO22" s="279">
        <f>IF(AND(Stamoplysninger!$B$26="Weekendtimer og weekendtillæg udbetales.",I22="X"),K22,0)</f>
        <v>0</v>
      </c>
      <c r="FP22" s="247">
        <f>IF(AND(Stamoplysninger!$B$26="Weekendtimer og weekendtillæg udbetales.",AA22="X"),(AC22+AN22)/2,0)</f>
        <v>0</v>
      </c>
      <c r="FQ22" s="665">
        <f>IF(AND(AND(Stamoplysninger!$B$26="Weekendtimer og weekendtillæg udbetales.",I22="X",C22="ikke relevant")),K22,0)</f>
        <v>0</v>
      </c>
      <c r="FR22" s="679">
        <f>IF(AND(AND(Stamoplysninger!$B$26="Weekendtimer og weekendtillæg udbetales.",AA22="X",U22="ikke relevant")),(AC22+AN22)/2,0)</f>
        <v>0</v>
      </c>
      <c r="FS22" s="279">
        <f t="shared" si="15"/>
        <v>0</v>
      </c>
      <c r="FT22" s="649">
        <f t="shared" si="16"/>
        <v>0</v>
      </c>
      <c r="FU22">
        <f t="shared" si="17"/>
        <v>0</v>
      </c>
      <c r="FV22" s="279">
        <f>IF(AND(Stamoplysninger!$B$26="Der er indgået lokalaftale omkring weekendtimer.(Kræver aftale med TR/FSL) Weekendtillæg afspadseres.",I22="X"),K22,0)</f>
        <v>0</v>
      </c>
      <c r="FW22" s="665">
        <f>IF(AND(AND(Stamoplysninger!$B$26="Der er indgået lokalaftale omkring weekendtimer.(Kræver aftale med TR/FSL) Weekendtillæg afspadseres.",I22="X",C22="ikke relevant")),K22,0)</f>
        <v>0</v>
      </c>
      <c r="FX22" s="279">
        <f>IF(AND(Stamoplysninger!$B$26="Der er indgået lokalaftale omkring weekendtimer(Kræver aftale med TR/FSL). Weekendtillæg udbetales.",I22="X"),K22,0)</f>
        <v>0</v>
      </c>
      <c r="FY22" s="665">
        <f>IF(AND(AND(Stamoplysninger!$B$26="Der er indgået lokalaftale omkring weekendtimer(Kræver aftale med TR/FSL). Weekendtillæg udbetales.",I22="X",C22="ikke relevant")),K22,0)</f>
        <v>0</v>
      </c>
      <c r="FZ22" s="279">
        <f>IF(AND(Stamoplysninger!$B$26="Der er indgået lokalaftale omkring weekendtillæg(Kræver aftale med TR/FSL). Weekendtimerne udbetales.",I22="X"),K22,0)</f>
        <v>0</v>
      </c>
      <c r="GA22" s="665">
        <f>IF(AND(AND(Stamoplysninger!$B$26="Der er indgået lokalaftale omkring weekendtillæg(Kræver aftale med TR/FSL). Weekendtimerne udbetales.",I22="X",C22="ikke relevant")),K22,0)</f>
        <v>0</v>
      </c>
      <c r="GB22" s="279">
        <f>IF(AND(Stamoplysninger!$B$26="Der er indgået lokalaftale omkring weekendtimer og weekendtillæg.(Kræver aftale med TR/FSL).",I22="X"),K22,0)</f>
        <v>0</v>
      </c>
      <c r="GC22" s="665">
        <f>IF(AND(AND(Stamoplysninger!$B$26="Der er indgået lokalaftale omkring weekendtimer og weekendtillæg.(Kræver aftale med TR/FSL).",I22="X",C22="ikke relevant")),K22,0)</f>
        <v>0</v>
      </c>
    </row>
    <row r="23" spans="1:185">
      <c r="A23" s="241">
        <f t="shared" si="18"/>
        <v>15</v>
      </c>
      <c r="B23" s="127" t="str">
        <f t="shared" si="0"/>
        <v>ti</v>
      </c>
      <c r="C23" s="128" t="s">
        <v>210</v>
      </c>
      <c r="D23" s="129" t="str">
        <f t="shared" si="1"/>
        <v/>
      </c>
      <c r="E23" s="964" t="s">
        <v>140</v>
      </c>
      <c r="F23" s="965"/>
      <c r="G23" s="966"/>
      <c r="H23" s="293"/>
      <c r="I23" s="519"/>
      <c r="J23" s="407"/>
      <c r="K23" s="374"/>
      <c r="L23" s="374"/>
      <c r="M23" s="374"/>
      <c r="N23" s="313">
        <f t="shared" si="19"/>
        <v>0</v>
      </c>
      <c r="O23" s="313">
        <f t="shared" si="20"/>
        <v>0</v>
      </c>
      <c r="P23" s="313">
        <f>IF(Stamoplysninger!$H$29="JA",Oktober!DG23,CX23)</f>
        <v>0</v>
      </c>
      <c r="Q23" s="313">
        <f t="shared" si="21"/>
        <v>0</v>
      </c>
      <c r="R23" s="314"/>
      <c r="S23" s="319"/>
      <c r="T23" s="320"/>
      <c r="U23" s="320"/>
      <c r="V23" s="429"/>
      <c r="W23" s="406"/>
      <c r="X23" s="633"/>
      <c r="Y23">
        <f t="shared" si="22"/>
        <v>0</v>
      </c>
      <c r="Z23">
        <f t="shared" si="2"/>
        <v>0</v>
      </c>
      <c r="AA23" s="1">
        <f t="shared" si="3"/>
        <v>0</v>
      </c>
      <c r="AB23" s="1">
        <f t="shared" si="4"/>
        <v>0</v>
      </c>
      <c r="AC23" s="1">
        <f t="shared" si="5"/>
        <v>0</v>
      </c>
      <c r="AD23" s="1">
        <f t="shared" si="6"/>
        <v>0</v>
      </c>
      <c r="AE23" s="1">
        <f t="shared" si="7"/>
        <v>0</v>
      </c>
      <c r="AF23" s="1">
        <f>IF(C23="Orlov",7.4*Stamoplysninger!$E$15,0)</f>
        <v>0</v>
      </c>
      <c r="AG23" t="str">
        <f>IF(AND(C23="Skema 1",B23="ma"),Arbejdstidsoversigt!$E$72,"")</f>
        <v/>
      </c>
      <c r="AH23" t="str">
        <f>IF(AND(C23="Skema 1",B23="ti"),Arbejdstidsoversigt!$E$73,"")</f>
        <v/>
      </c>
      <c r="AI23" t="str">
        <f>IF(AND(C23="Skema 1",B23="on"),Arbejdstidsoversigt!$E$74,"")</f>
        <v/>
      </c>
      <c r="AJ23" t="str">
        <f>IF(AND(C23="Skema 1",B23="to"),Arbejdstidsoversigt!$E$75,"")</f>
        <v/>
      </c>
      <c r="AK23" t="str">
        <f>IF(AND(C23="Skema 1",B23="fr"),Arbejdstidsoversigt!$E$76,"")</f>
        <v/>
      </c>
      <c r="AL23" t="str">
        <f>IF(AND(C23="Skema 2",B23="ma"),Arbejdstidsoversigt!$E$81,"")</f>
        <v/>
      </c>
      <c r="AM23" t="str">
        <f>IF(AND(C23="Skema 2",B23="ti"),Arbejdstidsoversigt!$E$82,"")</f>
        <v/>
      </c>
      <c r="AN23" t="str">
        <f>IF(AND(C23="Skema 2",B23="on"),Arbejdstidsoversigt!$E$83,"")</f>
        <v/>
      </c>
      <c r="AO23" t="str">
        <f>IF(AND(C23="Skema 2",B23="to"),Arbejdstidsoversigt!$E$84,"")</f>
        <v/>
      </c>
      <c r="AP23" t="str">
        <f>IF(AND(C23="Skema 2",B23="fr"),Arbejdstidsoversigt!$E$85,"")</f>
        <v/>
      </c>
      <c r="AQ23" t="str">
        <f>IF(AND(C23="Skema 3",B23="ma"),Arbejdstidsoversigt!$E$90,"")</f>
        <v/>
      </c>
      <c r="AR23" t="str">
        <f>IF(AND(C23="Skema 3",B23="ti"),Arbejdstidsoversigt!$E$91,"")</f>
        <v/>
      </c>
      <c r="AS23" t="str">
        <f>IF(AND(C23="Skema 3",B23="on"),Arbejdstidsoversigt!$E$92,"")</f>
        <v/>
      </c>
      <c r="AT23" t="str">
        <f>IF(AND(C23="Skema 3",B23="to"),Arbejdstidsoversigt!$E$93,"")</f>
        <v/>
      </c>
      <c r="AU23" t="str">
        <f>IF(AND(C23="Skema 3",B23="fr"),Arbejdstidsoversigt!$E$94,"")</f>
        <v/>
      </c>
      <c r="AV23" t="str">
        <f>IF(AND(C23="Skema 4",B23="ma"),Arbejdstidsoversigt!$E$99,"")</f>
        <v/>
      </c>
      <c r="AW23" t="str">
        <f>IF(AND(C23="Skema 4",B23="ti"),Arbejdstidsoversigt!$E$100,"")</f>
        <v/>
      </c>
      <c r="AX23" t="str">
        <f>IF(AND(C23="Skema 4",B23="on"),Arbejdstidsoversigt!$E$101,"")</f>
        <v/>
      </c>
      <c r="AY23" t="str">
        <f>IF(AND(C23="Skema 4",B23="to"),Arbejdstidsoversigt!$E$102,"")</f>
        <v/>
      </c>
      <c r="AZ23" t="str">
        <f>IF(AND(C23="Skema 4",B23="fr"),Arbejdstidsoversigt!$E$103,"")</f>
        <v/>
      </c>
      <c r="BA23" s="1">
        <f t="shared" si="23"/>
        <v>0</v>
      </c>
      <c r="BB23" s="226">
        <f t="shared" si="8"/>
        <v>0</v>
      </c>
      <c r="BC23" s="1">
        <f t="shared" si="24"/>
        <v>0</v>
      </c>
      <c r="BD23" s="1">
        <f t="shared" si="9"/>
        <v>0</v>
      </c>
      <c r="BE23" s="1">
        <f t="shared" si="10"/>
        <v>0</v>
      </c>
      <c r="BF23" s="1">
        <f t="shared" si="11"/>
        <v>0</v>
      </c>
      <c r="BG23" s="209" t="str">
        <f>IF(AND(C23="Skema 1",B23="ma"),Skemaoplysninger!$E$30,"")</f>
        <v/>
      </c>
      <c r="BH23" s="209" t="str">
        <f>IF(AND(C23="Skema 1",B23="ti"),Skemaoplysninger!$G$30,"")</f>
        <v/>
      </c>
      <c r="BI23" s="209" t="str">
        <f>IF(AND(C23="Skema 1",B23="on"),Skemaoplysninger!$I$30,"")</f>
        <v/>
      </c>
      <c r="BJ23" s="209" t="str">
        <f>IF(AND(C23="Skema 1",B23="to"),Skemaoplysninger!$K$30,"")</f>
        <v/>
      </c>
      <c r="BK23" s="209" t="str">
        <f>IF(AND(C23="Skema 1",B23="fr"),Skemaoplysninger!$M$30,"")</f>
        <v/>
      </c>
      <c r="BL23" s="209" t="str">
        <f>IF(AND(C23="Skema 2",B23="ma"),Skemaoplysninger!$S$30,"")</f>
        <v/>
      </c>
      <c r="BM23" s="209" t="str">
        <f>IF(AND(C23="Skema 2",B23="ti"),Skemaoplysninger!$U$30,"")</f>
        <v/>
      </c>
      <c r="BN23" s="209" t="str">
        <f>IF(AND(C23="Skema 2",B23="on"),Skemaoplysninger!$W$30,"")</f>
        <v/>
      </c>
      <c r="BO23" s="209" t="str">
        <f>IF(AND(C23="Skema 2",B23="to"),Skemaoplysninger!$Y$30,"")</f>
        <v/>
      </c>
      <c r="BP23" s="209" t="str">
        <f>IF(AND(C23="Skema 2",B23="fr"),Skemaoplysninger!$AA$30,"")</f>
        <v/>
      </c>
      <c r="BQ23" s="209" t="str">
        <f>IF(AND(C23="Skema 3",B23="ma"),Skemaoplysninger!$AG$30,"")</f>
        <v/>
      </c>
      <c r="BR23" s="209" t="str">
        <f>IF(AND(C23="Skema 3",B23="ti"),Skemaoplysninger!$AI$30,"")</f>
        <v/>
      </c>
      <c r="BS23" s="209" t="str">
        <f>IF(AND(C23="Skema 3",B23="on"),Skemaoplysninger!$AK$30,"")</f>
        <v/>
      </c>
      <c r="BT23" s="209" t="str">
        <f>IF(AND(C23="Skema 3",B23="to"),Skemaoplysninger!$AM$30,"")</f>
        <v/>
      </c>
      <c r="BU23" s="209" t="str">
        <f>IF(AND(C23="Skema 3",B23="fr"),Skemaoplysninger!$AO$30,"")</f>
        <v/>
      </c>
      <c r="BV23" s="209" t="str">
        <f>IF(AND(C23="Skema 4",B23="ma"),Skemaoplysninger!$AU$30,"")</f>
        <v/>
      </c>
      <c r="BW23" s="209" t="str">
        <f>IF(AND(C23="Skema 4",B23="ti"),Skemaoplysninger!$AW$30,"")</f>
        <v/>
      </c>
      <c r="BX23" s="209" t="str">
        <f>IF(AND(C23="Skema 4",B23="on"),Skemaoplysninger!$AY$30,"")</f>
        <v/>
      </c>
      <c r="BY23" s="209" t="str">
        <f>IF(AND(C23="Skema 4",B23="to"),Skemaoplysninger!$BA$30,"")</f>
        <v/>
      </c>
      <c r="BZ23" s="209" t="str">
        <f>IF(AND(C23="Skema 4",B23="fr"),Skemaoplysninger!$BC$30,"")</f>
        <v/>
      </c>
      <c r="CA23" s="1">
        <f t="shared" si="25"/>
        <v>0</v>
      </c>
      <c r="CB23" s="1">
        <f t="shared" si="12"/>
        <v>0</v>
      </c>
      <c r="CC23" s="1">
        <f t="shared" si="13"/>
        <v>0</v>
      </c>
      <c r="CD23" s="209" t="str">
        <f>IF(AND(C23="Skema 1",B23="ma"),Skemaoplysninger!$E$31,"")</f>
        <v/>
      </c>
      <c r="CE23" s="209" t="str">
        <f>IF(AND(C23="Skema 1",B23="ti"),Skemaoplysninger!$G$31,"")</f>
        <v/>
      </c>
      <c r="CF23" s="209" t="str">
        <f>IF(AND(C23="Skema 1",B23="on"),Skemaoplysninger!$I$31,"")</f>
        <v/>
      </c>
      <c r="CG23" s="209" t="str">
        <f>IF(AND(C23="Skema 1",B23="to"),Skemaoplysninger!$K$31,"")</f>
        <v/>
      </c>
      <c r="CH23" s="209" t="str">
        <f>IF(AND(C23="Skema 1",B23="fr"),Skemaoplysninger!$M$31,"")</f>
        <v/>
      </c>
      <c r="CI23" s="209" t="str">
        <f>IF(AND(C23="Skema 2",B23="ma"),Skemaoplysninger!$S$31,"")</f>
        <v/>
      </c>
      <c r="CJ23" s="209" t="str">
        <f>IF(AND(C23="Skema 2",B23="ti"),Skemaoplysninger!$U$31,"")</f>
        <v/>
      </c>
      <c r="CK23" s="209" t="str">
        <f>IF(AND(C23="Skema 2",B23="on"),Skemaoplysninger!$W$31,"")</f>
        <v/>
      </c>
      <c r="CL23" s="209" t="str">
        <f>IF(AND(C23="Skema 2",B23="to"),Skemaoplysninger!$Y$31,"")</f>
        <v/>
      </c>
      <c r="CM23" s="209" t="str">
        <f>IF(AND(C23="Skema 2",B23="fr"),Skemaoplysninger!$AA$31,"")</f>
        <v/>
      </c>
      <c r="CN23" s="209" t="str">
        <f>IF(AND(C23="Skema 3",B23="ma"),Skemaoplysninger!$AG$31,"")</f>
        <v/>
      </c>
      <c r="CO23" s="209" t="str">
        <f>IF(AND(C23="Skema 3",B23="ti"),Skemaoplysninger!$AI$31,"")</f>
        <v/>
      </c>
      <c r="CP23" s="209" t="str">
        <f>IF(AND(C23="Skema 3",B23="on"),Skemaoplysninger!$AK$31,"")</f>
        <v/>
      </c>
      <c r="CQ23" s="209" t="str">
        <f>IF(AND(C23="Skema 3",B23="to"),Skemaoplysninger!$AM$31,"")</f>
        <v/>
      </c>
      <c r="CR23" s="209" t="str">
        <f>IF(AND(C23="Skema 3",B23="fr"),Skemaoplysninger!$AO$31,"")</f>
        <v/>
      </c>
      <c r="CS23" s="209" t="str">
        <f>IF(AND(C23="Skema 4",B23="ma"),Skemaoplysninger!$AU$31,"")</f>
        <v/>
      </c>
      <c r="CT23" s="209" t="str">
        <f>IF(AND(C23="Skema 4",B23="ti"),Skemaoplysninger!$AW$31,"")</f>
        <v/>
      </c>
      <c r="CU23" s="209" t="str">
        <f>IF(AND(C23="Skema 4",B23="on"),Skemaoplysninger!$AY$31,"")</f>
        <v/>
      </c>
      <c r="CV23" s="209" t="str">
        <f>IF(AND(C23="Skema 4",B23="to"),Skemaoplysninger!$BA$31,"")</f>
        <v/>
      </c>
      <c r="CW23" s="209" t="str">
        <f>IF(AND(C23="Skema 4",B23="fr"),Skemaoplysninger!$BC$31,"")</f>
        <v/>
      </c>
      <c r="CX23" s="245">
        <f>IF(Stamoplysninger!$H$29="NEJ",SUM(CD23:CW23)*24+CB23+CC23,0)</f>
        <v>0</v>
      </c>
      <c r="CY23" s="245">
        <f>IF(C23="Skema 1",Stamoplysninger!$H$30/200,0)</f>
        <v>0</v>
      </c>
      <c r="CZ23" s="245">
        <f>IF(C23="Skema 2",Stamoplysninger!$H$30/200,0)</f>
        <v>0</v>
      </c>
      <c r="DA23" s="245">
        <f>IF(C23="Skema 3",Stamoplysninger!$H$30/200,0)</f>
        <v>0</v>
      </c>
      <c r="DB23" s="245">
        <f>IF(C23="Skema 4",Stamoplysninger!$H$30/200,0)</f>
        <v>0</v>
      </c>
      <c r="DC23" s="245">
        <f>IF(C23="fagdag",Stamoplysninger!$H$30/200,0)</f>
        <v>0</v>
      </c>
      <c r="DD23" s="245">
        <f>IF(C23="emnedag",Stamoplysninger!$H$30/200,0)</f>
        <v>0</v>
      </c>
      <c r="DE23" s="245">
        <f>IF(C23="lejrskole",Stamoplysninger!$H$30/200,0)</f>
        <v>0</v>
      </c>
      <c r="DF23" s="245">
        <f>IF(C23="ekskursion",Stamoplysninger!$H$30/200,0)</f>
        <v>0</v>
      </c>
      <c r="DG23" s="245">
        <f t="shared" si="26"/>
        <v>0</v>
      </c>
      <c r="DH23" t="str">
        <f t="shared" si="27"/>
        <v/>
      </c>
      <c r="DI23" t="str">
        <f t="shared" si="28"/>
        <v>Efterårsferie</v>
      </c>
      <c r="DJ23" t="str">
        <f t="shared" si="29"/>
        <v/>
      </c>
      <c r="DK23" t="str">
        <f t="shared" si="14"/>
        <v/>
      </c>
      <c r="DL23" t="str">
        <f t="shared" si="14"/>
        <v>Efterårsferie</v>
      </c>
      <c r="DM23" t="str">
        <f t="shared" si="14"/>
        <v/>
      </c>
      <c r="DN23" t="str">
        <f t="shared" si="30"/>
        <v>Efterårsferie</v>
      </c>
      <c r="DO23" s="643">
        <f>IF(AND(Stamoplysninger!$B$22="Ulempetillæg udbetales med 25% af nettotimelønnen.",H23&gt;0),(R23/4),0)</f>
        <v>0</v>
      </c>
      <c r="DP23">
        <f>IF(AND(Stamoplysninger!$B$22="Ulempetillæg udbetales med 25% af nettotimelønnen.",I23="X"),K23/4,0)</f>
        <v>0</v>
      </c>
      <c r="DQ23">
        <f>IF(AND(Stamoplysninger!$B$22="Ulempetillæg udbetales med 25% af nettotimelønnen.",U23="X"),(X23/4),0)</f>
        <v>0</v>
      </c>
      <c r="DR23">
        <f>IF(AND(AND(Stamoplysninger!$B$22="Ulempetillæg udbetales med 25% af nettotimelønnen.",S23="X",I23="X")),V23/4,0)</f>
        <v>0</v>
      </c>
      <c r="DS23" s="662">
        <f>IF(AND(Stamoplysninger!$B$22="Ulempetillæg udbetales med 25% af nettotimelønnen.",C23="ikke relevant"),(R23)/4,0)</f>
        <v>0</v>
      </c>
      <c r="DT23" s="662">
        <f>IF(AND(AND(Stamoplysninger!$B$22="Ulempetillæg udbetales med 25% af nettotimelønnen.",I23="X",C23="Ikke relevant")),K23/4,0)</f>
        <v>0</v>
      </c>
      <c r="DU23" s="662">
        <f>IF(AND(AND(Stamoplysninger!$B$22="Ulempetillæg udbetales med 25% af nettotimelønnen.",C23="ikke relevant",U23="X")),(X23/4),0)</f>
        <v>0</v>
      </c>
      <c r="DV23" s="663">
        <f>IF(AND(AND(AND(Stamoplysninger!$B$22="Ulempetillæg udbetales med 25% af nettotimelønnen.",I23="X",C23="Ikke relevant",S23="X"))),V23/4,0)</f>
        <v>0</v>
      </c>
      <c r="DW23" s="643"/>
      <c r="DZ23" s="662"/>
      <c r="EA23" s="662"/>
      <c r="EB23" s="663"/>
      <c r="EC23" s="643">
        <f>IF(AND(Stamoplysninger!$B$22="Ulempetillæg afspadseres med 25%(Kræver en aftale imellem ledelsen og den ansatte)",H23&gt;0),R23/4,0)</f>
        <v>0</v>
      </c>
      <c r="ED23">
        <f>IF(AND(Stamoplysninger!$B$22="Ulempetillæg afspadseres med 25%(Kræver en aftale imellem ledelsen og den ansatte)",I23="X"),K23/4,0)</f>
        <v>0</v>
      </c>
      <c r="EE23">
        <f>IF(AND(Stamoplysninger!$B$22="Ulempetillæg afspadseres med 25%(Kræver en aftale imellem ledelsen og den ansatte)",U23="X"),X23/4,0)</f>
        <v>0</v>
      </c>
      <c r="EF23">
        <f>IF(AND(AND(Stamoplysninger!$B$22="Ulempetillæg afspadseres med 25%(Kræver en aftale imellem ledelsen og den ansatte)",I23="X",S23="X")),V23/4,0)</f>
        <v>0</v>
      </c>
      <c r="EG23" s="662">
        <f>IF(AND(Stamoplysninger!$B$22="Ulempetillæg afspadseres med 25%(Kræver en aftale imellem ledelsen og den ansatte)",C23="ikke relevant"),(R23)/4,0)</f>
        <v>0</v>
      </c>
      <c r="EH23" s="662">
        <f>IF(AND(AND(Stamoplysninger!$B$22="Ulempetillæg afspadseres med 25%(Kræver en aftale imellem ledelsen og den ansatte)",I23="X",C23="Ikke relevant")),K23/4,0)</f>
        <v>0</v>
      </c>
      <c r="EI23" s="662">
        <f>IF(AND(AND(Stamoplysninger!$B$22="Ulempetillæg afspadseres med 25%(Kræver en aftale imellem ledelsen og den ansatte)",U23="X",C23="Ikke relevant")),X23/4,0)</f>
        <v>0</v>
      </c>
      <c r="EJ23" s="662">
        <f>IF(AND(AND(AND(Stamoplysninger!$B$22="Ulempetillæg afspadseres med 25%(Kræver en aftale imellem ledelsen og den ansatte)",I23="X",C23="Ikke relevant",S23="X"))),V23/4,0)</f>
        <v>0</v>
      </c>
      <c r="EK23" s="279">
        <f>IF(AND(Stamoplysninger!$B$26="Weekendtimer og weekendtillæg afspadseres.",I23="X"),K23*1.5,0)</f>
        <v>0</v>
      </c>
      <c r="EL23" s="247">
        <f>IF(AND(AND(Stamoplysninger!$B$26="Weekendtimer og weekendtillæg afspadseres.",I23="X",S23="X")),V23*1.5,0)</f>
        <v>0</v>
      </c>
      <c r="EM23" s="665">
        <f>IF(AND(AND(Stamoplysninger!$B$26="Weekendtimer og weekendtillæg afspadseres.",I23="X",C23="ikke relevant")),K23*1.5,0)</f>
        <v>0</v>
      </c>
      <c r="EN23" s="666">
        <f>IF(AND(AND(AND(Stamoplysninger!$B$26="Weekendtimer og weekendtillæg afspadseres.",I23="X",C23="ikke relevant",S23="X"))),(V23*1.5),0)</f>
        <v>0</v>
      </c>
      <c r="EO23" s="279">
        <f>IF(AND(Stamoplysninger!$B$26="Weekendtimer og weekendtillæg udbetales.",I23="X"),K23*1.5,0)</f>
        <v>0</v>
      </c>
      <c r="EP23" s="247">
        <f>IF(AND(AND(Stamoplysninger!$B$26="Weekendtimer og weekendtillæg udbetales.",I23="X",S23="X")),V23*1.5,0)</f>
        <v>0</v>
      </c>
      <c r="EQ23" s="665">
        <f>IF(AND(AND(Stamoplysninger!$B$26="Weekendtimer og weekendtillæg udbetales.",I23="X",C23="ikke relevant")),K23*1.5,0)</f>
        <v>0</v>
      </c>
      <c r="ER23" s="666">
        <f>IF(AND(AND(AND(Stamoplysninger!$B$26="Weekendtimer og weekendtillæg udbetales.",I23="X",C23="ikke relevant",S23="X"))),(V23*1.5),0)</f>
        <v>0</v>
      </c>
      <c r="ES23" s="279">
        <f>IF(AND(Stamoplysninger!$B$26="Der er indgået lokalaftale omkring weekendtimer.(Kræver aftale med TR/FSL) Weekendtillæg afspadseres.",I23="X"),K23*0.5,0)</f>
        <v>0</v>
      </c>
      <c r="ET23" s="247">
        <f>IF(AND(AND(Stamoplysninger!$B$26="Der er indgået lokalaftale omkring weekendtimer.(Kræver aftale med TR/FSL) Weekendtillæg afspadseres.",I23="X",S23="X")),V23*0.5,0)</f>
        <v>0</v>
      </c>
      <c r="EU23" s="665">
        <f>IF(AND(AND(Stamoplysninger!$B$26="Der er indgået lokalaftale omkring weekendtimer.(Kræver aftale med TR/FSL) Weekendtillæg afspadseres.",I23="X",C23="ikke relevant")),K23*0.5,0)</f>
        <v>0</v>
      </c>
      <c r="EV23" s="666">
        <f>IF(AND(AND(AND(Stamoplysninger!$B$26="Der er indgået lokalaftale omkring weekendtimer.(Kræver aftale med TR/FSL) Weekendtillæg afspadseres.",I23="X",C23="ikke relevant",S23="X"))),(V23*0.5),0)</f>
        <v>0</v>
      </c>
      <c r="EW23" s="279">
        <f>IF(AND(Stamoplysninger!$B$26="Der er indgået lokalaftale omkring weekendtimer(Kræver aftale med TR/FSL). Weekendtillæg udbetales.",I23="X"),K23*0.5,0)</f>
        <v>0</v>
      </c>
      <c r="EX23" s="247">
        <f>IF(AND(AND(Stamoplysninger!$B$26="Der er indgået lokalaftale omkring weekendtimer(Kræver aftale med TR/FSL). Weekendtillæg udbetales.",I23="X",S23="X")),V23*0.5,0)</f>
        <v>0</v>
      </c>
      <c r="EY23" s="665">
        <f>IF(AND(AND(Stamoplysninger!$B$26="Der er indgået lokalaftale omkring weekendtimer(Kræver aftale med TR/FSL). Weekendtillæg udbetales.",I23="X",C23="ikke relevant")),K23*0.5,0)</f>
        <v>0</v>
      </c>
      <c r="EZ23" s="666">
        <f>IF(AND(AND(AND(Stamoplysninger!$B$26="Der er indgået lokalaftale omkring weekendtimer(Kræver aftale med TR/FSL). Weekendtillæg udbetales.",I23="X",C23="ikke relevant",S23="X"))),(V23*0.5),0)</f>
        <v>0</v>
      </c>
      <c r="FA23" s="279">
        <f>IF(AND(Stamoplysninger!$B$26="Der er indgået lokalaftale omkring weekendtillæg(Kræver aftale med TR/FSL). Weekendtimerne afspadseres.",I23="X"),K23,0)</f>
        <v>0</v>
      </c>
      <c r="FB23" s="247">
        <f>IF(AND(AND(Stamoplysninger!$B$26="Der er indgået lokalaftale omkring weekendtillæg(Kræver aftale med TR/FSL). Weekendtimerne afspadseres.",I23="X",S23="X")),V23,0)</f>
        <v>0</v>
      </c>
      <c r="FC23" s="665">
        <f>IF(AND(AND(Stamoplysninger!$B$26="Der er indgået lokalaftale omkring weekendtillæg(Kræver aftale med TR/FSL). Weekendtimerne afspadseres..",I23="X",C23="ikke relevant")),K23,0)</f>
        <v>0</v>
      </c>
      <c r="FD23" s="666">
        <f>IF(AND(AND(AND(Stamoplysninger!$B$26="Der er indgået lokalaftale omkring weekendtillæg(Kræver aftale med TR/FSL). Weekendtimerne afspadseres.",I23="X",C23="ikke relevant",S23="X"))),(V23),0)</f>
        <v>0</v>
      </c>
      <c r="FE23" s="279">
        <f>IF(AND(Stamoplysninger!$B$26="Der er indgået lokalaftale omkring weekendtillæg(Kræver aftale med TR/FSL). Weekendtimerne udbetales.",I23="X"),K23,0)</f>
        <v>0</v>
      </c>
      <c r="FF23" s="247">
        <f>IF(AND(AND(Stamoplysninger!$B$26="Der er indgået lokalaftale omkring weekendtillæg(Kræver aftale med TR/FSL). Weekendtimerne udbetales.",I23="X",S23="X")),V23,0)</f>
        <v>0</v>
      </c>
      <c r="FG23" s="665">
        <f>IF(AND(AND(Stamoplysninger!$B$26="Der er indgået lokalaftale omkring weekendtillæg(Kræver aftale med TR/FSL). Weekendtimerne udbetales.",I23="X",C23="ikke relevant")),K23,0)</f>
        <v>0</v>
      </c>
      <c r="FH23" s="666">
        <f>IF(AND(AND(AND(Stamoplysninger!$B$26="Der er indgået lokalaftale omkring weekendtillæg(Kræver aftale med TR/FSL). Weekendtimerne udbetales.",I23="X",C23="ikke relevant",S23="X"))),(V23),0)</f>
        <v>0</v>
      </c>
      <c r="FI23" s="279">
        <f>IF(AND(Stamoplysninger!$B$26="Weekendtimer og weekendtillæg afspadseres.",I23="X"),K23,0)</f>
        <v>0</v>
      </c>
      <c r="FJ23" s="247">
        <f>IF(AND(Stamoplysninger!$B$26="Weekendtimer og weekendtillæg afspadseres.",Y23="X"),(AA23+AL23)/2,0)</f>
        <v>0</v>
      </c>
      <c r="FK23" s="665">
        <f>IF(AND(AND(Stamoplysninger!$B$26="Weekendtimer og weekendtillæg afspadseres.",I23="X",C23="ikke relevant")),K23,0)</f>
        <v>0</v>
      </c>
      <c r="FL23" s="666">
        <f>IF(AND(AND(Stamoplysninger!$B$26="Weekendtimer og weekendtillæg afspadseres.",Y23="X",S23="ikke relevant")),(AA23+AL23)/2,0)</f>
        <v>0</v>
      </c>
      <c r="FM23" s="279">
        <f>IF(AND(Stamoplysninger!$B$26="Der er indgået lokalaftale omkring weekendtillæg(Kræver aftale med TR/FSL). Weekendtimerne afspadseres.",I23="X"),K23,0)</f>
        <v>0</v>
      </c>
      <c r="FN23" s="665">
        <f>IF(AND(AND(Stamoplysninger!$B$26="Der er indgået lokalaftale omkring weekendtillæg(Kræver aftale med TR/FSL). Weekendtimerne afspadseres.",I23="X",C23="ikke relevant")),K23,0)</f>
        <v>0</v>
      </c>
      <c r="FO23" s="279">
        <f>IF(AND(Stamoplysninger!$B$26="Weekendtimer og weekendtillæg udbetales.",I23="X"),K23,0)</f>
        <v>0</v>
      </c>
      <c r="FP23" s="247">
        <f>IF(AND(Stamoplysninger!$B$26="Weekendtimer og weekendtillæg udbetales.",AA23="X"),(AC23+AN23)/2,0)</f>
        <v>0</v>
      </c>
      <c r="FQ23" s="665">
        <f>IF(AND(AND(Stamoplysninger!$B$26="Weekendtimer og weekendtillæg udbetales.",I23="X",C23="ikke relevant")),K23,0)</f>
        <v>0</v>
      </c>
      <c r="FR23" s="679">
        <f>IF(AND(AND(Stamoplysninger!$B$26="Weekendtimer og weekendtillæg udbetales.",AA23="X",U23="ikke relevant")),(AC23+AN23)/2,0)</f>
        <v>0</v>
      </c>
      <c r="FS23" s="279">
        <f t="shared" si="15"/>
        <v>0</v>
      </c>
      <c r="FT23" s="649">
        <f t="shared" si="16"/>
        <v>0</v>
      </c>
      <c r="FU23">
        <f t="shared" si="17"/>
        <v>0</v>
      </c>
      <c r="FV23" s="279">
        <f>IF(AND(Stamoplysninger!$B$26="Der er indgået lokalaftale omkring weekendtimer.(Kræver aftale med TR/FSL) Weekendtillæg afspadseres.",I23="X"),K23,0)</f>
        <v>0</v>
      </c>
      <c r="FW23" s="665">
        <f>IF(AND(AND(Stamoplysninger!$B$26="Der er indgået lokalaftale omkring weekendtimer.(Kræver aftale med TR/FSL) Weekendtillæg afspadseres.",I23="X",C23="ikke relevant")),K23,0)</f>
        <v>0</v>
      </c>
      <c r="FX23" s="279">
        <f>IF(AND(Stamoplysninger!$B$26="Der er indgået lokalaftale omkring weekendtimer(Kræver aftale med TR/FSL). Weekendtillæg udbetales.",I23="X"),K23,0)</f>
        <v>0</v>
      </c>
      <c r="FY23" s="665">
        <f>IF(AND(AND(Stamoplysninger!$B$26="Der er indgået lokalaftale omkring weekendtimer(Kræver aftale med TR/FSL). Weekendtillæg udbetales.",I23="X",C23="ikke relevant")),K23,0)</f>
        <v>0</v>
      </c>
      <c r="FZ23" s="279">
        <f>IF(AND(Stamoplysninger!$B$26="Der er indgået lokalaftale omkring weekendtillæg(Kræver aftale med TR/FSL). Weekendtimerne udbetales.",I23="X"),K23,0)</f>
        <v>0</v>
      </c>
      <c r="GA23" s="665">
        <f>IF(AND(AND(Stamoplysninger!$B$26="Der er indgået lokalaftale omkring weekendtillæg(Kræver aftale med TR/FSL). Weekendtimerne udbetales.",I23="X",C23="ikke relevant")),K23,0)</f>
        <v>0</v>
      </c>
      <c r="GB23" s="279">
        <f>IF(AND(Stamoplysninger!$B$26="Der er indgået lokalaftale omkring weekendtimer og weekendtillæg.(Kræver aftale med TR/FSL).",I23="X"),K23,0)</f>
        <v>0</v>
      </c>
      <c r="GC23" s="665">
        <f>IF(AND(AND(Stamoplysninger!$B$26="Der er indgået lokalaftale omkring weekendtimer og weekendtillæg.(Kræver aftale med TR/FSL).",I23="X",C23="ikke relevant")),K23,0)</f>
        <v>0</v>
      </c>
    </row>
    <row r="24" spans="1:185">
      <c r="A24" s="241">
        <f>IF(ISNUMBER(A23),A23+1,1)</f>
        <v>16</v>
      </c>
      <c r="B24" s="127" t="str">
        <f t="shared" si="0"/>
        <v>on</v>
      </c>
      <c r="C24" s="128" t="s">
        <v>210</v>
      </c>
      <c r="D24" s="129" t="str">
        <f t="shared" si="1"/>
        <v/>
      </c>
      <c r="E24" s="932" t="s">
        <v>140</v>
      </c>
      <c r="F24" s="933"/>
      <c r="G24" s="934"/>
      <c r="H24" s="294"/>
      <c r="I24" s="519"/>
      <c r="J24" s="407"/>
      <c r="K24" s="374"/>
      <c r="L24" s="374"/>
      <c r="M24" s="374"/>
      <c r="N24" s="313">
        <f t="shared" si="19"/>
        <v>0</v>
      </c>
      <c r="O24" s="313">
        <f t="shared" si="20"/>
        <v>0</v>
      </c>
      <c r="P24" s="313">
        <f>IF(Stamoplysninger!$H$29="JA",Oktober!DG24,CX24)</f>
        <v>0</v>
      </c>
      <c r="Q24" s="313">
        <f t="shared" si="21"/>
        <v>0</v>
      </c>
      <c r="R24" s="314"/>
      <c r="S24" s="319"/>
      <c r="T24" s="320"/>
      <c r="U24" s="320"/>
      <c r="V24" s="429"/>
      <c r="W24" s="406"/>
      <c r="X24" s="633"/>
      <c r="Y24">
        <f t="shared" si="22"/>
        <v>0</v>
      </c>
      <c r="Z24">
        <f t="shared" si="2"/>
        <v>0</v>
      </c>
      <c r="AA24" s="1">
        <f t="shared" si="3"/>
        <v>0</v>
      </c>
      <c r="AB24" s="1">
        <f t="shared" si="4"/>
        <v>0</v>
      </c>
      <c r="AC24" s="1">
        <f t="shared" si="5"/>
        <v>0</v>
      </c>
      <c r="AD24" s="1">
        <f t="shared" si="6"/>
        <v>0</v>
      </c>
      <c r="AE24" s="1">
        <f t="shared" si="7"/>
        <v>0</v>
      </c>
      <c r="AF24" s="1">
        <f>IF(C24="Orlov",7.4*Stamoplysninger!$E$15,0)</f>
        <v>0</v>
      </c>
      <c r="AG24" t="str">
        <f>IF(AND(C24="Skema 1",B24="ma"),Arbejdstidsoversigt!$E$72,"")</f>
        <v/>
      </c>
      <c r="AH24" t="str">
        <f>IF(AND(C24="Skema 1",B24="ti"),Arbejdstidsoversigt!$E$73,"")</f>
        <v/>
      </c>
      <c r="AI24" t="str">
        <f>IF(AND(C24="Skema 1",B24="on"),Arbejdstidsoversigt!$E$74,"")</f>
        <v/>
      </c>
      <c r="AJ24" t="str">
        <f>IF(AND(C24="Skema 1",B24="to"),Arbejdstidsoversigt!$E$75,"")</f>
        <v/>
      </c>
      <c r="AK24" t="str">
        <f>IF(AND(C24="Skema 1",B24="fr"),Arbejdstidsoversigt!$E$76,"")</f>
        <v/>
      </c>
      <c r="AL24" t="str">
        <f>IF(AND(C24="Skema 2",B24="ma"),Arbejdstidsoversigt!$E$81,"")</f>
        <v/>
      </c>
      <c r="AM24" t="str">
        <f>IF(AND(C24="Skema 2",B24="ti"),Arbejdstidsoversigt!$E$82,"")</f>
        <v/>
      </c>
      <c r="AN24" t="str">
        <f>IF(AND(C24="Skema 2",B24="on"),Arbejdstidsoversigt!$E$83,"")</f>
        <v/>
      </c>
      <c r="AO24" t="str">
        <f>IF(AND(C24="Skema 2",B24="to"),Arbejdstidsoversigt!$E$84,"")</f>
        <v/>
      </c>
      <c r="AP24" t="str">
        <f>IF(AND(C24="Skema 2",B24="fr"),Arbejdstidsoversigt!$E$85,"")</f>
        <v/>
      </c>
      <c r="AQ24" t="str">
        <f>IF(AND(C24="Skema 3",B24="ma"),Arbejdstidsoversigt!$E$90,"")</f>
        <v/>
      </c>
      <c r="AR24" t="str">
        <f>IF(AND(C24="Skema 3",B24="ti"),Arbejdstidsoversigt!$E$91,"")</f>
        <v/>
      </c>
      <c r="AS24" t="str">
        <f>IF(AND(C24="Skema 3",B24="on"),Arbejdstidsoversigt!$E$92,"")</f>
        <v/>
      </c>
      <c r="AT24" t="str">
        <f>IF(AND(C24="Skema 3",B24="to"),Arbejdstidsoversigt!$E$93,"")</f>
        <v/>
      </c>
      <c r="AU24" t="str">
        <f>IF(AND(C24="Skema 3",B24="fr"),Arbejdstidsoversigt!$E$94,"")</f>
        <v/>
      </c>
      <c r="AV24" t="str">
        <f>IF(AND(C24="Skema 4",B24="ma"),Arbejdstidsoversigt!$E$99,"")</f>
        <v/>
      </c>
      <c r="AW24" t="str">
        <f>IF(AND(C24="Skema 4",B24="ti"),Arbejdstidsoversigt!$E$100,"")</f>
        <v/>
      </c>
      <c r="AX24" t="str">
        <f>IF(AND(C24="Skema 4",B24="on"),Arbejdstidsoversigt!$E$101,"")</f>
        <v/>
      </c>
      <c r="AY24" t="str">
        <f>IF(AND(C24="Skema 4",B24="to"),Arbejdstidsoversigt!$E$102,"")</f>
        <v/>
      </c>
      <c r="AZ24" t="str">
        <f>IF(AND(C24="Skema 4",B24="fr"),Arbejdstidsoversigt!$E$103,"")</f>
        <v/>
      </c>
      <c r="BA24" s="1">
        <f t="shared" si="23"/>
        <v>0</v>
      </c>
      <c r="BB24" s="226">
        <f t="shared" si="8"/>
        <v>0</v>
      </c>
      <c r="BC24" s="1">
        <f t="shared" si="24"/>
        <v>0</v>
      </c>
      <c r="BD24" s="1">
        <f t="shared" si="9"/>
        <v>0</v>
      </c>
      <c r="BE24" s="1">
        <f t="shared" si="10"/>
        <v>0</v>
      </c>
      <c r="BF24" s="1">
        <f t="shared" si="11"/>
        <v>0</v>
      </c>
      <c r="BG24" s="209" t="str">
        <f>IF(AND(C24="Skema 1",B24="ma"),Skemaoplysninger!$E$30,"")</f>
        <v/>
      </c>
      <c r="BH24" s="209" t="str">
        <f>IF(AND(C24="Skema 1",B24="ti"),Skemaoplysninger!$G$30,"")</f>
        <v/>
      </c>
      <c r="BI24" s="209" t="str">
        <f>IF(AND(C24="Skema 1",B24="on"),Skemaoplysninger!$I$30,"")</f>
        <v/>
      </c>
      <c r="BJ24" s="209" t="str">
        <f>IF(AND(C24="Skema 1",B24="to"),Skemaoplysninger!$K$30,"")</f>
        <v/>
      </c>
      <c r="BK24" s="209" t="str">
        <f>IF(AND(C24="Skema 1",B24="fr"),Skemaoplysninger!$M$30,"")</f>
        <v/>
      </c>
      <c r="BL24" s="209" t="str">
        <f>IF(AND(C24="Skema 2",B24="ma"),Skemaoplysninger!$S$30,"")</f>
        <v/>
      </c>
      <c r="BM24" s="209" t="str">
        <f>IF(AND(C24="Skema 2",B24="ti"),Skemaoplysninger!$U$30,"")</f>
        <v/>
      </c>
      <c r="BN24" s="209" t="str">
        <f>IF(AND(C24="Skema 2",B24="on"),Skemaoplysninger!$W$30,"")</f>
        <v/>
      </c>
      <c r="BO24" s="209" t="str">
        <f>IF(AND(C24="Skema 2",B24="to"),Skemaoplysninger!$Y$30,"")</f>
        <v/>
      </c>
      <c r="BP24" s="209" t="str">
        <f>IF(AND(C24="Skema 2",B24="fr"),Skemaoplysninger!$AA$30,"")</f>
        <v/>
      </c>
      <c r="BQ24" s="209" t="str">
        <f>IF(AND(C24="Skema 3",B24="ma"),Skemaoplysninger!$AG$30,"")</f>
        <v/>
      </c>
      <c r="BR24" s="209" t="str">
        <f>IF(AND(C24="Skema 3",B24="ti"),Skemaoplysninger!$AI$30,"")</f>
        <v/>
      </c>
      <c r="BS24" s="209" t="str">
        <f>IF(AND(C24="Skema 3",B24="on"),Skemaoplysninger!$AK$30,"")</f>
        <v/>
      </c>
      <c r="BT24" s="209" t="str">
        <f>IF(AND(C24="Skema 3",B24="to"),Skemaoplysninger!$AM$30,"")</f>
        <v/>
      </c>
      <c r="BU24" s="209" t="str">
        <f>IF(AND(C24="Skema 3",B24="fr"),Skemaoplysninger!$AO$30,"")</f>
        <v/>
      </c>
      <c r="BV24" s="209" t="str">
        <f>IF(AND(C24="Skema 4",B24="ma"),Skemaoplysninger!$AU$30,"")</f>
        <v/>
      </c>
      <c r="BW24" s="209" t="str">
        <f>IF(AND(C24="Skema 4",B24="ti"),Skemaoplysninger!$AW$30,"")</f>
        <v/>
      </c>
      <c r="BX24" s="209" t="str">
        <f>IF(AND(C24="Skema 4",B24="on"),Skemaoplysninger!$AY$30,"")</f>
        <v/>
      </c>
      <c r="BY24" s="209" t="str">
        <f>IF(AND(C24="Skema 4",B24="to"),Skemaoplysninger!$BA$30,"")</f>
        <v/>
      </c>
      <c r="BZ24" s="209" t="str">
        <f>IF(AND(C24="Skema 4",B24="fr"),Skemaoplysninger!$BC$30,"")</f>
        <v/>
      </c>
      <c r="CA24" s="1">
        <f t="shared" si="25"/>
        <v>0</v>
      </c>
      <c r="CB24" s="1">
        <f t="shared" si="12"/>
        <v>0</v>
      </c>
      <c r="CC24" s="1">
        <f t="shared" si="13"/>
        <v>0</v>
      </c>
      <c r="CD24" s="209" t="str">
        <f>IF(AND(C24="Skema 1",B24="ma"),Skemaoplysninger!$E$31,"")</f>
        <v/>
      </c>
      <c r="CE24" s="209" t="str">
        <f>IF(AND(C24="Skema 1",B24="ti"),Skemaoplysninger!$G$31,"")</f>
        <v/>
      </c>
      <c r="CF24" s="209" t="str">
        <f>IF(AND(C24="Skema 1",B24="on"),Skemaoplysninger!$I$31,"")</f>
        <v/>
      </c>
      <c r="CG24" s="209" t="str">
        <f>IF(AND(C24="Skema 1",B24="to"),Skemaoplysninger!$K$31,"")</f>
        <v/>
      </c>
      <c r="CH24" s="209" t="str">
        <f>IF(AND(C24="Skema 1",B24="fr"),Skemaoplysninger!$M$31,"")</f>
        <v/>
      </c>
      <c r="CI24" s="209" t="str">
        <f>IF(AND(C24="Skema 2",B24="ma"),Skemaoplysninger!$S$31,"")</f>
        <v/>
      </c>
      <c r="CJ24" s="209" t="str">
        <f>IF(AND(C24="Skema 2",B24="ti"),Skemaoplysninger!$U$31,"")</f>
        <v/>
      </c>
      <c r="CK24" s="209" t="str">
        <f>IF(AND(C24="Skema 2",B24="on"),Skemaoplysninger!$W$31,"")</f>
        <v/>
      </c>
      <c r="CL24" s="209" t="str">
        <f>IF(AND(C24="Skema 2",B24="to"),Skemaoplysninger!$Y$31,"")</f>
        <v/>
      </c>
      <c r="CM24" s="209" t="str">
        <f>IF(AND(C24="Skema 2",B24="fr"),Skemaoplysninger!$AA$31,"")</f>
        <v/>
      </c>
      <c r="CN24" s="209" t="str">
        <f>IF(AND(C24="Skema 3",B24="ma"),Skemaoplysninger!$AG$31,"")</f>
        <v/>
      </c>
      <c r="CO24" s="209" t="str">
        <f>IF(AND(C24="Skema 3",B24="ti"),Skemaoplysninger!$AI$31,"")</f>
        <v/>
      </c>
      <c r="CP24" s="209" t="str">
        <f>IF(AND(C24="Skema 3",B24="on"),Skemaoplysninger!$AK$31,"")</f>
        <v/>
      </c>
      <c r="CQ24" s="209" t="str">
        <f>IF(AND(C24="Skema 3",B24="to"),Skemaoplysninger!$AM$31,"")</f>
        <v/>
      </c>
      <c r="CR24" s="209" t="str">
        <f>IF(AND(C24="Skema 3",B24="fr"),Skemaoplysninger!$AO$31,"")</f>
        <v/>
      </c>
      <c r="CS24" s="209" t="str">
        <f>IF(AND(C24="Skema 4",B24="ma"),Skemaoplysninger!$AU$31,"")</f>
        <v/>
      </c>
      <c r="CT24" s="209" t="str">
        <f>IF(AND(C24="Skema 4",B24="ti"),Skemaoplysninger!$AW$31,"")</f>
        <v/>
      </c>
      <c r="CU24" s="209" t="str">
        <f>IF(AND(C24="Skema 4",B24="on"),Skemaoplysninger!$AY$31,"")</f>
        <v/>
      </c>
      <c r="CV24" s="209" t="str">
        <f>IF(AND(C24="Skema 4",B24="to"),Skemaoplysninger!$BA$31,"")</f>
        <v/>
      </c>
      <c r="CW24" s="209" t="str">
        <f>IF(AND(C24="Skema 4",B24="fr"),Skemaoplysninger!$BC$31,"")</f>
        <v/>
      </c>
      <c r="CX24" s="245">
        <f>IF(Stamoplysninger!$H$29="NEJ",SUM(CD24:CW24)*24+CB24+CC24,0)</f>
        <v>0</v>
      </c>
      <c r="CY24" s="245">
        <f>IF(C24="Skema 1",Stamoplysninger!$H$30/200,0)</f>
        <v>0</v>
      </c>
      <c r="CZ24" s="245">
        <f>IF(C24="Skema 2",Stamoplysninger!$H$30/200,0)</f>
        <v>0</v>
      </c>
      <c r="DA24" s="245">
        <f>IF(C24="Skema 3",Stamoplysninger!$H$30/200,0)</f>
        <v>0</v>
      </c>
      <c r="DB24" s="245">
        <f>IF(C24="Skema 4",Stamoplysninger!$H$30/200,0)</f>
        <v>0</v>
      </c>
      <c r="DC24" s="245">
        <f>IF(C24="fagdag",Stamoplysninger!$H$30/200,0)</f>
        <v>0</v>
      </c>
      <c r="DD24" s="245">
        <f>IF(C24="emnedag",Stamoplysninger!$H$30/200,0)</f>
        <v>0</v>
      </c>
      <c r="DE24" s="245">
        <f>IF(C24="lejrskole",Stamoplysninger!$H$30/200,0)</f>
        <v>0</v>
      </c>
      <c r="DF24" s="245">
        <f>IF(C24="ekskursion",Stamoplysninger!$H$30/200,0)</f>
        <v>0</v>
      </c>
      <c r="DG24" s="245">
        <f t="shared" si="26"/>
        <v>0</v>
      </c>
      <c r="DH24" t="str">
        <f t="shared" si="27"/>
        <v/>
      </c>
      <c r="DI24" t="str">
        <f t="shared" si="28"/>
        <v>Efterårsferie</v>
      </c>
      <c r="DJ24" t="str">
        <f t="shared" si="29"/>
        <v/>
      </c>
      <c r="DK24" t="str">
        <f t="shared" si="14"/>
        <v/>
      </c>
      <c r="DL24" t="str">
        <f t="shared" si="14"/>
        <v>Efterårsferie</v>
      </c>
      <c r="DM24" t="str">
        <f t="shared" si="14"/>
        <v/>
      </c>
      <c r="DN24" t="str">
        <f t="shared" si="30"/>
        <v>Efterårsferie</v>
      </c>
      <c r="DO24" s="643">
        <f>IF(AND(Stamoplysninger!$B$22="Ulempetillæg udbetales med 25% af nettotimelønnen.",H24&gt;0),(R24/4),0)</f>
        <v>0</v>
      </c>
      <c r="DP24">
        <f>IF(AND(Stamoplysninger!$B$22="Ulempetillæg udbetales med 25% af nettotimelønnen.",I24="X"),K24/4,0)</f>
        <v>0</v>
      </c>
      <c r="DQ24">
        <f>IF(AND(Stamoplysninger!$B$22="Ulempetillæg udbetales med 25% af nettotimelønnen.",U24="X"),(X24/4),0)</f>
        <v>0</v>
      </c>
      <c r="DR24">
        <f>IF(AND(AND(Stamoplysninger!$B$22="Ulempetillæg udbetales med 25% af nettotimelønnen.",S24="X",I24="X")),V24/4,0)</f>
        <v>0</v>
      </c>
      <c r="DS24" s="662">
        <f>IF(AND(Stamoplysninger!$B$22="Ulempetillæg udbetales med 25% af nettotimelønnen.",C24="ikke relevant"),(R24)/4,0)</f>
        <v>0</v>
      </c>
      <c r="DT24" s="662">
        <f>IF(AND(AND(Stamoplysninger!$B$22="Ulempetillæg udbetales med 25% af nettotimelønnen.",I24="X",C24="Ikke relevant")),K24/4,0)</f>
        <v>0</v>
      </c>
      <c r="DU24" s="662">
        <f>IF(AND(AND(Stamoplysninger!$B$22="Ulempetillæg udbetales med 25% af nettotimelønnen.",C24="ikke relevant",U24="X")),(X24/4),0)</f>
        <v>0</v>
      </c>
      <c r="DV24" s="663">
        <f>IF(AND(AND(AND(Stamoplysninger!$B$22="Ulempetillæg udbetales med 25% af nettotimelønnen.",I24="X",C24="Ikke relevant",S24="X"))),V24/4,0)</f>
        <v>0</v>
      </c>
      <c r="DW24" s="643"/>
      <c r="DZ24" s="662"/>
      <c r="EA24" s="662"/>
      <c r="EB24" s="663"/>
      <c r="EC24" s="643">
        <f>IF(AND(Stamoplysninger!$B$22="Ulempetillæg afspadseres med 25%(Kræver en aftale imellem ledelsen og den ansatte)",H24&gt;0),R24/4,0)</f>
        <v>0</v>
      </c>
      <c r="ED24">
        <f>IF(AND(Stamoplysninger!$B$22="Ulempetillæg afspadseres med 25%(Kræver en aftale imellem ledelsen og den ansatte)",I24="X"),K24/4,0)</f>
        <v>0</v>
      </c>
      <c r="EE24">
        <f>IF(AND(Stamoplysninger!$B$22="Ulempetillæg afspadseres med 25%(Kræver en aftale imellem ledelsen og den ansatte)",U24="X"),X24/4,0)</f>
        <v>0</v>
      </c>
      <c r="EF24">
        <f>IF(AND(AND(Stamoplysninger!$B$22="Ulempetillæg afspadseres med 25%(Kræver en aftale imellem ledelsen og den ansatte)",I24="X",S24="X")),V24/4,0)</f>
        <v>0</v>
      </c>
      <c r="EG24" s="662">
        <f>IF(AND(Stamoplysninger!$B$22="Ulempetillæg afspadseres med 25%(Kræver en aftale imellem ledelsen og den ansatte)",C24="ikke relevant"),(R24)/4,0)</f>
        <v>0</v>
      </c>
      <c r="EH24" s="662">
        <f>IF(AND(AND(Stamoplysninger!$B$22="Ulempetillæg afspadseres med 25%(Kræver en aftale imellem ledelsen og den ansatte)",I24="X",C24="Ikke relevant")),K24/4,0)</f>
        <v>0</v>
      </c>
      <c r="EI24" s="662">
        <f>IF(AND(AND(Stamoplysninger!$B$22="Ulempetillæg afspadseres med 25%(Kræver en aftale imellem ledelsen og den ansatte)",U24="X",C24="Ikke relevant")),X24/4,0)</f>
        <v>0</v>
      </c>
      <c r="EJ24" s="662">
        <f>IF(AND(AND(AND(Stamoplysninger!$B$22="Ulempetillæg afspadseres med 25%(Kræver en aftale imellem ledelsen og den ansatte)",I24="X",C24="Ikke relevant",S24="X"))),V24/4,0)</f>
        <v>0</v>
      </c>
      <c r="EK24" s="279">
        <f>IF(AND(Stamoplysninger!$B$26="Weekendtimer og weekendtillæg afspadseres.",I24="X"),K24*1.5,0)</f>
        <v>0</v>
      </c>
      <c r="EL24" s="247">
        <f>IF(AND(AND(Stamoplysninger!$B$26="Weekendtimer og weekendtillæg afspadseres.",I24="X",S24="X")),V24*1.5,0)</f>
        <v>0</v>
      </c>
      <c r="EM24" s="665">
        <f>IF(AND(AND(Stamoplysninger!$B$26="Weekendtimer og weekendtillæg afspadseres.",I24="X",C24="ikke relevant")),K24*1.5,0)</f>
        <v>0</v>
      </c>
      <c r="EN24" s="666">
        <f>IF(AND(AND(AND(Stamoplysninger!$B$26="Weekendtimer og weekendtillæg afspadseres.",I24="X",C24="ikke relevant",S24="X"))),(V24*1.5),0)</f>
        <v>0</v>
      </c>
      <c r="EO24" s="279">
        <f>IF(AND(Stamoplysninger!$B$26="Weekendtimer og weekendtillæg udbetales.",I24="X"),K24*1.5,0)</f>
        <v>0</v>
      </c>
      <c r="EP24" s="247">
        <f>IF(AND(AND(Stamoplysninger!$B$26="Weekendtimer og weekendtillæg udbetales.",I24="X",S24="X")),V24*1.5,0)</f>
        <v>0</v>
      </c>
      <c r="EQ24" s="665">
        <f>IF(AND(AND(Stamoplysninger!$B$26="Weekendtimer og weekendtillæg udbetales.",I24="X",C24="ikke relevant")),K24*1.5,0)</f>
        <v>0</v>
      </c>
      <c r="ER24" s="666">
        <f>IF(AND(AND(AND(Stamoplysninger!$B$26="Weekendtimer og weekendtillæg udbetales.",I24="X",C24="ikke relevant",S24="X"))),(V24*1.5),0)</f>
        <v>0</v>
      </c>
      <c r="ES24" s="279">
        <f>IF(AND(Stamoplysninger!$B$26="Der er indgået lokalaftale omkring weekendtimer.(Kræver aftale med TR/FSL) Weekendtillæg afspadseres.",I24="X"),K24*0.5,0)</f>
        <v>0</v>
      </c>
      <c r="ET24" s="247">
        <f>IF(AND(AND(Stamoplysninger!$B$26="Der er indgået lokalaftale omkring weekendtimer.(Kræver aftale med TR/FSL) Weekendtillæg afspadseres.",I24="X",S24="X")),V24*0.5,0)</f>
        <v>0</v>
      </c>
      <c r="EU24" s="665">
        <f>IF(AND(AND(Stamoplysninger!$B$26="Der er indgået lokalaftale omkring weekendtimer.(Kræver aftale med TR/FSL) Weekendtillæg afspadseres.",I24="X",C24="ikke relevant")),K24*0.5,0)</f>
        <v>0</v>
      </c>
      <c r="EV24" s="666">
        <f>IF(AND(AND(AND(Stamoplysninger!$B$26="Der er indgået lokalaftale omkring weekendtimer.(Kræver aftale med TR/FSL) Weekendtillæg afspadseres.",I24="X",C24="ikke relevant",S24="X"))),(V24*0.5),0)</f>
        <v>0</v>
      </c>
      <c r="EW24" s="279">
        <f>IF(AND(Stamoplysninger!$B$26="Der er indgået lokalaftale omkring weekendtimer(Kræver aftale med TR/FSL). Weekendtillæg udbetales.",I24="X"),K24*0.5,0)</f>
        <v>0</v>
      </c>
      <c r="EX24" s="247">
        <f>IF(AND(AND(Stamoplysninger!$B$26="Der er indgået lokalaftale omkring weekendtimer(Kræver aftale med TR/FSL). Weekendtillæg udbetales.",I24="X",S24="X")),V24*0.5,0)</f>
        <v>0</v>
      </c>
      <c r="EY24" s="665">
        <f>IF(AND(AND(Stamoplysninger!$B$26="Der er indgået lokalaftale omkring weekendtimer(Kræver aftale med TR/FSL). Weekendtillæg udbetales.",I24="X",C24="ikke relevant")),K24*0.5,0)</f>
        <v>0</v>
      </c>
      <c r="EZ24" s="666">
        <f>IF(AND(AND(AND(Stamoplysninger!$B$26="Der er indgået lokalaftale omkring weekendtimer(Kræver aftale med TR/FSL). Weekendtillæg udbetales.",I24="X",C24="ikke relevant",S24="X"))),(V24*0.5),0)</f>
        <v>0</v>
      </c>
      <c r="FA24" s="279">
        <f>IF(AND(Stamoplysninger!$B$26="Der er indgået lokalaftale omkring weekendtillæg(Kræver aftale med TR/FSL). Weekendtimerne afspadseres.",I24="X"),K24,0)</f>
        <v>0</v>
      </c>
      <c r="FB24" s="247">
        <f>IF(AND(AND(Stamoplysninger!$B$26="Der er indgået lokalaftale omkring weekendtillæg(Kræver aftale med TR/FSL). Weekendtimerne afspadseres.",I24="X",S24="X")),V24,0)</f>
        <v>0</v>
      </c>
      <c r="FC24" s="665">
        <f>IF(AND(AND(Stamoplysninger!$B$26="Der er indgået lokalaftale omkring weekendtillæg(Kræver aftale med TR/FSL). Weekendtimerne afspadseres..",I24="X",C24="ikke relevant")),K24,0)</f>
        <v>0</v>
      </c>
      <c r="FD24" s="666">
        <f>IF(AND(AND(AND(Stamoplysninger!$B$26="Der er indgået lokalaftale omkring weekendtillæg(Kræver aftale med TR/FSL). Weekendtimerne afspadseres.",I24="X",C24="ikke relevant",S24="X"))),(V24),0)</f>
        <v>0</v>
      </c>
      <c r="FE24" s="279">
        <f>IF(AND(Stamoplysninger!$B$26="Der er indgået lokalaftale omkring weekendtillæg(Kræver aftale med TR/FSL). Weekendtimerne udbetales.",I24="X"),K24,0)</f>
        <v>0</v>
      </c>
      <c r="FF24" s="247">
        <f>IF(AND(AND(Stamoplysninger!$B$26="Der er indgået lokalaftale omkring weekendtillæg(Kræver aftale med TR/FSL). Weekendtimerne udbetales.",I24="X",S24="X")),V24,0)</f>
        <v>0</v>
      </c>
      <c r="FG24" s="665">
        <f>IF(AND(AND(Stamoplysninger!$B$26="Der er indgået lokalaftale omkring weekendtillæg(Kræver aftale med TR/FSL). Weekendtimerne udbetales.",I24="X",C24="ikke relevant")),K24,0)</f>
        <v>0</v>
      </c>
      <c r="FH24" s="666">
        <f>IF(AND(AND(AND(Stamoplysninger!$B$26="Der er indgået lokalaftale omkring weekendtillæg(Kræver aftale med TR/FSL). Weekendtimerne udbetales.",I24="X",C24="ikke relevant",S24="X"))),(V24),0)</f>
        <v>0</v>
      </c>
      <c r="FI24" s="279">
        <f>IF(AND(Stamoplysninger!$B$26="Weekendtimer og weekendtillæg afspadseres.",I24="X"),K24,0)</f>
        <v>0</v>
      </c>
      <c r="FJ24" s="247">
        <f>IF(AND(Stamoplysninger!$B$26="Weekendtimer og weekendtillæg afspadseres.",Y24="X"),(AA24+AL24)/2,0)</f>
        <v>0</v>
      </c>
      <c r="FK24" s="665">
        <f>IF(AND(AND(Stamoplysninger!$B$26="Weekendtimer og weekendtillæg afspadseres.",I24="X",C24="ikke relevant")),K24,0)</f>
        <v>0</v>
      </c>
      <c r="FL24" s="666">
        <f>IF(AND(AND(Stamoplysninger!$B$26="Weekendtimer og weekendtillæg afspadseres.",Y24="X",S24="ikke relevant")),(AA24+AL24)/2,0)</f>
        <v>0</v>
      </c>
      <c r="FM24" s="279">
        <f>IF(AND(Stamoplysninger!$B$26="Der er indgået lokalaftale omkring weekendtillæg(Kræver aftale med TR/FSL). Weekendtimerne afspadseres.",I24="X"),K24,0)</f>
        <v>0</v>
      </c>
      <c r="FN24" s="665">
        <f>IF(AND(AND(Stamoplysninger!$B$26="Der er indgået lokalaftale omkring weekendtillæg(Kræver aftale med TR/FSL). Weekendtimerne afspadseres.",I24="X",C24="ikke relevant")),K24,0)</f>
        <v>0</v>
      </c>
      <c r="FO24" s="279">
        <f>IF(AND(Stamoplysninger!$B$26="Weekendtimer og weekendtillæg udbetales.",I24="X"),K24,0)</f>
        <v>0</v>
      </c>
      <c r="FP24" s="247">
        <f>IF(AND(Stamoplysninger!$B$26="Weekendtimer og weekendtillæg udbetales.",AA24="X"),(AC24+AN24)/2,0)</f>
        <v>0</v>
      </c>
      <c r="FQ24" s="665">
        <f>IF(AND(AND(Stamoplysninger!$B$26="Weekendtimer og weekendtillæg udbetales.",I24="X",C24="ikke relevant")),K24,0)</f>
        <v>0</v>
      </c>
      <c r="FR24" s="679">
        <f>IF(AND(AND(Stamoplysninger!$B$26="Weekendtimer og weekendtillæg udbetales.",AA24="X",U24="ikke relevant")),(AC24+AN24)/2,0)</f>
        <v>0</v>
      </c>
      <c r="FS24" s="279">
        <f t="shared" si="15"/>
        <v>0</v>
      </c>
      <c r="FT24" s="649">
        <f t="shared" si="16"/>
        <v>0</v>
      </c>
      <c r="FU24">
        <f t="shared" si="17"/>
        <v>0</v>
      </c>
      <c r="FV24" s="279">
        <f>IF(AND(Stamoplysninger!$B$26="Der er indgået lokalaftale omkring weekendtimer.(Kræver aftale med TR/FSL) Weekendtillæg afspadseres.",I24="X"),K24,0)</f>
        <v>0</v>
      </c>
      <c r="FW24" s="665">
        <f>IF(AND(AND(Stamoplysninger!$B$26="Der er indgået lokalaftale omkring weekendtimer.(Kræver aftale med TR/FSL) Weekendtillæg afspadseres.",I24="X",C24="ikke relevant")),K24,0)</f>
        <v>0</v>
      </c>
      <c r="FX24" s="279">
        <f>IF(AND(Stamoplysninger!$B$26="Der er indgået lokalaftale omkring weekendtimer(Kræver aftale med TR/FSL). Weekendtillæg udbetales.",I24="X"),K24,0)</f>
        <v>0</v>
      </c>
      <c r="FY24" s="665">
        <f>IF(AND(AND(Stamoplysninger!$B$26="Der er indgået lokalaftale omkring weekendtimer(Kræver aftale med TR/FSL). Weekendtillæg udbetales.",I24="X",C24="ikke relevant")),K24,0)</f>
        <v>0</v>
      </c>
      <c r="FZ24" s="279">
        <f>IF(AND(Stamoplysninger!$B$26="Der er indgået lokalaftale omkring weekendtillæg(Kræver aftale med TR/FSL). Weekendtimerne udbetales.",I24="X"),K24,0)</f>
        <v>0</v>
      </c>
      <c r="GA24" s="665">
        <f>IF(AND(AND(Stamoplysninger!$B$26="Der er indgået lokalaftale omkring weekendtillæg(Kræver aftale med TR/FSL). Weekendtimerne udbetales.",I24="X",C24="ikke relevant")),K24,0)</f>
        <v>0</v>
      </c>
      <c r="GB24" s="279">
        <f>IF(AND(Stamoplysninger!$B$26="Der er indgået lokalaftale omkring weekendtimer og weekendtillæg.(Kræver aftale med TR/FSL).",I24="X"),K24,0)</f>
        <v>0</v>
      </c>
      <c r="GC24" s="665">
        <f>IF(AND(AND(Stamoplysninger!$B$26="Der er indgået lokalaftale omkring weekendtimer og weekendtillæg.(Kræver aftale med TR/FSL).",I24="X",C24="ikke relevant")),K24,0)</f>
        <v>0</v>
      </c>
    </row>
    <row r="25" spans="1:185">
      <c r="A25" s="241">
        <f t="shared" si="18"/>
        <v>17</v>
      </c>
      <c r="B25" s="127" t="str">
        <f t="shared" si="0"/>
        <v>to</v>
      </c>
      <c r="C25" s="128" t="s">
        <v>210</v>
      </c>
      <c r="D25" s="129" t="str">
        <f t="shared" si="1"/>
        <v/>
      </c>
      <c r="E25" s="932" t="s">
        <v>140</v>
      </c>
      <c r="F25" s="933"/>
      <c r="G25" s="934"/>
      <c r="H25" s="294"/>
      <c r="I25" s="519"/>
      <c r="J25" s="407"/>
      <c r="K25" s="374"/>
      <c r="L25" s="374"/>
      <c r="M25" s="374"/>
      <c r="N25" s="313">
        <f t="shared" si="19"/>
        <v>0</v>
      </c>
      <c r="O25" s="313">
        <f t="shared" si="20"/>
        <v>0</v>
      </c>
      <c r="P25" s="313">
        <f>IF(Stamoplysninger!$H$29="JA",Oktober!DG25,CX25)</f>
        <v>0</v>
      </c>
      <c r="Q25" s="313">
        <f t="shared" si="21"/>
        <v>0</v>
      </c>
      <c r="R25" s="314"/>
      <c r="S25" s="319"/>
      <c r="T25" s="320"/>
      <c r="U25" s="320"/>
      <c r="V25" s="429"/>
      <c r="W25" s="406"/>
      <c r="X25" s="633"/>
      <c r="Y25">
        <f t="shared" si="22"/>
        <v>0</v>
      </c>
      <c r="Z25">
        <f t="shared" si="2"/>
        <v>0</v>
      </c>
      <c r="AA25" s="1">
        <f t="shared" si="3"/>
        <v>0</v>
      </c>
      <c r="AB25" s="1">
        <f t="shared" si="4"/>
        <v>0</v>
      </c>
      <c r="AC25" s="1">
        <f t="shared" si="5"/>
        <v>0</v>
      </c>
      <c r="AD25" s="1">
        <f t="shared" si="6"/>
        <v>0</v>
      </c>
      <c r="AE25" s="1">
        <f t="shared" si="7"/>
        <v>0</v>
      </c>
      <c r="AF25" s="1">
        <f>IF(C25="Orlov",7.4*Stamoplysninger!$E$15,0)</f>
        <v>0</v>
      </c>
      <c r="AG25" t="str">
        <f>IF(AND(C25="Skema 1",B25="ma"),Arbejdstidsoversigt!$E$72,"")</f>
        <v/>
      </c>
      <c r="AH25" t="str">
        <f>IF(AND(C25="Skema 1",B25="ti"),Arbejdstidsoversigt!$E$73,"")</f>
        <v/>
      </c>
      <c r="AI25" t="str">
        <f>IF(AND(C25="Skema 1",B25="on"),Arbejdstidsoversigt!$E$74,"")</f>
        <v/>
      </c>
      <c r="AJ25" t="str">
        <f>IF(AND(C25="Skema 1",B25="to"),Arbejdstidsoversigt!$E$75,"")</f>
        <v/>
      </c>
      <c r="AK25" t="str">
        <f>IF(AND(C25="Skema 1",B25="fr"),Arbejdstidsoversigt!$E$76,"")</f>
        <v/>
      </c>
      <c r="AL25" t="str">
        <f>IF(AND(C25="Skema 2",B25="ma"),Arbejdstidsoversigt!$E$81,"")</f>
        <v/>
      </c>
      <c r="AM25" t="str">
        <f>IF(AND(C25="Skema 2",B25="ti"),Arbejdstidsoversigt!$E$82,"")</f>
        <v/>
      </c>
      <c r="AN25" t="str">
        <f>IF(AND(C25="Skema 2",B25="on"),Arbejdstidsoversigt!$E$83,"")</f>
        <v/>
      </c>
      <c r="AO25" t="str">
        <f>IF(AND(C25="Skema 2",B25="to"),Arbejdstidsoversigt!$E$84,"")</f>
        <v/>
      </c>
      <c r="AP25" t="str">
        <f>IF(AND(C25="Skema 2",B25="fr"),Arbejdstidsoversigt!$E$85,"")</f>
        <v/>
      </c>
      <c r="AQ25" t="str">
        <f>IF(AND(C25="Skema 3",B25="ma"),Arbejdstidsoversigt!$E$90,"")</f>
        <v/>
      </c>
      <c r="AR25" t="str">
        <f>IF(AND(C25="Skema 3",B25="ti"),Arbejdstidsoversigt!$E$91,"")</f>
        <v/>
      </c>
      <c r="AS25" t="str">
        <f>IF(AND(C25="Skema 3",B25="on"),Arbejdstidsoversigt!$E$92,"")</f>
        <v/>
      </c>
      <c r="AT25" t="str">
        <f>IF(AND(C25="Skema 3",B25="to"),Arbejdstidsoversigt!$E$93,"")</f>
        <v/>
      </c>
      <c r="AU25" t="str">
        <f>IF(AND(C25="Skema 3",B25="fr"),Arbejdstidsoversigt!$E$94,"")</f>
        <v/>
      </c>
      <c r="AV25" t="str">
        <f>IF(AND(C25="Skema 4",B25="ma"),Arbejdstidsoversigt!$E$99,"")</f>
        <v/>
      </c>
      <c r="AW25" t="str">
        <f>IF(AND(C25="Skema 4",B25="ti"),Arbejdstidsoversigt!$E$100,"")</f>
        <v/>
      </c>
      <c r="AX25" t="str">
        <f>IF(AND(C25="Skema 4",B25="on"),Arbejdstidsoversigt!$E$101,"")</f>
        <v/>
      </c>
      <c r="AY25" t="str">
        <f>IF(AND(C25="Skema 4",B25="to"),Arbejdstidsoversigt!$E$102,"")</f>
        <v/>
      </c>
      <c r="AZ25" t="str">
        <f>IF(AND(C25="Skema 4",B25="fr"),Arbejdstidsoversigt!$E$103,"")</f>
        <v/>
      </c>
      <c r="BA25" s="1">
        <f t="shared" si="23"/>
        <v>0</v>
      </c>
      <c r="BB25" s="226">
        <f t="shared" si="8"/>
        <v>0</v>
      </c>
      <c r="BC25" s="1">
        <f t="shared" si="24"/>
        <v>0</v>
      </c>
      <c r="BD25" s="1">
        <f t="shared" si="9"/>
        <v>0</v>
      </c>
      <c r="BE25" s="1">
        <f t="shared" si="10"/>
        <v>0</v>
      </c>
      <c r="BF25" s="1">
        <f t="shared" si="11"/>
        <v>0</v>
      </c>
      <c r="BG25" s="209" t="str">
        <f>IF(AND(C25="Skema 1",B25="ma"),Skemaoplysninger!$E$30,"")</f>
        <v/>
      </c>
      <c r="BH25" s="209" t="str">
        <f>IF(AND(C25="Skema 1",B25="ti"),Skemaoplysninger!$G$30,"")</f>
        <v/>
      </c>
      <c r="BI25" s="209" t="str">
        <f>IF(AND(C25="Skema 1",B25="on"),Skemaoplysninger!$I$30,"")</f>
        <v/>
      </c>
      <c r="BJ25" s="209" t="str">
        <f>IF(AND(C25="Skema 1",B25="to"),Skemaoplysninger!$K$30,"")</f>
        <v/>
      </c>
      <c r="BK25" s="209" t="str">
        <f>IF(AND(C25="Skema 1",B25="fr"),Skemaoplysninger!$M$30,"")</f>
        <v/>
      </c>
      <c r="BL25" s="209" t="str">
        <f>IF(AND(C25="Skema 2",B25="ma"),Skemaoplysninger!$S$30,"")</f>
        <v/>
      </c>
      <c r="BM25" s="209" t="str">
        <f>IF(AND(C25="Skema 2",B25="ti"),Skemaoplysninger!$U$30,"")</f>
        <v/>
      </c>
      <c r="BN25" s="209" t="str">
        <f>IF(AND(C25="Skema 2",B25="on"),Skemaoplysninger!$W$30,"")</f>
        <v/>
      </c>
      <c r="BO25" s="209" t="str">
        <f>IF(AND(C25="Skema 2",B25="to"),Skemaoplysninger!$Y$30,"")</f>
        <v/>
      </c>
      <c r="BP25" s="209" t="str">
        <f>IF(AND(C25="Skema 2",B25="fr"),Skemaoplysninger!$AA$30,"")</f>
        <v/>
      </c>
      <c r="BQ25" s="209" t="str">
        <f>IF(AND(C25="Skema 3",B25="ma"),Skemaoplysninger!$AG$30,"")</f>
        <v/>
      </c>
      <c r="BR25" s="209" t="str">
        <f>IF(AND(C25="Skema 3",B25="ti"),Skemaoplysninger!$AI$30,"")</f>
        <v/>
      </c>
      <c r="BS25" s="209" t="str">
        <f>IF(AND(C25="Skema 3",B25="on"),Skemaoplysninger!$AK$30,"")</f>
        <v/>
      </c>
      <c r="BT25" s="209" t="str">
        <f>IF(AND(C25="Skema 3",B25="to"),Skemaoplysninger!$AM$30,"")</f>
        <v/>
      </c>
      <c r="BU25" s="209" t="str">
        <f>IF(AND(C25="Skema 3",B25="fr"),Skemaoplysninger!$AO$30,"")</f>
        <v/>
      </c>
      <c r="BV25" s="209" t="str">
        <f>IF(AND(C25="Skema 4",B25="ma"),Skemaoplysninger!$AU$30,"")</f>
        <v/>
      </c>
      <c r="BW25" s="209" t="str">
        <f>IF(AND(C25="Skema 4",B25="ti"),Skemaoplysninger!$AW$30,"")</f>
        <v/>
      </c>
      <c r="BX25" s="209" t="str">
        <f>IF(AND(C25="Skema 4",B25="on"),Skemaoplysninger!$AY$30,"")</f>
        <v/>
      </c>
      <c r="BY25" s="209" t="str">
        <f>IF(AND(C25="Skema 4",B25="to"),Skemaoplysninger!$BA$30,"")</f>
        <v/>
      </c>
      <c r="BZ25" s="209" t="str">
        <f>IF(AND(C25="Skema 4",B25="fr"),Skemaoplysninger!$BC$30,"")</f>
        <v/>
      </c>
      <c r="CA25" s="1">
        <f t="shared" si="25"/>
        <v>0</v>
      </c>
      <c r="CB25" s="1">
        <f t="shared" si="12"/>
        <v>0</v>
      </c>
      <c r="CC25" s="1">
        <f t="shared" si="13"/>
        <v>0</v>
      </c>
      <c r="CD25" s="209" t="str">
        <f>IF(AND(C25="Skema 1",B25="ma"),Skemaoplysninger!$E$31,"")</f>
        <v/>
      </c>
      <c r="CE25" s="209" t="str">
        <f>IF(AND(C25="Skema 1",B25="ti"),Skemaoplysninger!$G$31,"")</f>
        <v/>
      </c>
      <c r="CF25" s="209" t="str">
        <f>IF(AND(C25="Skema 1",B25="on"),Skemaoplysninger!$I$31,"")</f>
        <v/>
      </c>
      <c r="CG25" s="209" t="str">
        <f>IF(AND(C25="Skema 1",B25="to"),Skemaoplysninger!$K$31,"")</f>
        <v/>
      </c>
      <c r="CH25" s="209" t="str">
        <f>IF(AND(C25="Skema 1",B25="fr"),Skemaoplysninger!$M$31,"")</f>
        <v/>
      </c>
      <c r="CI25" s="209" t="str">
        <f>IF(AND(C25="Skema 2",B25="ma"),Skemaoplysninger!$S$31,"")</f>
        <v/>
      </c>
      <c r="CJ25" s="209" t="str">
        <f>IF(AND(C25="Skema 2",B25="ti"),Skemaoplysninger!$U$31,"")</f>
        <v/>
      </c>
      <c r="CK25" s="209" t="str">
        <f>IF(AND(C25="Skema 2",B25="on"),Skemaoplysninger!$W$31,"")</f>
        <v/>
      </c>
      <c r="CL25" s="209" t="str">
        <f>IF(AND(C25="Skema 2",B25="to"),Skemaoplysninger!$Y$31,"")</f>
        <v/>
      </c>
      <c r="CM25" s="209" t="str">
        <f>IF(AND(C25="Skema 2",B25="fr"),Skemaoplysninger!$AA$31,"")</f>
        <v/>
      </c>
      <c r="CN25" s="209" t="str">
        <f>IF(AND(C25="Skema 3",B25="ma"),Skemaoplysninger!$AG$31,"")</f>
        <v/>
      </c>
      <c r="CO25" s="209" t="str">
        <f>IF(AND(C25="Skema 3",B25="ti"),Skemaoplysninger!$AI$31,"")</f>
        <v/>
      </c>
      <c r="CP25" s="209" t="str">
        <f>IF(AND(C25="Skema 3",B25="on"),Skemaoplysninger!$AK$31,"")</f>
        <v/>
      </c>
      <c r="CQ25" s="209" t="str">
        <f>IF(AND(C25="Skema 3",B25="to"),Skemaoplysninger!$AM$31,"")</f>
        <v/>
      </c>
      <c r="CR25" s="209" t="str">
        <f>IF(AND(C25="Skema 3",B25="fr"),Skemaoplysninger!$AO$31,"")</f>
        <v/>
      </c>
      <c r="CS25" s="209" t="str">
        <f>IF(AND(C25="Skema 4",B25="ma"),Skemaoplysninger!$AU$31,"")</f>
        <v/>
      </c>
      <c r="CT25" s="209" t="str">
        <f>IF(AND(C25="Skema 4",B25="ti"),Skemaoplysninger!$AW$31,"")</f>
        <v/>
      </c>
      <c r="CU25" s="209" t="str">
        <f>IF(AND(C25="Skema 4",B25="on"),Skemaoplysninger!$AY$31,"")</f>
        <v/>
      </c>
      <c r="CV25" s="209" t="str">
        <f>IF(AND(C25="Skema 4",B25="to"),Skemaoplysninger!$BA$31,"")</f>
        <v/>
      </c>
      <c r="CW25" s="209" t="str">
        <f>IF(AND(C25="Skema 4",B25="fr"),Skemaoplysninger!$BC$31,"")</f>
        <v/>
      </c>
      <c r="CX25" s="245">
        <f>IF(Stamoplysninger!$H$29="NEJ",SUM(CD25:CW25)*24+CB25+CC25,0)</f>
        <v>0</v>
      </c>
      <c r="CY25" s="245">
        <f>IF(C25="Skema 1",Stamoplysninger!$H$30/200,0)</f>
        <v>0</v>
      </c>
      <c r="CZ25" s="245">
        <f>IF(C25="Skema 2",Stamoplysninger!$H$30/200,0)</f>
        <v>0</v>
      </c>
      <c r="DA25" s="245">
        <f>IF(C25="Skema 3",Stamoplysninger!$H$30/200,0)</f>
        <v>0</v>
      </c>
      <c r="DB25" s="245">
        <f>IF(C25="Skema 4",Stamoplysninger!$H$30/200,0)</f>
        <v>0</v>
      </c>
      <c r="DC25" s="245">
        <f>IF(C25="fagdag",Stamoplysninger!$H$30/200,0)</f>
        <v>0</v>
      </c>
      <c r="DD25" s="245">
        <f>IF(C25="emnedag",Stamoplysninger!$H$30/200,0)</f>
        <v>0</v>
      </c>
      <c r="DE25" s="245">
        <f>IF(C25="lejrskole",Stamoplysninger!$H$30/200,0)</f>
        <v>0</v>
      </c>
      <c r="DF25" s="245">
        <f>IF(C25="ekskursion",Stamoplysninger!$H$30/200,0)</f>
        <v>0</v>
      </c>
      <c r="DG25" s="245">
        <f t="shared" si="26"/>
        <v>0</v>
      </c>
      <c r="DH25" t="str">
        <f t="shared" si="27"/>
        <v/>
      </c>
      <c r="DI25" t="str">
        <f t="shared" si="28"/>
        <v>Efterårsferie</v>
      </c>
      <c r="DJ25" t="str">
        <f t="shared" si="29"/>
        <v/>
      </c>
      <c r="DK25" t="str">
        <f t="shared" si="14"/>
        <v/>
      </c>
      <c r="DL25" t="str">
        <f t="shared" si="14"/>
        <v>Efterårsferie</v>
      </c>
      <c r="DM25" t="str">
        <f t="shared" si="14"/>
        <v/>
      </c>
      <c r="DN25" t="str">
        <f t="shared" si="30"/>
        <v>Efterårsferie</v>
      </c>
      <c r="DO25" s="643">
        <f>IF(AND(Stamoplysninger!$B$22="Ulempetillæg udbetales med 25% af nettotimelønnen.",H25&gt;0),(R25/4),0)</f>
        <v>0</v>
      </c>
      <c r="DP25">
        <f>IF(AND(Stamoplysninger!$B$22="Ulempetillæg udbetales med 25% af nettotimelønnen.",I25="X"),K25/4,0)</f>
        <v>0</v>
      </c>
      <c r="DQ25">
        <f>IF(AND(Stamoplysninger!$B$22="Ulempetillæg udbetales med 25% af nettotimelønnen.",U25="X"),(X25/4),0)</f>
        <v>0</v>
      </c>
      <c r="DR25">
        <f>IF(AND(AND(Stamoplysninger!$B$22="Ulempetillæg udbetales med 25% af nettotimelønnen.",S25="X",I25="X")),V25/4,0)</f>
        <v>0</v>
      </c>
      <c r="DS25" s="662">
        <f>IF(AND(Stamoplysninger!$B$22="Ulempetillæg udbetales med 25% af nettotimelønnen.",C25="ikke relevant"),(R25)/4,0)</f>
        <v>0</v>
      </c>
      <c r="DT25" s="662">
        <f>IF(AND(AND(Stamoplysninger!$B$22="Ulempetillæg udbetales med 25% af nettotimelønnen.",I25="X",C25="Ikke relevant")),K25/4,0)</f>
        <v>0</v>
      </c>
      <c r="DU25" s="662">
        <f>IF(AND(AND(Stamoplysninger!$B$22="Ulempetillæg udbetales med 25% af nettotimelønnen.",C25="ikke relevant",U25="X")),(X25/4),0)</f>
        <v>0</v>
      </c>
      <c r="DV25" s="663">
        <f>IF(AND(AND(AND(Stamoplysninger!$B$22="Ulempetillæg udbetales med 25% af nettotimelønnen.",I25="X",C25="Ikke relevant",S25="X"))),V25/4,0)</f>
        <v>0</v>
      </c>
      <c r="DW25" s="643"/>
      <c r="DZ25" s="662"/>
      <c r="EA25" s="662"/>
      <c r="EB25" s="663"/>
      <c r="EC25" s="643">
        <f>IF(AND(Stamoplysninger!$B$22="Ulempetillæg afspadseres med 25%(Kræver en aftale imellem ledelsen og den ansatte)",H25&gt;0),R25/4,0)</f>
        <v>0</v>
      </c>
      <c r="ED25">
        <f>IF(AND(Stamoplysninger!$B$22="Ulempetillæg afspadseres med 25%(Kræver en aftale imellem ledelsen og den ansatte)",I25="X"),K25/4,0)</f>
        <v>0</v>
      </c>
      <c r="EE25">
        <f>IF(AND(Stamoplysninger!$B$22="Ulempetillæg afspadseres med 25%(Kræver en aftale imellem ledelsen og den ansatte)",U25="X"),X25/4,0)</f>
        <v>0</v>
      </c>
      <c r="EF25">
        <f>IF(AND(AND(Stamoplysninger!$B$22="Ulempetillæg afspadseres med 25%(Kræver en aftale imellem ledelsen og den ansatte)",I25="X",S25="X")),V25/4,0)</f>
        <v>0</v>
      </c>
      <c r="EG25" s="662">
        <f>IF(AND(Stamoplysninger!$B$22="Ulempetillæg afspadseres med 25%(Kræver en aftale imellem ledelsen og den ansatte)",C25="ikke relevant"),(R25)/4,0)</f>
        <v>0</v>
      </c>
      <c r="EH25" s="662">
        <f>IF(AND(AND(Stamoplysninger!$B$22="Ulempetillæg afspadseres med 25%(Kræver en aftale imellem ledelsen og den ansatte)",I25="X",C25="Ikke relevant")),K25/4,0)</f>
        <v>0</v>
      </c>
      <c r="EI25" s="662">
        <f>IF(AND(AND(Stamoplysninger!$B$22="Ulempetillæg afspadseres med 25%(Kræver en aftale imellem ledelsen og den ansatte)",U25="X",C25="Ikke relevant")),X25/4,0)</f>
        <v>0</v>
      </c>
      <c r="EJ25" s="662">
        <f>IF(AND(AND(AND(Stamoplysninger!$B$22="Ulempetillæg afspadseres med 25%(Kræver en aftale imellem ledelsen og den ansatte)",I25="X",C25="Ikke relevant",S25="X"))),V25/4,0)</f>
        <v>0</v>
      </c>
      <c r="EK25" s="279">
        <f>IF(AND(Stamoplysninger!$B$26="Weekendtimer og weekendtillæg afspadseres.",I25="X"),K25*1.5,0)</f>
        <v>0</v>
      </c>
      <c r="EL25" s="247">
        <f>IF(AND(AND(Stamoplysninger!$B$26="Weekendtimer og weekendtillæg afspadseres.",I25="X",S25="X")),V25*1.5,0)</f>
        <v>0</v>
      </c>
      <c r="EM25" s="665">
        <f>IF(AND(AND(Stamoplysninger!$B$26="Weekendtimer og weekendtillæg afspadseres.",I25="X",C25="ikke relevant")),K25*1.5,0)</f>
        <v>0</v>
      </c>
      <c r="EN25" s="666">
        <f>IF(AND(AND(AND(Stamoplysninger!$B$26="Weekendtimer og weekendtillæg afspadseres.",I25="X",C25="ikke relevant",S25="X"))),(V25*1.5),0)</f>
        <v>0</v>
      </c>
      <c r="EO25" s="279">
        <f>IF(AND(Stamoplysninger!$B$26="Weekendtimer og weekendtillæg udbetales.",I25="X"),K25*1.5,0)</f>
        <v>0</v>
      </c>
      <c r="EP25" s="247">
        <f>IF(AND(AND(Stamoplysninger!$B$26="Weekendtimer og weekendtillæg udbetales.",I25="X",S25="X")),V25*1.5,0)</f>
        <v>0</v>
      </c>
      <c r="EQ25" s="665">
        <f>IF(AND(AND(Stamoplysninger!$B$26="Weekendtimer og weekendtillæg udbetales.",I25="X",C25="ikke relevant")),K25*1.5,0)</f>
        <v>0</v>
      </c>
      <c r="ER25" s="666">
        <f>IF(AND(AND(AND(Stamoplysninger!$B$26="Weekendtimer og weekendtillæg udbetales.",I25="X",C25="ikke relevant",S25="X"))),(V25*1.5),0)</f>
        <v>0</v>
      </c>
      <c r="ES25" s="279">
        <f>IF(AND(Stamoplysninger!$B$26="Der er indgået lokalaftale omkring weekendtimer.(Kræver aftale med TR/FSL) Weekendtillæg afspadseres.",I25="X"),K25*0.5,0)</f>
        <v>0</v>
      </c>
      <c r="ET25" s="247">
        <f>IF(AND(AND(Stamoplysninger!$B$26="Der er indgået lokalaftale omkring weekendtimer.(Kræver aftale med TR/FSL) Weekendtillæg afspadseres.",I25="X",S25="X")),V25*0.5,0)</f>
        <v>0</v>
      </c>
      <c r="EU25" s="665">
        <f>IF(AND(AND(Stamoplysninger!$B$26="Der er indgået lokalaftale omkring weekendtimer.(Kræver aftale med TR/FSL) Weekendtillæg afspadseres.",I25="X",C25="ikke relevant")),K25*0.5,0)</f>
        <v>0</v>
      </c>
      <c r="EV25" s="666">
        <f>IF(AND(AND(AND(Stamoplysninger!$B$26="Der er indgået lokalaftale omkring weekendtimer.(Kræver aftale med TR/FSL) Weekendtillæg afspadseres.",I25="X",C25="ikke relevant",S25="X"))),(V25*0.5),0)</f>
        <v>0</v>
      </c>
      <c r="EW25" s="279">
        <f>IF(AND(Stamoplysninger!$B$26="Der er indgået lokalaftale omkring weekendtimer(Kræver aftale med TR/FSL). Weekendtillæg udbetales.",I25="X"),K25*0.5,0)</f>
        <v>0</v>
      </c>
      <c r="EX25" s="247">
        <f>IF(AND(AND(Stamoplysninger!$B$26="Der er indgået lokalaftale omkring weekendtimer(Kræver aftale med TR/FSL). Weekendtillæg udbetales.",I25="X",S25="X")),V25*0.5,0)</f>
        <v>0</v>
      </c>
      <c r="EY25" s="665">
        <f>IF(AND(AND(Stamoplysninger!$B$26="Der er indgået lokalaftale omkring weekendtimer(Kræver aftale med TR/FSL). Weekendtillæg udbetales.",I25="X",C25="ikke relevant")),K25*0.5,0)</f>
        <v>0</v>
      </c>
      <c r="EZ25" s="666">
        <f>IF(AND(AND(AND(Stamoplysninger!$B$26="Der er indgået lokalaftale omkring weekendtimer(Kræver aftale med TR/FSL). Weekendtillæg udbetales.",I25="X",C25="ikke relevant",S25="X"))),(V25*0.5),0)</f>
        <v>0</v>
      </c>
      <c r="FA25" s="279">
        <f>IF(AND(Stamoplysninger!$B$26="Der er indgået lokalaftale omkring weekendtillæg(Kræver aftale med TR/FSL). Weekendtimerne afspadseres.",I25="X"),K25,0)</f>
        <v>0</v>
      </c>
      <c r="FB25" s="247">
        <f>IF(AND(AND(Stamoplysninger!$B$26="Der er indgået lokalaftale omkring weekendtillæg(Kræver aftale med TR/FSL). Weekendtimerne afspadseres.",I25="X",S25="X")),V25,0)</f>
        <v>0</v>
      </c>
      <c r="FC25" s="665">
        <f>IF(AND(AND(Stamoplysninger!$B$26="Der er indgået lokalaftale omkring weekendtillæg(Kræver aftale med TR/FSL). Weekendtimerne afspadseres..",I25="X",C25="ikke relevant")),K25,0)</f>
        <v>0</v>
      </c>
      <c r="FD25" s="666">
        <f>IF(AND(AND(AND(Stamoplysninger!$B$26="Der er indgået lokalaftale omkring weekendtillæg(Kræver aftale med TR/FSL). Weekendtimerne afspadseres.",I25="X",C25="ikke relevant",S25="X"))),(V25),0)</f>
        <v>0</v>
      </c>
      <c r="FE25" s="279">
        <f>IF(AND(Stamoplysninger!$B$26="Der er indgået lokalaftale omkring weekendtillæg(Kræver aftale med TR/FSL). Weekendtimerne udbetales.",I25="X"),K25,0)</f>
        <v>0</v>
      </c>
      <c r="FF25" s="247">
        <f>IF(AND(AND(Stamoplysninger!$B$26="Der er indgået lokalaftale omkring weekendtillæg(Kræver aftale med TR/FSL). Weekendtimerne udbetales.",I25="X",S25="X")),V25,0)</f>
        <v>0</v>
      </c>
      <c r="FG25" s="665">
        <f>IF(AND(AND(Stamoplysninger!$B$26="Der er indgået lokalaftale omkring weekendtillæg(Kræver aftale med TR/FSL). Weekendtimerne udbetales.",I25="X",C25="ikke relevant")),K25,0)</f>
        <v>0</v>
      </c>
      <c r="FH25" s="666">
        <f>IF(AND(AND(AND(Stamoplysninger!$B$26="Der er indgået lokalaftale omkring weekendtillæg(Kræver aftale med TR/FSL). Weekendtimerne udbetales.",I25="X",C25="ikke relevant",S25="X"))),(V25),0)</f>
        <v>0</v>
      </c>
      <c r="FI25" s="279">
        <f>IF(AND(Stamoplysninger!$B$26="Weekendtimer og weekendtillæg afspadseres.",I25="X"),K25,0)</f>
        <v>0</v>
      </c>
      <c r="FJ25" s="247">
        <f>IF(AND(Stamoplysninger!$B$26="Weekendtimer og weekendtillæg afspadseres.",Y25="X"),(AA25+AL25)/2,0)</f>
        <v>0</v>
      </c>
      <c r="FK25" s="665">
        <f>IF(AND(AND(Stamoplysninger!$B$26="Weekendtimer og weekendtillæg afspadseres.",I25="X",C25="ikke relevant")),K25,0)</f>
        <v>0</v>
      </c>
      <c r="FL25" s="666">
        <f>IF(AND(AND(Stamoplysninger!$B$26="Weekendtimer og weekendtillæg afspadseres.",Y25="X",S25="ikke relevant")),(AA25+AL25)/2,0)</f>
        <v>0</v>
      </c>
      <c r="FM25" s="279">
        <f>IF(AND(Stamoplysninger!$B$26="Der er indgået lokalaftale omkring weekendtillæg(Kræver aftale med TR/FSL). Weekendtimerne afspadseres.",I25="X"),K25,0)</f>
        <v>0</v>
      </c>
      <c r="FN25" s="665">
        <f>IF(AND(AND(Stamoplysninger!$B$26="Der er indgået lokalaftale omkring weekendtillæg(Kræver aftale med TR/FSL). Weekendtimerne afspadseres.",I25="X",C25="ikke relevant")),K25,0)</f>
        <v>0</v>
      </c>
      <c r="FO25" s="279">
        <f>IF(AND(Stamoplysninger!$B$26="Weekendtimer og weekendtillæg udbetales.",I25="X"),K25,0)</f>
        <v>0</v>
      </c>
      <c r="FP25" s="247">
        <f>IF(AND(Stamoplysninger!$B$26="Weekendtimer og weekendtillæg udbetales.",AA25="X"),(AC25+AN25)/2,0)</f>
        <v>0</v>
      </c>
      <c r="FQ25" s="665">
        <f>IF(AND(AND(Stamoplysninger!$B$26="Weekendtimer og weekendtillæg udbetales.",I25="X",C25="ikke relevant")),K25,0)</f>
        <v>0</v>
      </c>
      <c r="FR25" s="679">
        <f>IF(AND(AND(Stamoplysninger!$B$26="Weekendtimer og weekendtillæg udbetales.",AA25="X",U25="ikke relevant")),(AC25+AN25)/2,0)</f>
        <v>0</v>
      </c>
      <c r="FS25" s="279">
        <f t="shared" si="15"/>
        <v>0</v>
      </c>
      <c r="FT25" s="649">
        <f t="shared" si="16"/>
        <v>0</v>
      </c>
      <c r="FU25">
        <f t="shared" si="17"/>
        <v>0</v>
      </c>
      <c r="FV25" s="279">
        <f>IF(AND(Stamoplysninger!$B$26="Der er indgået lokalaftale omkring weekendtimer.(Kræver aftale med TR/FSL) Weekendtillæg afspadseres.",I25="X"),K25,0)</f>
        <v>0</v>
      </c>
      <c r="FW25" s="665">
        <f>IF(AND(AND(Stamoplysninger!$B$26="Der er indgået lokalaftale omkring weekendtimer.(Kræver aftale med TR/FSL) Weekendtillæg afspadseres.",I25="X",C25="ikke relevant")),K25,0)</f>
        <v>0</v>
      </c>
      <c r="FX25" s="279">
        <f>IF(AND(Stamoplysninger!$B$26="Der er indgået lokalaftale omkring weekendtimer(Kræver aftale med TR/FSL). Weekendtillæg udbetales.",I25="X"),K25,0)</f>
        <v>0</v>
      </c>
      <c r="FY25" s="665">
        <f>IF(AND(AND(Stamoplysninger!$B$26="Der er indgået lokalaftale omkring weekendtimer(Kræver aftale med TR/FSL). Weekendtillæg udbetales.",I25="X",C25="ikke relevant")),K25,0)</f>
        <v>0</v>
      </c>
      <c r="FZ25" s="279">
        <f>IF(AND(Stamoplysninger!$B$26="Der er indgået lokalaftale omkring weekendtillæg(Kræver aftale med TR/FSL). Weekendtimerne udbetales.",I25="X"),K25,0)</f>
        <v>0</v>
      </c>
      <c r="GA25" s="665">
        <f>IF(AND(AND(Stamoplysninger!$B$26="Der er indgået lokalaftale omkring weekendtillæg(Kræver aftale med TR/FSL). Weekendtimerne udbetales.",I25="X",C25="ikke relevant")),K25,0)</f>
        <v>0</v>
      </c>
      <c r="GB25" s="279">
        <f>IF(AND(Stamoplysninger!$B$26="Der er indgået lokalaftale omkring weekendtimer og weekendtillæg.(Kræver aftale med TR/FSL).",I25="X"),K25,0)</f>
        <v>0</v>
      </c>
      <c r="GC25" s="665">
        <f>IF(AND(AND(Stamoplysninger!$B$26="Der er indgået lokalaftale omkring weekendtimer og weekendtillæg.(Kræver aftale med TR/FSL).",I25="X",C25="ikke relevant")),K25,0)</f>
        <v>0</v>
      </c>
    </row>
    <row r="26" spans="1:185">
      <c r="A26" s="241">
        <f t="shared" si="18"/>
        <v>18</v>
      </c>
      <c r="B26" s="127" t="str">
        <f t="shared" si="0"/>
        <v>fr</v>
      </c>
      <c r="C26" s="128" t="s">
        <v>210</v>
      </c>
      <c r="D26" s="129" t="str">
        <f t="shared" si="1"/>
        <v/>
      </c>
      <c r="E26" s="932" t="s">
        <v>140</v>
      </c>
      <c r="F26" s="933"/>
      <c r="G26" s="934"/>
      <c r="H26" s="294"/>
      <c r="I26" s="519"/>
      <c r="J26" s="407"/>
      <c r="K26" s="374"/>
      <c r="L26" s="374"/>
      <c r="M26" s="374"/>
      <c r="N26" s="313">
        <f t="shared" si="19"/>
        <v>0</v>
      </c>
      <c r="O26" s="313">
        <f t="shared" si="20"/>
        <v>0</v>
      </c>
      <c r="P26" s="313">
        <f>IF(Stamoplysninger!$H$29="JA",Oktober!DG26,CX26)</f>
        <v>0</v>
      </c>
      <c r="Q26" s="313">
        <f t="shared" si="21"/>
        <v>0</v>
      </c>
      <c r="R26" s="314"/>
      <c r="S26" s="319"/>
      <c r="T26" s="320"/>
      <c r="U26" s="320"/>
      <c r="V26" s="429"/>
      <c r="W26" s="406"/>
      <c r="X26" s="633"/>
      <c r="Y26">
        <f t="shared" si="22"/>
        <v>0</v>
      </c>
      <c r="Z26">
        <f t="shared" si="2"/>
        <v>0</v>
      </c>
      <c r="AA26" s="1">
        <f t="shared" si="3"/>
        <v>0</v>
      </c>
      <c r="AB26" s="1">
        <f t="shared" si="4"/>
        <v>0</v>
      </c>
      <c r="AC26" s="1">
        <f t="shared" si="5"/>
        <v>0</v>
      </c>
      <c r="AD26" s="1">
        <f t="shared" si="6"/>
        <v>0</v>
      </c>
      <c r="AE26" s="1">
        <f t="shared" si="7"/>
        <v>0</v>
      </c>
      <c r="AF26" s="1">
        <f>IF(C26="Orlov",7.4*Stamoplysninger!$E$15,0)</f>
        <v>0</v>
      </c>
      <c r="AG26" t="str">
        <f>IF(AND(C26="Skema 1",B26="ma"),Arbejdstidsoversigt!$E$72,"")</f>
        <v/>
      </c>
      <c r="AH26" t="str">
        <f>IF(AND(C26="Skema 1",B26="ti"),Arbejdstidsoversigt!$E$73,"")</f>
        <v/>
      </c>
      <c r="AI26" t="str">
        <f>IF(AND(C26="Skema 1",B26="on"),Arbejdstidsoversigt!$E$74,"")</f>
        <v/>
      </c>
      <c r="AJ26" t="str">
        <f>IF(AND(C26="Skema 1",B26="to"),Arbejdstidsoversigt!$E$75,"")</f>
        <v/>
      </c>
      <c r="AK26" t="str">
        <f>IF(AND(C26="Skema 1",B26="fr"),Arbejdstidsoversigt!$E$76,"")</f>
        <v/>
      </c>
      <c r="AL26" t="str">
        <f>IF(AND(C26="Skema 2",B26="ma"),Arbejdstidsoversigt!$E$81,"")</f>
        <v/>
      </c>
      <c r="AM26" t="str">
        <f>IF(AND(C26="Skema 2",B26="ti"),Arbejdstidsoversigt!$E$82,"")</f>
        <v/>
      </c>
      <c r="AN26" t="str">
        <f>IF(AND(C26="Skema 2",B26="on"),Arbejdstidsoversigt!$E$83,"")</f>
        <v/>
      </c>
      <c r="AO26" t="str">
        <f>IF(AND(C26="Skema 2",B26="to"),Arbejdstidsoversigt!$E$84,"")</f>
        <v/>
      </c>
      <c r="AP26" t="str">
        <f>IF(AND(C26="Skema 2",B26="fr"),Arbejdstidsoversigt!$E$85,"")</f>
        <v/>
      </c>
      <c r="AQ26" t="str">
        <f>IF(AND(C26="Skema 3",B26="ma"),Arbejdstidsoversigt!$E$90,"")</f>
        <v/>
      </c>
      <c r="AR26" t="str">
        <f>IF(AND(C26="Skema 3",B26="ti"),Arbejdstidsoversigt!$E$91,"")</f>
        <v/>
      </c>
      <c r="AS26" t="str">
        <f>IF(AND(C26="Skema 3",B26="on"),Arbejdstidsoversigt!$E$92,"")</f>
        <v/>
      </c>
      <c r="AT26" t="str">
        <f>IF(AND(C26="Skema 3",B26="to"),Arbejdstidsoversigt!$E$93,"")</f>
        <v/>
      </c>
      <c r="AU26" t="str">
        <f>IF(AND(C26="Skema 3",B26="fr"),Arbejdstidsoversigt!$E$94,"")</f>
        <v/>
      </c>
      <c r="AV26" t="str">
        <f>IF(AND(C26="Skema 4",B26="ma"),Arbejdstidsoversigt!$E$99,"")</f>
        <v/>
      </c>
      <c r="AW26" t="str">
        <f>IF(AND(C26="Skema 4",B26="ti"),Arbejdstidsoversigt!$E$100,"")</f>
        <v/>
      </c>
      <c r="AX26" t="str">
        <f>IF(AND(C26="Skema 4",B26="on"),Arbejdstidsoversigt!$E$101,"")</f>
        <v/>
      </c>
      <c r="AY26" t="str">
        <f>IF(AND(C26="Skema 4",B26="to"),Arbejdstidsoversigt!$E$102,"")</f>
        <v/>
      </c>
      <c r="AZ26" t="str">
        <f>IF(AND(C26="Skema 4",B26="fr"),Arbejdstidsoversigt!$E$103,"")</f>
        <v/>
      </c>
      <c r="BA26" s="1">
        <f t="shared" si="23"/>
        <v>0</v>
      </c>
      <c r="BB26" s="226">
        <f t="shared" si="8"/>
        <v>0</v>
      </c>
      <c r="BC26" s="1">
        <f t="shared" si="24"/>
        <v>0</v>
      </c>
      <c r="BD26" s="1">
        <f t="shared" si="9"/>
        <v>0</v>
      </c>
      <c r="BE26" s="1">
        <f t="shared" si="10"/>
        <v>0</v>
      </c>
      <c r="BF26" s="1">
        <f t="shared" si="11"/>
        <v>0</v>
      </c>
      <c r="BG26" s="209" t="str">
        <f>IF(AND(C26="Skema 1",B26="ma"),Skemaoplysninger!$E$30,"")</f>
        <v/>
      </c>
      <c r="BH26" s="209" t="str">
        <f>IF(AND(C26="Skema 1",B26="ti"),Skemaoplysninger!$G$30,"")</f>
        <v/>
      </c>
      <c r="BI26" s="209" t="str">
        <f>IF(AND(C26="Skema 1",B26="on"),Skemaoplysninger!$I$30,"")</f>
        <v/>
      </c>
      <c r="BJ26" s="209" t="str">
        <f>IF(AND(C26="Skema 1",B26="to"),Skemaoplysninger!$K$30,"")</f>
        <v/>
      </c>
      <c r="BK26" s="209" t="str">
        <f>IF(AND(C26="Skema 1",B26="fr"),Skemaoplysninger!$M$30,"")</f>
        <v/>
      </c>
      <c r="BL26" s="209" t="str">
        <f>IF(AND(C26="Skema 2",B26="ma"),Skemaoplysninger!$S$30,"")</f>
        <v/>
      </c>
      <c r="BM26" s="209" t="str">
        <f>IF(AND(C26="Skema 2",B26="ti"),Skemaoplysninger!$U$30,"")</f>
        <v/>
      </c>
      <c r="BN26" s="209" t="str">
        <f>IF(AND(C26="Skema 2",B26="on"),Skemaoplysninger!$W$30,"")</f>
        <v/>
      </c>
      <c r="BO26" s="209" t="str">
        <f>IF(AND(C26="Skema 2",B26="to"),Skemaoplysninger!$Y$30,"")</f>
        <v/>
      </c>
      <c r="BP26" s="209" t="str">
        <f>IF(AND(C26="Skema 2",B26="fr"),Skemaoplysninger!$AA$30,"")</f>
        <v/>
      </c>
      <c r="BQ26" s="209" t="str">
        <f>IF(AND(C26="Skema 3",B26="ma"),Skemaoplysninger!$AG$30,"")</f>
        <v/>
      </c>
      <c r="BR26" s="209" t="str">
        <f>IF(AND(C26="Skema 3",B26="ti"),Skemaoplysninger!$AI$30,"")</f>
        <v/>
      </c>
      <c r="BS26" s="209" t="str">
        <f>IF(AND(C26="Skema 3",B26="on"),Skemaoplysninger!$AK$30,"")</f>
        <v/>
      </c>
      <c r="BT26" s="209" t="str">
        <f>IF(AND(C26="Skema 3",B26="to"),Skemaoplysninger!$AM$30,"")</f>
        <v/>
      </c>
      <c r="BU26" s="209" t="str">
        <f>IF(AND(C26="Skema 3",B26="fr"),Skemaoplysninger!$AO$30,"")</f>
        <v/>
      </c>
      <c r="BV26" s="209" t="str">
        <f>IF(AND(C26="Skema 4",B26="ma"),Skemaoplysninger!$AU$30,"")</f>
        <v/>
      </c>
      <c r="BW26" s="209" t="str">
        <f>IF(AND(C26="Skema 4",B26="ti"),Skemaoplysninger!$AW$30,"")</f>
        <v/>
      </c>
      <c r="BX26" s="209" t="str">
        <f>IF(AND(C26="Skema 4",B26="on"),Skemaoplysninger!$AY$30,"")</f>
        <v/>
      </c>
      <c r="BY26" s="209" t="str">
        <f>IF(AND(C26="Skema 4",B26="to"),Skemaoplysninger!$BA$30,"")</f>
        <v/>
      </c>
      <c r="BZ26" s="209" t="str">
        <f>IF(AND(C26="Skema 4",B26="fr"),Skemaoplysninger!$BC$30,"")</f>
        <v/>
      </c>
      <c r="CA26" s="1">
        <f t="shared" si="25"/>
        <v>0</v>
      </c>
      <c r="CB26" s="1">
        <f t="shared" si="12"/>
        <v>0</v>
      </c>
      <c r="CC26" s="1">
        <f t="shared" si="13"/>
        <v>0</v>
      </c>
      <c r="CD26" s="209" t="str">
        <f>IF(AND(C26="Skema 1",B26="ma"),Skemaoplysninger!$E$31,"")</f>
        <v/>
      </c>
      <c r="CE26" s="209" t="str">
        <f>IF(AND(C26="Skema 1",B26="ti"),Skemaoplysninger!$G$31,"")</f>
        <v/>
      </c>
      <c r="CF26" s="209" t="str">
        <f>IF(AND(C26="Skema 1",B26="on"),Skemaoplysninger!$I$31,"")</f>
        <v/>
      </c>
      <c r="CG26" s="209" t="str">
        <f>IF(AND(C26="Skema 1",B26="to"),Skemaoplysninger!$K$31,"")</f>
        <v/>
      </c>
      <c r="CH26" s="209" t="str">
        <f>IF(AND(C26="Skema 1",B26="fr"),Skemaoplysninger!$M$31,"")</f>
        <v/>
      </c>
      <c r="CI26" s="209" t="str">
        <f>IF(AND(C26="Skema 2",B26="ma"),Skemaoplysninger!$S$31,"")</f>
        <v/>
      </c>
      <c r="CJ26" s="209" t="str">
        <f>IF(AND(C26="Skema 2",B26="ti"),Skemaoplysninger!$U$31,"")</f>
        <v/>
      </c>
      <c r="CK26" s="209" t="str">
        <f>IF(AND(C26="Skema 2",B26="on"),Skemaoplysninger!$W$31,"")</f>
        <v/>
      </c>
      <c r="CL26" s="209" t="str">
        <f>IF(AND(C26="Skema 2",B26="to"),Skemaoplysninger!$Y$31,"")</f>
        <v/>
      </c>
      <c r="CM26" s="209" t="str">
        <f>IF(AND(C26="Skema 2",B26="fr"),Skemaoplysninger!$AA$31,"")</f>
        <v/>
      </c>
      <c r="CN26" s="209" t="str">
        <f>IF(AND(C26="Skema 3",B26="ma"),Skemaoplysninger!$AG$31,"")</f>
        <v/>
      </c>
      <c r="CO26" s="209" t="str">
        <f>IF(AND(C26="Skema 3",B26="ti"),Skemaoplysninger!$AI$31,"")</f>
        <v/>
      </c>
      <c r="CP26" s="209" t="str">
        <f>IF(AND(C26="Skema 3",B26="on"),Skemaoplysninger!$AK$31,"")</f>
        <v/>
      </c>
      <c r="CQ26" s="209" t="str">
        <f>IF(AND(C26="Skema 3",B26="to"),Skemaoplysninger!$AM$31,"")</f>
        <v/>
      </c>
      <c r="CR26" s="209" t="str">
        <f>IF(AND(C26="Skema 3",B26="fr"),Skemaoplysninger!$AO$31,"")</f>
        <v/>
      </c>
      <c r="CS26" s="209" t="str">
        <f>IF(AND(C26="Skema 4",B26="ma"),Skemaoplysninger!$AU$31,"")</f>
        <v/>
      </c>
      <c r="CT26" s="209" t="str">
        <f>IF(AND(C26="Skema 4",B26="ti"),Skemaoplysninger!$AW$31,"")</f>
        <v/>
      </c>
      <c r="CU26" s="209" t="str">
        <f>IF(AND(C26="Skema 4",B26="on"),Skemaoplysninger!$AY$31,"")</f>
        <v/>
      </c>
      <c r="CV26" s="209" t="str">
        <f>IF(AND(C26="Skema 4",B26="to"),Skemaoplysninger!$BA$31,"")</f>
        <v/>
      </c>
      <c r="CW26" s="209" t="str">
        <f>IF(AND(C26="Skema 4",B26="fr"),Skemaoplysninger!$BC$31,"")</f>
        <v/>
      </c>
      <c r="CX26" s="245">
        <f>IF(Stamoplysninger!$H$29="NEJ",SUM(CD26:CW26)*24+CB26+CC26,0)</f>
        <v>0</v>
      </c>
      <c r="CY26" s="245">
        <f>IF(C26="Skema 1",Stamoplysninger!$H$30/200,0)</f>
        <v>0</v>
      </c>
      <c r="CZ26" s="245">
        <f>IF(C26="Skema 2",Stamoplysninger!$H$30/200,0)</f>
        <v>0</v>
      </c>
      <c r="DA26" s="245">
        <f>IF(C26="Skema 3",Stamoplysninger!$H$30/200,0)</f>
        <v>0</v>
      </c>
      <c r="DB26" s="245">
        <f>IF(C26="Skema 4",Stamoplysninger!$H$30/200,0)</f>
        <v>0</v>
      </c>
      <c r="DC26" s="245">
        <f>IF(C26="fagdag",Stamoplysninger!$H$30/200,0)</f>
        <v>0</v>
      </c>
      <c r="DD26" s="245">
        <f>IF(C26="emnedag",Stamoplysninger!$H$30/200,0)</f>
        <v>0</v>
      </c>
      <c r="DE26" s="245">
        <f>IF(C26="lejrskole",Stamoplysninger!$H$30/200,0)</f>
        <v>0</v>
      </c>
      <c r="DF26" s="245">
        <f>IF(C26="ekskursion",Stamoplysninger!$H$30/200,0)</f>
        <v>0</v>
      </c>
      <c r="DG26" s="245">
        <f t="shared" si="26"/>
        <v>0</v>
      </c>
      <c r="DH26" t="str">
        <f t="shared" si="27"/>
        <v/>
      </c>
      <c r="DI26" t="str">
        <f t="shared" si="28"/>
        <v>Efterårsferie</v>
      </c>
      <c r="DJ26" t="str">
        <f t="shared" si="29"/>
        <v/>
      </c>
      <c r="DK26" t="str">
        <f t="shared" si="14"/>
        <v/>
      </c>
      <c r="DL26" t="str">
        <f t="shared" si="14"/>
        <v>Efterårsferie</v>
      </c>
      <c r="DM26" t="str">
        <f t="shared" si="14"/>
        <v/>
      </c>
      <c r="DN26" t="str">
        <f t="shared" si="30"/>
        <v>Efterårsferie</v>
      </c>
      <c r="DO26" s="643">
        <f>IF(AND(Stamoplysninger!$B$22="Ulempetillæg udbetales med 25% af nettotimelønnen.",H26&gt;0),(R26/4),0)</f>
        <v>0</v>
      </c>
      <c r="DP26">
        <f>IF(AND(Stamoplysninger!$B$22="Ulempetillæg udbetales med 25% af nettotimelønnen.",I26="X"),K26/4,0)</f>
        <v>0</v>
      </c>
      <c r="DQ26">
        <f>IF(AND(Stamoplysninger!$B$22="Ulempetillæg udbetales med 25% af nettotimelønnen.",U26="X"),(X26/4),0)</f>
        <v>0</v>
      </c>
      <c r="DR26">
        <f>IF(AND(AND(Stamoplysninger!$B$22="Ulempetillæg udbetales med 25% af nettotimelønnen.",S26="X",I26="X")),V26/4,0)</f>
        <v>0</v>
      </c>
      <c r="DS26" s="662">
        <f>IF(AND(Stamoplysninger!$B$22="Ulempetillæg udbetales med 25% af nettotimelønnen.",C26="ikke relevant"),(R26)/4,0)</f>
        <v>0</v>
      </c>
      <c r="DT26" s="662">
        <f>IF(AND(AND(Stamoplysninger!$B$22="Ulempetillæg udbetales med 25% af nettotimelønnen.",I26="X",C26="Ikke relevant")),K26/4,0)</f>
        <v>0</v>
      </c>
      <c r="DU26" s="662">
        <f>IF(AND(AND(Stamoplysninger!$B$22="Ulempetillæg udbetales med 25% af nettotimelønnen.",C26="ikke relevant",U26="X")),(X26/4),0)</f>
        <v>0</v>
      </c>
      <c r="DV26" s="663">
        <f>IF(AND(AND(AND(Stamoplysninger!$B$22="Ulempetillæg udbetales med 25% af nettotimelønnen.",I26="X",C26="Ikke relevant",S26="X"))),V26/4,0)</f>
        <v>0</v>
      </c>
      <c r="DW26" s="643"/>
      <c r="DZ26" s="662"/>
      <c r="EA26" s="662"/>
      <c r="EB26" s="663"/>
      <c r="EC26" s="643">
        <f>IF(AND(Stamoplysninger!$B$22="Ulempetillæg afspadseres med 25%(Kræver en aftale imellem ledelsen og den ansatte)",H26&gt;0),R26/4,0)</f>
        <v>0</v>
      </c>
      <c r="ED26">
        <f>IF(AND(Stamoplysninger!$B$22="Ulempetillæg afspadseres med 25%(Kræver en aftale imellem ledelsen og den ansatte)",I26="X"),K26/4,0)</f>
        <v>0</v>
      </c>
      <c r="EE26">
        <f>IF(AND(Stamoplysninger!$B$22="Ulempetillæg afspadseres med 25%(Kræver en aftale imellem ledelsen og den ansatte)",U26="X"),X26/4,0)</f>
        <v>0</v>
      </c>
      <c r="EF26">
        <f>IF(AND(AND(Stamoplysninger!$B$22="Ulempetillæg afspadseres med 25%(Kræver en aftale imellem ledelsen og den ansatte)",I26="X",S26="X")),V26/4,0)</f>
        <v>0</v>
      </c>
      <c r="EG26" s="662">
        <f>IF(AND(Stamoplysninger!$B$22="Ulempetillæg afspadseres med 25%(Kræver en aftale imellem ledelsen og den ansatte)",C26="ikke relevant"),(R26)/4,0)</f>
        <v>0</v>
      </c>
      <c r="EH26" s="662">
        <f>IF(AND(AND(Stamoplysninger!$B$22="Ulempetillæg afspadseres med 25%(Kræver en aftale imellem ledelsen og den ansatte)",I26="X",C26="Ikke relevant")),K26/4,0)</f>
        <v>0</v>
      </c>
      <c r="EI26" s="662">
        <f>IF(AND(AND(Stamoplysninger!$B$22="Ulempetillæg afspadseres med 25%(Kræver en aftale imellem ledelsen og den ansatte)",U26="X",C26="Ikke relevant")),X26/4,0)</f>
        <v>0</v>
      </c>
      <c r="EJ26" s="662">
        <f>IF(AND(AND(AND(Stamoplysninger!$B$22="Ulempetillæg afspadseres med 25%(Kræver en aftale imellem ledelsen og den ansatte)",I26="X",C26="Ikke relevant",S26="X"))),V26/4,0)</f>
        <v>0</v>
      </c>
      <c r="EK26" s="279">
        <f>IF(AND(Stamoplysninger!$B$26="Weekendtimer og weekendtillæg afspadseres.",I26="X"),K26*1.5,0)</f>
        <v>0</v>
      </c>
      <c r="EL26" s="247">
        <f>IF(AND(AND(Stamoplysninger!$B$26="Weekendtimer og weekendtillæg afspadseres.",I26="X",S26="X")),V26*1.5,0)</f>
        <v>0</v>
      </c>
      <c r="EM26" s="665">
        <f>IF(AND(AND(Stamoplysninger!$B$26="Weekendtimer og weekendtillæg afspadseres.",I26="X",C26="ikke relevant")),K26*1.5,0)</f>
        <v>0</v>
      </c>
      <c r="EN26" s="666">
        <f>IF(AND(AND(AND(Stamoplysninger!$B$26="Weekendtimer og weekendtillæg afspadseres.",I26="X",C26="ikke relevant",S26="X"))),(V26*1.5),0)</f>
        <v>0</v>
      </c>
      <c r="EO26" s="279">
        <f>IF(AND(Stamoplysninger!$B$26="Weekendtimer og weekendtillæg udbetales.",I26="X"),K26*1.5,0)</f>
        <v>0</v>
      </c>
      <c r="EP26" s="247">
        <f>IF(AND(AND(Stamoplysninger!$B$26="Weekendtimer og weekendtillæg udbetales.",I26="X",S26="X")),V26*1.5,0)</f>
        <v>0</v>
      </c>
      <c r="EQ26" s="665">
        <f>IF(AND(AND(Stamoplysninger!$B$26="Weekendtimer og weekendtillæg udbetales.",I26="X",C26="ikke relevant")),K26*1.5,0)</f>
        <v>0</v>
      </c>
      <c r="ER26" s="666">
        <f>IF(AND(AND(AND(Stamoplysninger!$B$26="Weekendtimer og weekendtillæg udbetales.",I26="X",C26="ikke relevant",S26="X"))),(V26*1.5),0)</f>
        <v>0</v>
      </c>
      <c r="ES26" s="279">
        <f>IF(AND(Stamoplysninger!$B$26="Der er indgået lokalaftale omkring weekendtimer.(Kræver aftale med TR/FSL) Weekendtillæg afspadseres.",I26="X"),K26*0.5,0)</f>
        <v>0</v>
      </c>
      <c r="ET26" s="247">
        <f>IF(AND(AND(Stamoplysninger!$B$26="Der er indgået lokalaftale omkring weekendtimer.(Kræver aftale med TR/FSL) Weekendtillæg afspadseres.",I26="X",S26="X")),V26*0.5,0)</f>
        <v>0</v>
      </c>
      <c r="EU26" s="665">
        <f>IF(AND(AND(Stamoplysninger!$B$26="Der er indgået lokalaftale omkring weekendtimer.(Kræver aftale med TR/FSL) Weekendtillæg afspadseres.",I26="X",C26="ikke relevant")),K26*0.5,0)</f>
        <v>0</v>
      </c>
      <c r="EV26" s="666">
        <f>IF(AND(AND(AND(Stamoplysninger!$B$26="Der er indgået lokalaftale omkring weekendtimer.(Kræver aftale med TR/FSL) Weekendtillæg afspadseres.",I26="X",C26="ikke relevant",S26="X"))),(V26*0.5),0)</f>
        <v>0</v>
      </c>
      <c r="EW26" s="279">
        <f>IF(AND(Stamoplysninger!$B$26="Der er indgået lokalaftale omkring weekendtimer(Kræver aftale med TR/FSL). Weekendtillæg udbetales.",I26="X"),K26*0.5,0)</f>
        <v>0</v>
      </c>
      <c r="EX26" s="247">
        <f>IF(AND(AND(Stamoplysninger!$B$26="Der er indgået lokalaftale omkring weekendtimer(Kræver aftale med TR/FSL). Weekendtillæg udbetales.",I26="X",S26="X")),V26*0.5,0)</f>
        <v>0</v>
      </c>
      <c r="EY26" s="665">
        <f>IF(AND(AND(Stamoplysninger!$B$26="Der er indgået lokalaftale omkring weekendtimer(Kræver aftale med TR/FSL). Weekendtillæg udbetales.",I26="X",C26="ikke relevant")),K26*0.5,0)</f>
        <v>0</v>
      </c>
      <c r="EZ26" s="666">
        <f>IF(AND(AND(AND(Stamoplysninger!$B$26="Der er indgået lokalaftale omkring weekendtimer(Kræver aftale med TR/FSL). Weekendtillæg udbetales.",I26="X",C26="ikke relevant",S26="X"))),(V26*0.5),0)</f>
        <v>0</v>
      </c>
      <c r="FA26" s="279">
        <f>IF(AND(Stamoplysninger!$B$26="Der er indgået lokalaftale omkring weekendtillæg(Kræver aftale med TR/FSL). Weekendtimerne afspadseres.",I26="X"),K26,0)</f>
        <v>0</v>
      </c>
      <c r="FB26" s="247">
        <f>IF(AND(AND(Stamoplysninger!$B$26="Der er indgået lokalaftale omkring weekendtillæg(Kræver aftale med TR/FSL). Weekendtimerne afspadseres.",I26="X",S26="X")),V26,0)</f>
        <v>0</v>
      </c>
      <c r="FC26" s="665">
        <f>IF(AND(AND(Stamoplysninger!$B$26="Der er indgået lokalaftale omkring weekendtillæg(Kræver aftale med TR/FSL). Weekendtimerne afspadseres..",I26="X",C26="ikke relevant")),K26,0)</f>
        <v>0</v>
      </c>
      <c r="FD26" s="666">
        <f>IF(AND(AND(AND(Stamoplysninger!$B$26="Der er indgået lokalaftale omkring weekendtillæg(Kræver aftale med TR/FSL). Weekendtimerne afspadseres.",I26="X",C26="ikke relevant",S26="X"))),(V26),0)</f>
        <v>0</v>
      </c>
      <c r="FE26" s="279">
        <f>IF(AND(Stamoplysninger!$B$26="Der er indgået lokalaftale omkring weekendtillæg(Kræver aftale med TR/FSL). Weekendtimerne udbetales.",I26="X"),K26,0)</f>
        <v>0</v>
      </c>
      <c r="FF26" s="247">
        <f>IF(AND(AND(Stamoplysninger!$B$26="Der er indgået lokalaftale omkring weekendtillæg(Kræver aftale med TR/FSL). Weekendtimerne udbetales.",I26="X",S26="X")),V26,0)</f>
        <v>0</v>
      </c>
      <c r="FG26" s="665">
        <f>IF(AND(AND(Stamoplysninger!$B$26="Der er indgået lokalaftale omkring weekendtillæg(Kræver aftale med TR/FSL). Weekendtimerne udbetales.",I26="X",C26="ikke relevant")),K26,0)</f>
        <v>0</v>
      </c>
      <c r="FH26" s="666">
        <f>IF(AND(AND(AND(Stamoplysninger!$B$26="Der er indgået lokalaftale omkring weekendtillæg(Kræver aftale med TR/FSL). Weekendtimerne udbetales.",I26="X",C26="ikke relevant",S26="X"))),(V26),0)</f>
        <v>0</v>
      </c>
      <c r="FI26" s="279">
        <f>IF(AND(Stamoplysninger!$B$26="Weekendtimer og weekendtillæg afspadseres.",I26="X"),K26,0)</f>
        <v>0</v>
      </c>
      <c r="FJ26" s="247">
        <f>IF(AND(Stamoplysninger!$B$26="Weekendtimer og weekendtillæg afspadseres.",Y26="X"),(AA26+AL26)/2,0)</f>
        <v>0</v>
      </c>
      <c r="FK26" s="665">
        <f>IF(AND(AND(Stamoplysninger!$B$26="Weekendtimer og weekendtillæg afspadseres.",I26="X",C26="ikke relevant")),K26,0)</f>
        <v>0</v>
      </c>
      <c r="FL26" s="666">
        <f>IF(AND(AND(Stamoplysninger!$B$26="Weekendtimer og weekendtillæg afspadseres.",Y26="X",S26="ikke relevant")),(AA26+AL26)/2,0)</f>
        <v>0</v>
      </c>
      <c r="FM26" s="279">
        <f>IF(AND(Stamoplysninger!$B$26="Der er indgået lokalaftale omkring weekendtillæg(Kræver aftale med TR/FSL). Weekendtimerne afspadseres.",I26="X"),K26,0)</f>
        <v>0</v>
      </c>
      <c r="FN26" s="665">
        <f>IF(AND(AND(Stamoplysninger!$B$26="Der er indgået lokalaftale omkring weekendtillæg(Kræver aftale med TR/FSL). Weekendtimerne afspadseres.",I26="X",C26="ikke relevant")),K26,0)</f>
        <v>0</v>
      </c>
      <c r="FO26" s="279">
        <f>IF(AND(Stamoplysninger!$B$26="Weekendtimer og weekendtillæg udbetales.",I26="X"),K26,0)</f>
        <v>0</v>
      </c>
      <c r="FP26" s="247">
        <f>IF(AND(Stamoplysninger!$B$26="Weekendtimer og weekendtillæg udbetales.",AA26="X"),(AC26+AN26)/2,0)</f>
        <v>0</v>
      </c>
      <c r="FQ26" s="665">
        <f>IF(AND(AND(Stamoplysninger!$B$26="Weekendtimer og weekendtillæg udbetales.",I26="X",C26="ikke relevant")),K26,0)</f>
        <v>0</v>
      </c>
      <c r="FR26" s="679">
        <f>IF(AND(AND(Stamoplysninger!$B$26="Weekendtimer og weekendtillæg udbetales.",AA26="X",U26="ikke relevant")),(AC26+AN26)/2,0)</f>
        <v>0</v>
      </c>
      <c r="FS26" s="279">
        <f t="shared" si="15"/>
        <v>0</v>
      </c>
      <c r="FT26" s="649">
        <f t="shared" si="16"/>
        <v>0</v>
      </c>
      <c r="FU26">
        <f t="shared" si="17"/>
        <v>0</v>
      </c>
      <c r="FV26" s="279">
        <f>IF(AND(Stamoplysninger!$B$26="Der er indgået lokalaftale omkring weekendtimer.(Kræver aftale med TR/FSL) Weekendtillæg afspadseres.",I26="X"),K26,0)</f>
        <v>0</v>
      </c>
      <c r="FW26" s="665">
        <f>IF(AND(AND(Stamoplysninger!$B$26="Der er indgået lokalaftale omkring weekendtimer.(Kræver aftale med TR/FSL) Weekendtillæg afspadseres.",I26="X",C26="ikke relevant")),K26,0)</f>
        <v>0</v>
      </c>
      <c r="FX26" s="279">
        <f>IF(AND(Stamoplysninger!$B$26="Der er indgået lokalaftale omkring weekendtimer(Kræver aftale med TR/FSL). Weekendtillæg udbetales.",I26="X"),K26,0)</f>
        <v>0</v>
      </c>
      <c r="FY26" s="665">
        <f>IF(AND(AND(Stamoplysninger!$B$26="Der er indgået lokalaftale omkring weekendtimer(Kræver aftale med TR/FSL). Weekendtillæg udbetales.",I26="X",C26="ikke relevant")),K26,0)</f>
        <v>0</v>
      </c>
      <c r="FZ26" s="279">
        <f>IF(AND(Stamoplysninger!$B$26="Der er indgået lokalaftale omkring weekendtillæg(Kræver aftale med TR/FSL). Weekendtimerne udbetales.",I26="X"),K26,0)</f>
        <v>0</v>
      </c>
      <c r="GA26" s="665">
        <f>IF(AND(AND(Stamoplysninger!$B$26="Der er indgået lokalaftale omkring weekendtillæg(Kræver aftale med TR/FSL). Weekendtimerne udbetales.",I26="X",C26="ikke relevant")),K26,0)</f>
        <v>0</v>
      </c>
      <c r="GB26" s="279">
        <f>IF(AND(Stamoplysninger!$B$26="Der er indgået lokalaftale omkring weekendtimer og weekendtillæg.(Kræver aftale med TR/FSL).",I26="X"),K26,0)</f>
        <v>0</v>
      </c>
      <c r="GC26" s="665">
        <f>IF(AND(AND(Stamoplysninger!$B$26="Der er indgået lokalaftale omkring weekendtimer og weekendtillæg.(Kræver aftale med TR/FSL).",I26="X",C26="ikke relevant")),K26,0)</f>
        <v>0</v>
      </c>
    </row>
    <row r="27" spans="1:185">
      <c r="A27" s="241">
        <f t="shared" si="18"/>
        <v>19</v>
      </c>
      <c r="B27" s="127" t="str">
        <f t="shared" si="0"/>
        <v>lø</v>
      </c>
      <c r="C27" s="128" t="s">
        <v>120</v>
      </c>
      <c r="D27" s="129" t="str">
        <f t="shared" si="1"/>
        <v/>
      </c>
      <c r="E27" s="932"/>
      <c r="F27" s="933"/>
      <c r="G27" s="934"/>
      <c r="H27" s="294"/>
      <c r="I27" s="407"/>
      <c r="J27" s="407"/>
      <c r="K27" s="374"/>
      <c r="L27" s="374"/>
      <c r="M27" s="374"/>
      <c r="N27" s="313">
        <f t="shared" si="19"/>
        <v>0</v>
      </c>
      <c r="O27" s="313">
        <f t="shared" si="20"/>
        <v>0</v>
      </c>
      <c r="P27" s="313">
        <f>IF(Stamoplysninger!$H$29="JA",Oktober!DG27,CX27)</f>
        <v>0</v>
      </c>
      <c r="Q27" s="313">
        <f t="shared" si="21"/>
        <v>0</v>
      </c>
      <c r="R27" s="314"/>
      <c r="S27" s="319"/>
      <c r="T27" s="320"/>
      <c r="U27" s="320"/>
      <c r="V27" s="429"/>
      <c r="W27" s="406"/>
      <c r="X27" s="633"/>
      <c r="Y27">
        <f t="shared" si="22"/>
        <v>0</v>
      </c>
      <c r="Z27">
        <f t="shared" si="2"/>
        <v>0</v>
      </c>
      <c r="AA27" s="1">
        <f t="shared" si="3"/>
        <v>0</v>
      </c>
      <c r="AB27" s="1">
        <f t="shared" si="4"/>
        <v>0</v>
      </c>
      <c r="AC27" s="1">
        <f t="shared" si="5"/>
        <v>0</v>
      </c>
      <c r="AD27" s="1">
        <f t="shared" si="6"/>
        <v>0</v>
      </c>
      <c r="AE27" s="1">
        <f t="shared" si="7"/>
        <v>0</v>
      </c>
      <c r="AF27" s="1">
        <f>IF(C27="Orlov",7.4*Stamoplysninger!$E$15,0)</f>
        <v>0</v>
      </c>
      <c r="AG27" t="str">
        <f>IF(AND(C27="Skema 1",B27="ma"),Arbejdstidsoversigt!$E$72,"")</f>
        <v/>
      </c>
      <c r="AH27" t="str">
        <f>IF(AND(C27="Skema 1",B27="ti"),Arbejdstidsoversigt!$E$73,"")</f>
        <v/>
      </c>
      <c r="AI27" t="str">
        <f>IF(AND(C27="Skema 1",B27="on"),Arbejdstidsoversigt!$E$74,"")</f>
        <v/>
      </c>
      <c r="AJ27" t="str">
        <f>IF(AND(C27="Skema 1",B27="to"),Arbejdstidsoversigt!$E$75,"")</f>
        <v/>
      </c>
      <c r="AK27" t="str">
        <f>IF(AND(C27="Skema 1",B27="fr"),Arbejdstidsoversigt!$E$76,"")</f>
        <v/>
      </c>
      <c r="AL27" t="str">
        <f>IF(AND(C27="Skema 2",B27="ma"),Arbejdstidsoversigt!$E$81,"")</f>
        <v/>
      </c>
      <c r="AM27" t="str">
        <f>IF(AND(C27="Skema 2",B27="ti"),Arbejdstidsoversigt!$E$82,"")</f>
        <v/>
      </c>
      <c r="AN27" t="str">
        <f>IF(AND(C27="Skema 2",B27="on"),Arbejdstidsoversigt!$E$83,"")</f>
        <v/>
      </c>
      <c r="AO27" t="str">
        <f>IF(AND(C27="Skema 2",B27="to"),Arbejdstidsoversigt!$E$84,"")</f>
        <v/>
      </c>
      <c r="AP27" t="str">
        <f>IF(AND(C27="Skema 2",B27="fr"),Arbejdstidsoversigt!$E$85,"")</f>
        <v/>
      </c>
      <c r="AQ27" t="str">
        <f>IF(AND(C27="Skema 3",B27="ma"),Arbejdstidsoversigt!$E$90,"")</f>
        <v/>
      </c>
      <c r="AR27" t="str">
        <f>IF(AND(C27="Skema 3",B27="ti"),Arbejdstidsoversigt!$E$91,"")</f>
        <v/>
      </c>
      <c r="AS27" t="str">
        <f>IF(AND(C27="Skema 3",B27="on"),Arbejdstidsoversigt!$E$92,"")</f>
        <v/>
      </c>
      <c r="AT27" t="str">
        <f>IF(AND(C27="Skema 3",B27="to"),Arbejdstidsoversigt!$E$93,"")</f>
        <v/>
      </c>
      <c r="AU27" t="str">
        <f>IF(AND(C27="Skema 3",B27="fr"),Arbejdstidsoversigt!$E$94,"")</f>
        <v/>
      </c>
      <c r="AV27" t="str">
        <f>IF(AND(C27="Skema 4",B27="ma"),Arbejdstidsoversigt!$E$99,"")</f>
        <v/>
      </c>
      <c r="AW27" t="str">
        <f>IF(AND(C27="Skema 4",B27="ti"),Arbejdstidsoversigt!$E$100,"")</f>
        <v/>
      </c>
      <c r="AX27" t="str">
        <f>IF(AND(C27="Skema 4",B27="on"),Arbejdstidsoversigt!$E$101,"")</f>
        <v/>
      </c>
      <c r="AY27" t="str">
        <f>IF(AND(C27="Skema 4",B27="to"),Arbejdstidsoversigt!$E$102,"")</f>
        <v/>
      </c>
      <c r="AZ27" t="str">
        <f>IF(AND(C27="Skema 4",B27="fr"),Arbejdstidsoversigt!$E$103,"")</f>
        <v/>
      </c>
      <c r="BA27" s="1">
        <f t="shared" si="23"/>
        <v>0</v>
      </c>
      <c r="BB27" s="226">
        <f t="shared" si="8"/>
        <v>0</v>
      </c>
      <c r="BC27" s="1">
        <f t="shared" si="24"/>
        <v>0</v>
      </c>
      <c r="BD27" s="1">
        <f t="shared" si="9"/>
        <v>0</v>
      </c>
      <c r="BE27" s="1">
        <f t="shared" si="10"/>
        <v>0</v>
      </c>
      <c r="BF27" s="1">
        <f t="shared" si="11"/>
        <v>0</v>
      </c>
      <c r="BG27" s="209" t="str">
        <f>IF(AND(C27="Skema 1",B27="ma"),Skemaoplysninger!$E$30,"")</f>
        <v/>
      </c>
      <c r="BH27" s="209" t="str">
        <f>IF(AND(C27="Skema 1",B27="ti"),Skemaoplysninger!$G$30,"")</f>
        <v/>
      </c>
      <c r="BI27" s="209" t="str">
        <f>IF(AND(C27="Skema 1",B27="on"),Skemaoplysninger!$I$30,"")</f>
        <v/>
      </c>
      <c r="BJ27" s="209" t="str">
        <f>IF(AND(C27="Skema 1",B27="to"),Skemaoplysninger!$K$30,"")</f>
        <v/>
      </c>
      <c r="BK27" s="209" t="str">
        <f>IF(AND(C27="Skema 1",B27="fr"),Skemaoplysninger!$M$30,"")</f>
        <v/>
      </c>
      <c r="BL27" s="209" t="str">
        <f>IF(AND(C27="Skema 2",B27="ma"),Skemaoplysninger!$S$30,"")</f>
        <v/>
      </c>
      <c r="BM27" s="209" t="str">
        <f>IF(AND(C27="Skema 2",B27="ti"),Skemaoplysninger!$U$30,"")</f>
        <v/>
      </c>
      <c r="BN27" s="209" t="str">
        <f>IF(AND(C27="Skema 2",B27="on"),Skemaoplysninger!$W$30,"")</f>
        <v/>
      </c>
      <c r="BO27" s="209" t="str">
        <f>IF(AND(C27="Skema 2",B27="to"),Skemaoplysninger!$Y$30,"")</f>
        <v/>
      </c>
      <c r="BP27" s="209" t="str">
        <f>IF(AND(C27="Skema 2",B27="fr"),Skemaoplysninger!$AA$30,"")</f>
        <v/>
      </c>
      <c r="BQ27" s="209" t="str">
        <f>IF(AND(C27="Skema 3",B27="ma"),Skemaoplysninger!$AG$30,"")</f>
        <v/>
      </c>
      <c r="BR27" s="209" t="str">
        <f>IF(AND(C27="Skema 3",B27="ti"),Skemaoplysninger!$AI$30,"")</f>
        <v/>
      </c>
      <c r="BS27" s="209" t="str">
        <f>IF(AND(C27="Skema 3",B27="on"),Skemaoplysninger!$AK$30,"")</f>
        <v/>
      </c>
      <c r="BT27" s="209" t="str">
        <f>IF(AND(C27="Skema 3",B27="to"),Skemaoplysninger!$AM$30,"")</f>
        <v/>
      </c>
      <c r="BU27" s="209" t="str">
        <f>IF(AND(C27="Skema 3",B27="fr"),Skemaoplysninger!$AO$30,"")</f>
        <v/>
      </c>
      <c r="BV27" s="209" t="str">
        <f>IF(AND(C27="Skema 4",B27="ma"),Skemaoplysninger!$AU$30,"")</f>
        <v/>
      </c>
      <c r="BW27" s="209" t="str">
        <f>IF(AND(C27="Skema 4",B27="ti"),Skemaoplysninger!$AW$30,"")</f>
        <v/>
      </c>
      <c r="BX27" s="209" t="str">
        <f>IF(AND(C27="Skema 4",B27="on"),Skemaoplysninger!$AY$30,"")</f>
        <v/>
      </c>
      <c r="BY27" s="209" t="str">
        <f>IF(AND(C27="Skema 4",B27="to"),Skemaoplysninger!$BA$30,"")</f>
        <v/>
      </c>
      <c r="BZ27" s="209" t="str">
        <f>IF(AND(C27="Skema 4",B27="fr"),Skemaoplysninger!$BC$30,"")</f>
        <v/>
      </c>
      <c r="CA27" s="1">
        <f t="shared" si="25"/>
        <v>0</v>
      </c>
      <c r="CB27" s="1">
        <f t="shared" si="12"/>
        <v>0</v>
      </c>
      <c r="CC27" s="1">
        <f t="shared" si="13"/>
        <v>0</v>
      </c>
      <c r="CD27" s="209" t="str">
        <f>IF(AND(C27="Skema 1",B27="ma"),Skemaoplysninger!$E$31,"")</f>
        <v/>
      </c>
      <c r="CE27" s="209" t="str">
        <f>IF(AND(C27="Skema 1",B27="ti"),Skemaoplysninger!$G$31,"")</f>
        <v/>
      </c>
      <c r="CF27" s="209" t="str">
        <f>IF(AND(C27="Skema 1",B27="on"),Skemaoplysninger!$I$31,"")</f>
        <v/>
      </c>
      <c r="CG27" s="209" t="str">
        <f>IF(AND(C27="Skema 1",B27="to"),Skemaoplysninger!$K$31,"")</f>
        <v/>
      </c>
      <c r="CH27" s="209" t="str">
        <f>IF(AND(C27="Skema 1",B27="fr"),Skemaoplysninger!$M$31,"")</f>
        <v/>
      </c>
      <c r="CI27" s="209" t="str">
        <f>IF(AND(C27="Skema 2",B27="ma"),Skemaoplysninger!$S$31,"")</f>
        <v/>
      </c>
      <c r="CJ27" s="209" t="str">
        <f>IF(AND(C27="Skema 2",B27="ti"),Skemaoplysninger!$U$31,"")</f>
        <v/>
      </c>
      <c r="CK27" s="209" t="str">
        <f>IF(AND(C27="Skema 2",B27="on"),Skemaoplysninger!$W$31,"")</f>
        <v/>
      </c>
      <c r="CL27" s="209" t="str">
        <f>IF(AND(C27="Skema 2",B27="to"),Skemaoplysninger!$Y$31,"")</f>
        <v/>
      </c>
      <c r="CM27" s="209" t="str">
        <f>IF(AND(C27="Skema 2",B27="fr"),Skemaoplysninger!$AA$31,"")</f>
        <v/>
      </c>
      <c r="CN27" s="209" t="str">
        <f>IF(AND(C27="Skema 3",B27="ma"),Skemaoplysninger!$AG$31,"")</f>
        <v/>
      </c>
      <c r="CO27" s="209" t="str">
        <f>IF(AND(C27="Skema 3",B27="ti"),Skemaoplysninger!$AI$31,"")</f>
        <v/>
      </c>
      <c r="CP27" s="209" t="str">
        <f>IF(AND(C27="Skema 3",B27="on"),Skemaoplysninger!$AK$31,"")</f>
        <v/>
      </c>
      <c r="CQ27" s="209" t="str">
        <f>IF(AND(C27="Skema 3",B27="to"),Skemaoplysninger!$AM$31,"")</f>
        <v/>
      </c>
      <c r="CR27" s="209" t="str">
        <f>IF(AND(C27="Skema 3",B27="fr"),Skemaoplysninger!$AO$31,"")</f>
        <v/>
      </c>
      <c r="CS27" s="209" t="str">
        <f>IF(AND(C27="Skema 4",B27="ma"),Skemaoplysninger!$AU$31,"")</f>
        <v/>
      </c>
      <c r="CT27" s="209" t="str">
        <f>IF(AND(C27="Skema 4",B27="ti"),Skemaoplysninger!$AW$31,"")</f>
        <v/>
      </c>
      <c r="CU27" s="209" t="str">
        <f>IF(AND(C27="Skema 4",B27="on"),Skemaoplysninger!$AY$31,"")</f>
        <v/>
      </c>
      <c r="CV27" s="209" t="str">
        <f>IF(AND(C27="Skema 4",B27="to"),Skemaoplysninger!$BA$31,"")</f>
        <v/>
      </c>
      <c r="CW27" s="209" t="str">
        <f>IF(AND(C27="Skema 4",B27="fr"),Skemaoplysninger!$BC$31,"")</f>
        <v/>
      </c>
      <c r="CX27" s="245">
        <f>IF(Stamoplysninger!$H$29="NEJ",SUM(CD27:CW27)*24+CB27+CC27,0)</f>
        <v>0</v>
      </c>
      <c r="CY27" s="245">
        <f>IF(C27="Skema 1",Stamoplysninger!$H$30/200,0)</f>
        <v>0</v>
      </c>
      <c r="CZ27" s="245">
        <f>IF(C27="Skema 2",Stamoplysninger!$H$30/200,0)</f>
        <v>0</v>
      </c>
      <c r="DA27" s="245">
        <f>IF(C27="Skema 3",Stamoplysninger!$H$30/200,0)</f>
        <v>0</v>
      </c>
      <c r="DB27" s="245">
        <f>IF(C27="Skema 4",Stamoplysninger!$H$30/200,0)</f>
        <v>0</v>
      </c>
      <c r="DC27" s="245">
        <f>IF(C27="fagdag",Stamoplysninger!$H$30/200,0)</f>
        <v>0</v>
      </c>
      <c r="DD27" s="245">
        <f>IF(C27="emnedag",Stamoplysninger!$H$30/200,0)</f>
        <v>0</v>
      </c>
      <c r="DE27" s="245">
        <f>IF(C27="lejrskole",Stamoplysninger!$H$30/200,0)</f>
        <v>0</v>
      </c>
      <c r="DF27" s="245">
        <f>IF(C27="ekskursion",Stamoplysninger!$H$30/200,0)</f>
        <v>0</v>
      </c>
      <c r="DG27" s="245">
        <f t="shared" si="26"/>
        <v>0</v>
      </c>
      <c r="DH27" t="str">
        <f t="shared" si="27"/>
        <v/>
      </c>
      <c r="DI27">
        <f t="shared" si="28"/>
        <v>0</v>
      </c>
      <c r="DJ27">
        <f t="shared" si="29"/>
        <v>0</v>
      </c>
      <c r="DK27" t="str">
        <f t="shared" si="14"/>
        <v/>
      </c>
      <c r="DL27" t="str">
        <f t="shared" si="14"/>
        <v/>
      </c>
      <c r="DM27" t="str">
        <f t="shared" si="14"/>
        <v/>
      </c>
      <c r="DN27" t="str">
        <f t="shared" si="30"/>
        <v/>
      </c>
      <c r="DO27" s="643">
        <f>IF(AND(Stamoplysninger!$B$22="Ulempetillæg udbetales med 25% af nettotimelønnen.",H27&gt;0),(R27/4),0)</f>
        <v>0</v>
      </c>
      <c r="DP27">
        <f>IF(AND(Stamoplysninger!$B$22="Ulempetillæg udbetales med 25% af nettotimelønnen.",I27="X"),K27/4,0)</f>
        <v>0</v>
      </c>
      <c r="DQ27">
        <f>IF(AND(Stamoplysninger!$B$22="Ulempetillæg udbetales med 25% af nettotimelønnen.",U27="X"),(X27/4),0)</f>
        <v>0</v>
      </c>
      <c r="DR27">
        <f>IF(AND(AND(Stamoplysninger!$B$22="Ulempetillæg udbetales med 25% af nettotimelønnen.",S27="X",I27="X")),V27/4,0)</f>
        <v>0</v>
      </c>
      <c r="DS27" s="662">
        <f>IF(AND(Stamoplysninger!$B$22="Ulempetillæg udbetales med 25% af nettotimelønnen.",C27="ikke relevant"),(R27)/4,0)</f>
        <v>0</v>
      </c>
      <c r="DT27" s="662">
        <f>IF(AND(AND(Stamoplysninger!$B$22="Ulempetillæg udbetales med 25% af nettotimelønnen.",I27="X",C27="Ikke relevant")),K27/4,0)</f>
        <v>0</v>
      </c>
      <c r="DU27" s="662">
        <f>IF(AND(AND(Stamoplysninger!$B$22="Ulempetillæg udbetales med 25% af nettotimelønnen.",C27="ikke relevant",U27="X")),(X27/4),0)</f>
        <v>0</v>
      </c>
      <c r="DV27" s="663">
        <f>IF(AND(AND(AND(Stamoplysninger!$B$22="Ulempetillæg udbetales med 25% af nettotimelønnen.",I27="X",C27="Ikke relevant",S27="X"))),V27/4,0)</f>
        <v>0</v>
      </c>
      <c r="DW27" s="643"/>
      <c r="DZ27" s="662"/>
      <c r="EA27" s="662"/>
      <c r="EB27" s="663"/>
      <c r="EC27" s="643">
        <f>IF(AND(Stamoplysninger!$B$22="Ulempetillæg afspadseres med 25%(Kræver en aftale imellem ledelsen og den ansatte)",H27&gt;0),R27/4,0)</f>
        <v>0</v>
      </c>
      <c r="ED27">
        <f>IF(AND(Stamoplysninger!$B$22="Ulempetillæg afspadseres med 25%(Kræver en aftale imellem ledelsen og den ansatte)",I27="X"),K27/4,0)</f>
        <v>0</v>
      </c>
      <c r="EE27">
        <f>IF(AND(Stamoplysninger!$B$22="Ulempetillæg afspadseres med 25%(Kræver en aftale imellem ledelsen og den ansatte)",U27="X"),X27/4,0)</f>
        <v>0</v>
      </c>
      <c r="EF27">
        <f>IF(AND(AND(Stamoplysninger!$B$22="Ulempetillæg afspadseres med 25%(Kræver en aftale imellem ledelsen og den ansatte)",I27="X",S27="X")),V27/4,0)</f>
        <v>0</v>
      </c>
      <c r="EG27" s="662">
        <f>IF(AND(Stamoplysninger!$B$22="Ulempetillæg afspadseres med 25%(Kræver en aftale imellem ledelsen og den ansatte)",C27="ikke relevant"),(R27)/4,0)</f>
        <v>0</v>
      </c>
      <c r="EH27" s="662">
        <f>IF(AND(AND(Stamoplysninger!$B$22="Ulempetillæg afspadseres med 25%(Kræver en aftale imellem ledelsen og den ansatte)",I27="X",C27="Ikke relevant")),K27/4,0)</f>
        <v>0</v>
      </c>
      <c r="EI27" s="662">
        <f>IF(AND(AND(Stamoplysninger!$B$22="Ulempetillæg afspadseres med 25%(Kræver en aftale imellem ledelsen og den ansatte)",U27="X",C27="Ikke relevant")),X27/4,0)</f>
        <v>0</v>
      </c>
      <c r="EJ27" s="662">
        <f>IF(AND(AND(AND(Stamoplysninger!$B$22="Ulempetillæg afspadseres med 25%(Kræver en aftale imellem ledelsen og den ansatte)",I27="X",C27="Ikke relevant",S27="X"))),V27/4,0)</f>
        <v>0</v>
      </c>
      <c r="EK27" s="279">
        <f>IF(AND(Stamoplysninger!$B$26="Weekendtimer og weekendtillæg afspadseres.",I27="X"),K27*1.5,0)</f>
        <v>0</v>
      </c>
      <c r="EL27" s="247">
        <f>IF(AND(AND(Stamoplysninger!$B$26="Weekendtimer og weekendtillæg afspadseres.",I27="X",S27="X")),V27*1.5,0)</f>
        <v>0</v>
      </c>
      <c r="EM27" s="665">
        <f>IF(AND(AND(Stamoplysninger!$B$26="Weekendtimer og weekendtillæg afspadseres.",I27="X",C27="ikke relevant")),K27*1.5,0)</f>
        <v>0</v>
      </c>
      <c r="EN27" s="666">
        <f>IF(AND(AND(AND(Stamoplysninger!$B$26="Weekendtimer og weekendtillæg afspadseres.",I27="X",C27="ikke relevant",S27="X"))),(V27*1.5),0)</f>
        <v>0</v>
      </c>
      <c r="EO27" s="279">
        <f>IF(AND(Stamoplysninger!$B$26="Weekendtimer og weekendtillæg udbetales.",I27="X"),K27*1.5,0)</f>
        <v>0</v>
      </c>
      <c r="EP27" s="247">
        <f>IF(AND(AND(Stamoplysninger!$B$26="Weekendtimer og weekendtillæg udbetales.",I27="X",S27="X")),V27*1.5,0)</f>
        <v>0</v>
      </c>
      <c r="EQ27" s="665">
        <f>IF(AND(AND(Stamoplysninger!$B$26="Weekendtimer og weekendtillæg udbetales.",I27="X",C27="ikke relevant")),K27*1.5,0)</f>
        <v>0</v>
      </c>
      <c r="ER27" s="666">
        <f>IF(AND(AND(AND(Stamoplysninger!$B$26="Weekendtimer og weekendtillæg udbetales.",I27="X",C27="ikke relevant",S27="X"))),(V27*1.5),0)</f>
        <v>0</v>
      </c>
      <c r="ES27" s="279">
        <f>IF(AND(Stamoplysninger!$B$26="Der er indgået lokalaftale omkring weekendtimer.(Kræver aftale med TR/FSL) Weekendtillæg afspadseres.",I27="X"),K27*0.5,0)</f>
        <v>0</v>
      </c>
      <c r="ET27" s="247">
        <f>IF(AND(AND(Stamoplysninger!$B$26="Der er indgået lokalaftale omkring weekendtimer.(Kræver aftale med TR/FSL) Weekendtillæg afspadseres.",I27="X",S27="X")),V27*0.5,0)</f>
        <v>0</v>
      </c>
      <c r="EU27" s="665">
        <f>IF(AND(AND(Stamoplysninger!$B$26="Der er indgået lokalaftale omkring weekendtimer.(Kræver aftale med TR/FSL) Weekendtillæg afspadseres.",I27="X",C27="ikke relevant")),K27*0.5,0)</f>
        <v>0</v>
      </c>
      <c r="EV27" s="666">
        <f>IF(AND(AND(AND(Stamoplysninger!$B$26="Der er indgået lokalaftale omkring weekendtimer.(Kræver aftale med TR/FSL) Weekendtillæg afspadseres.",I27="X",C27="ikke relevant",S27="X"))),(V27*0.5),0)</f>
        <v>0</v>
      </c>
      <c r="EW27" s="279">
        <f>IF(AND(Stamoplysninger!$B$26="Der er indgået lokalaftale omkring weekendtimer(Kræver aftale med TR/FSL). Weekendtillæg udbetales.",I27="X"),K27*0.5,0)</f>
        <v>0</v>
      </c>
      <c r="EX27" s="247">
        <f>IF(AND(AND(Stamoplysninger!$B$26="Der er indgået lokalaftale omkring weekendtimer(Kræver aftale med TR/FSL). Weekendtillæg udbetales.",I27="X",S27="X")),V27*0.5,0)</f>
        <v>0</v>
      </c>
      <c r="EY27" s="665">
        <f>IF(AND(AND(Stamoplysninger!$B$26="Der er indgået lokalaftale omkring weekendtimer(Kræver aftale med TR/FSL). Weekendtillæg udbetales.",I27="X",C27="ikke relevant")),K27*0.5,0)</f>
        <v>0</v>
      </c>
      <c r="EZ27" s="666">
        <f>IF(AND(AND(AND(Stamoplysninger!$B$26="Der er indgået lokalaftale omkring weekendtimer(Kræver aftale med TR/FSL). Weekendtillæg udbetales.",I27="X",C27="ikke relevant",S27="X"))),(V27*0.5),0)</f>
        <v>0</v>
      </c>
      <c r="FA27" s="279">
        <f>IF(AND(Stamoplysninger!$B$26="Der er indgået lokalaftale omkring weekendtillæg(Kræver aftale med TR/FSL). Weekendtimerne afspadseres.",I27="X"),K27,0)</f>
        <v>0</v>
      </c>
      <c r="FB27" s="247">
        <f>IF(AND(AND(Stamoplysninger!$B$26="Der er indgået lokalaftale omkring weekendtillæg(Kræver aftale med TR/FSL). Weekendtimerne afspadseres.",I27="X",S27="X")),V27,0)</f>
        <v>0</v>
      </c>
      <c r="FC27" s="665">
        <f>IF(AND(AND(Stamoplysninger!$B$26="Der er indgået lokalaftale omkring weekendtillæg(Kræver aftale med TR/FSL). Weekendtimerne afspadseres..",I27="X",C27="ikke relevant")),K27,0)</f>
        <v>0</v>
      </c>
      <c r="FD27" s="666">
        <f>IF(AND(AND(AND(Stamoplysninger!$B$26="Der er indgået lokalaftale omkring weekendtillæg(Kræver aftale med TR/FSL). Weekendtimerne afspadseres.",I27="X",C27="ikke relevant",S27="X"))),(V27),0)</f>
        <v>0</v>
      </c>
      <c r="FE27" s="279">
        <f>IF(AND(Stamoplysninger!$B$26="Der er indgået lokalaftale omkring weekendtillæg(Kræver aftale med TR/FSL). Weekendtimerne udbetales.",I27="X"),K27,0)</f>
        <v>0</v>
      </c>
      <c r="FF27" s="247">
        <f>IF(AND(AND(Stamoplysninger!$B$26="Der er indgået lokalaftale omkring weekendtillæg(Kræver aftale med TR/FSL). Weekendtimerne udbetales.",I27="X",S27="X")),V27,0)</f>
        <v>0</v>
      </c>
      <c r="FG27" s="665">
        <f>IF(AND(AND(Stamoplysninger!$B$26="Der er indgået lokalaftale omkring weekendtillæg(Kræver aftale med TR/FSL). Weekendtimerne udbetales.",I27="X",C27="ikke relevant")),K27,0)</f>
        <v>0</v>
      </c>
      <c r="FH27" s="666">
        <f>IF(AND(AND(AND(Stamoplysninger!$B$26="Der er indgået lokalaftale omkring weekendtillæg(Kræver aftale med TR/FSL). Weekendtimerne udbetales.",I27="X",C27="ikke relevant",S27="X"))),(V27),0)</f>
        <v>0</v>
      </c>
      <c r="FI27" s="279">
        <f>IF(AND(Stamoplysninger!$B$26="Weekendtimer og weekendtillæg afspadseres.",I27="X"),K27,0)</f>
        <v>0</v>
      </c>
      <c r="FJ27" s="247">
        <f>IF(AND(Stamoplysninger!$B$26="Weekendtimer og weekendtillæg afspadseres.",Y27="X"),(AA27+AL27)/2,0)</f>
        <v>0</v>
      </c>
      <c r="FK27" s="665">
        <f>IF(AND(AND(Stamoplysninger!$B$26="Weekendtimer og weekendtillæg afspadseres.",I27="X",C27="ikke relevant")),K27,0)</f>
        <v>0</v>
      </c>
      <c r="FL27" s="666">
        <f>IF(AND(AND(Stamoplysninger!$B$26="Weekendtimer og weekendtillæg afspadseres.",Y27="X",S27="ikke relevant")),(AA27+AL27)/2,0)</f>
        <v>0</v>
      </c>
      <c r="FM27" s="279">
        <f>IF(AND(Stamoplysninger!$B$26="Der er indgået lokalaftale omkring weekendtillæg(Kræver aftale med TR/FSL). Weekendtimerne afspadseres.",I27="X"),K27,0)</f>
        <v>0</v>
      </c>
      <c r="FN27" s="665">
        <f>IF(AND(AND(Stamoplysninger!$B$26="Der er indgået lokalaftale omkring weekendtillæg(Kræver aftale med TR/FSL). Weekendtimerne afspadseres.",I27="X",C27="ikke relevant")),K27,0)</f>
        <v>0</v>
      </c>
      <c r="FO27" s="279">
        <f>IF(AND(Stamoplysninger!$B$26="Weekendtimer og weekendtillæg udbetales.",I27="X"),K27,0)</f>
        <v>0</v>
      </c>
      <c r="FP27" s="247">
        <f>IF(AND(Stamoplysninger!$B$26="Weekendtimer og weekendtillæg udbetales.",AA27="X"),(AC27+AN27)/2,0)</f>
        <v>0</v>
      </c>
      <c r="FQ27" s="665">
        <f>IF(AND(AND(Stamoplysninger!$B$26="Weekendtimer og weekendtillæg udbetales.",I27="X",C27="ikke relevant")),K27,0)</f>
        <v>0</v>
      </c>
      <c r="FR27" s="679">
        <f>IF(AND(AND(Stamoplysninger!$B$26="Weekendtimer og weekendtillæg udbetales.",AA27="X",U27="ikke relevant")),(AC27+AN27)/2,0)</f>
        <v>0</v>
      </c>
      <c r="FS27" s="279">
        <f t="shared" si="15"/>
        <v>0</v>
      </c>
      <c r="FT27" s="649">
        <f t="shared" si="16"/>
        <v>0</v>
      </c>
      <c r="FU27">
        <f t="shared" si="17"/>
        <v>0</v>
      </c>
      <c r="FV27" s="279">
        <f>IF(AND(Stamoplysninger!$B$26="Der er indgået lokalaftale omkring weekendtimer.(Kræver aftale med TR/FSL) Weekendtillæg afspadseres.",I27="X"),K27,0)</f>
        <v>0</v>
      </c>
      <c r="FW27" s="665">
        <f>IF(AND(AND(Stamoplysninger!$B$26="Der er indgået lokalaftale omkring weekendtimer.(Kræver aftale med TR/FSL) Weekendtillæg afspadseres.",I27="X",C27="ikke relevant")),K27,0)</f>
        <v>0</v>
      </c>
      <c r="FX27" s="279">
        <f>IF(AND(Stamoplysninger!$B$26="Der er indgået lokalaftale omkring weekendtimer(Kræver aftale med TR/FSL). Weekendtillæg udbetales.",I27="X"),K27,0)</f>
        <v>0</v>
      </c>
      <c r="FY27" s="665">
        <f>IF(AND(AND(Stamoplysninger!$B$26="Der er indgået lokalaftale omkring weekendtimer(Kræver aftale med TR/FSL). Weekendtillæg udbetales.",I27="X",C27="ikke relevant")),K27,0)</f>
        <v>0</v>
      </c>
      <c r="FZ27" s="279">
        <f>IF(AND(Stamoplysninger!$B$26="Der er indgået lokalaftale omkring weekendtillæg(Kræver aftale med TR/FSL). Weekendtimerne udbetales.",I27="X"),K27,0)</f>
        <v>0</v>
      </c>
      <c r="GA27" s="665">
        <f>IF(AND(AND(Stamoplysninger!$B$26="Der er indgået lokalaftale omkring weekendtillæg(Kræver aftale med TR/FSL). Weekendtimerne udbetales.",I27="X",C27="ikke relevant")),K27,0)</f>
        <v>0</v>
      </c>
      <c r="GB27" s="279">
        <f>IF(AND(Stamoplysninger!$B$26="Der er indgået lokalaftale omkring weekendtimer og weekendtillæg.(Kræver aftale med TR/FSL).",I27="X"),K27,0)</f>
        <v>0</v>
      </c>
      <c r="GC27" s="665">
        <f>IF(AND(AND(Stamoplysninger!$B$26="Der er indgået lokalaftale omkring weekendtimer og weekendtillæg.(Kræver aftale med TR/FSL).",I27="X",C27="ikke relevant")),K27,0)</f>
        <v>0</v>
      </c>
    </row>
    <row r="28" spans="1:185">
      <c r="A28" s="241">
        <f t="shared" si="18"/>
        <v>20</v>
      </c>
      <c r="B28" s="127" t="str">
        <f t="shared" si="0"/>
        <v>sø</v>
      </c>
      <c r="C28" s="128" t="s">
        <v>120</v>
      </c>
      <c r="D28" s="129" t="str">
        <f t="shared" si="1"/>
        <v/>
      </c>
      <c r="E28" s="932"/>
      <c r="F28" s="933"/>
      <c r="G28" s="934"/>
      <c r="H28" s="294"/>
      <c r="I28" s="407"/>
      <c r="J28" s="407"/>
      <c r="K28" s="374"/>
      <c r="L28" s="374"/>
      <c r="M28" s="374"/>
      <c r="N28" s="313">
        <f t="shared" si="19"/>
        <v>0</v>
      </c>
      <c r="O28" s="313">
        <f t="shared" si="20"/>
        <v>0</v>
      </c>
      <c r="P28" s="313">
        <f>IF(Stamoplysninger!$H$29="JA",Oktober!DG28,CX28)</f>
        <v>0</v>
      </c>
      <c r="Q28" s="313">
        <f t="shared" si="21"/>
        <v>0</v>
      </c>
      <c r="R28" s="314"/>
      <c r="S28" s="319"/>
      <c r="T28" s="320"/>
      <c r="U28" s="320"/>
      <c r="V28" s="429"/>
      <c r="W28" s="406"/>
      <c r="X28" s="633"/>
      <c r="Y28">
        <f t="shared" si="22"/>
        <v>0</v>
      </c>
      <c r="Z28">
        <f t="shared" si="2"/>
        <v>0</v>
      </c>
      <c r="AA28" s="1">
        <f t="shared" si="3"/>
        <v>0</v>
      </c>
      <c r="AB28" s="1">
        <f t="shared" si="4"/>
        <v>0</v>
      </c>
      <c r="AC28" s="1">
        <f t="shared" si="5"/>
        <v>0</v>
      </c>
      <c r="AD28" s="1">
        <f t="shared" si="6"/>
        <v>0</v>
      </c>
      <c r="AE28" s="1">
        <f t="shared" si="7"/>
        <v>0</v>
      </c>
      <c r="AF28" s="1">
        <f>IF(C28="Orlov",7.4*Stamoplysninger!$E$15,0)</f>
        <v>0</v>
      </c>
      <c r="AG28" t="str">
        <f>IF(AND(C28="Skema 1",B28="ma"),Arbejdstidsoversigt!$E$72,"")</f>
        <v/>
      </c>
      <c r="AH28" t="str">
        <f>IF(AND(C28="Skema 1",B28="ti"),Arbejdstidsoversigt!$E$73,"")</f>
        <v/>
      </c>
      <c r="AI28" t="str">
        <f>IF(AND(C28="Skema 1",B28="on"),Arbejdstidsoversigt!$E$74,"")</f>
        <v/>
      </c>
      <c r="AJ28" t="str">
        <f>IF(AND(C28="Skema 1",B28="to"),Arbejdstidsoversigt!$E$75,"")</f>
        <v/>
      </c>
      <c r="AK28" t="str">
        <f>IF(AND(C28="Skema 1",B28="fr"),Arbejdstidsoversigt!$E$76,"")</f>
        <v/>
      </c>
      <c r="AL28" t="str">
        <f>IF(AND(C28="Skema 2",B28="ma"),Arbejdstidsoversigt!$E$81,"")</f>
        <v/>
      </c>
      <c r="AM28" t="str">
        <f>IF(AND(C28="Skema 2",B28="ti"),Arbejdstidsoversigt!$E$82,"")</f>
        <v/>
      </c>
      <c r="AN28" t="str">
        <f>IF(AND(C28="Skema 2",B28="on"),Arbejdstidsoversigt!$E$83,"")</f>
        <v/>
      </c>
      <c r="AO28" t="str">
        <f>IF(AND(C28="Skema 2",B28="to"),Arbejdstidsoversigt!$E$84,"")</f>
        <v/>
      </c>
      <c r="AP28" t="str">
        <f>IF(AND(C28="Skema 2",B28="fr"),Arbejdstidsoversigt!$E$85,"")</f>
        <v/>
      </c>
      <c r="AQ28" t="str">
        <f>IF(AND(C28="Skema 3",B28="ma"),Arbejdstidsoversigt!$E$90,"")</f>
        <v/>
      </c>
      <c r="AR28" t="str">
        <f>IF(AND(C28="Skema 3",B28="ti"),Arbejdstidsoversigt!$E$91,"")</f>
        <v/>
      </c>
      <c r="AS28" t="str">
        <f>IF(AND(C28="Skema 3",B28="on"),Arbejdstidsoversigt!$E$92,"")</f>
        <v/>
      </c>
      <c r="AT28" t="str">
        <f>IF(AND(C28="Skema 3",B28="to"),Arbejdstidsoversigt!$E$93,"")</f>
        <v/>
      </c>
      <c r="AU28" t="str">
        <f>IF(AND(C28="Skema 3",B28="fr"),Arbejdstidsoversigt!$E$94,"")</f>
        <v/>
      </c>
      <c r="AV28" t="str">
        <f>IF(AND(C28="Skema 4",B28="ma"),Arbejdstidsoversigt!$E$99,"")</f>
        <v/>
      </c>
      <c r="AW28" t="str">
        <f>IF(AND(C28="Skema 4",B28="ti"),Arbejdstidsoversigt!$E$100,"")</f>
        <v/>
      </c>
      <c r="AX28" t="str">
        <f>IF(AND(C28="Skema 4",B28="on"),Arbejdstidsoversigt!$E$101,"")</f>
        <v/>
      </c>
      <c r="AY28" t="str">
        <f>IF(AND(C28="Skema 4",B28="to"),Arbejdstidsoversigt!$E$102,"")</f>
        <v/>
      </c>
      <c r="AZ28" t="str">
        <f>IF(AND(C28="Skema 4",B28="fr"),Arbejdstidsoversigt!$E$103,"")</f>
        <v/>
      </c>
      <c r="BA28" s="1">
        <f t="shared" si="23"/>
        <v>0</v>
      </c>
      <c r="BB28" s="226">
        <f t="shared" si="8"/>
        <v>0</v>
      </c>
      <c r="BC28" s="1">
        <f t="shared" si="24"/>
        <v>0</v>
      </c>
      <c r="BD28" s="1">
        <f t="shared" si="9"/>
        <v>0</v>
      </c>
      <c r="BE28" s="1">
        <f t="shared" si="10"/>
        <v>0</v>
      </c>
      <c r="BF28" s="1">
        <f t="shared" si="11"/>
        <v>0</v>
      </c>
      <c r="BG28" s="209" t="str">
        <f>IF(AND(C28="Skema 1",B28="ma"),Skemaoplysninger!$E$30,"")</f>
        <v/>
      </c>
      <c r="BH28" s="209" t="str">
        <f>IF(AND(C28="Skema 1",B28="ti"),Skemaoplysninger!$G$30,"")</f>
        <v/>
      </c>
      <c r="BI28" s="209" t="str">
        <f>IF(AND(C28="Skema 1",B28="on"),Skemaoplysninger!$I$30,"")</f>
        <v/>
      </c>
      <c r="BJ28" s="209" t="str">
        <f>IF(AND(C28="Skema 1",B28="to"),Skemaoplysninger!$K$30,"")</f>
        <v/>
      </c>
      <c r="BK28" s="209" t="str">
        <f>IF(AND(C28="Skema 1",B28="fr"),Skemaoplysninger!$M$30,"")</f>
        <v/>
      </c>
      <c r="BL28" s="209" t="str">
        <f>IF(AND(C28="Skema 2",B28="ma"),Skemaoplysninger!$S$30,"")</f>
        <v/>
      </c>
      <c r="BM28" s="209" t="str">
        <f>IF(AND(C28="Skema 2",B28="ti"),Skemaoplysninger!$U$30,"")</f>
        <v/>
      </c>
      <c r="BN28" s="209" t="str">
        <f>IF(AND(C28="Skema 2",B28="on"),Skemaoplysninger!$W$30,"")</f>
        <v/>
      </c>
      <c r="BO28" s="209" t="str">
        <f>IF(AND(C28="Skema 2",B28="to"),Skemaoplysninger!$Y$30,"")</f>
        <v/>
      </c>
      <c r="BP28" s="209" t="str">
        <f>IF(AND(C28="Skema 2",B28="fr"),Skemaoplysninger!$AA$30,"")</f>
        <v/>
      </c>
      <c r="BQ28" s="209" t="str">
        <f>IF(AND(C28="Skema 3",B28="ma"),Skemaoplysninger!$AG$30,"")</f>
        <v/>
      </c>
      <c r="BR28" s="209" t="str">
        <f>IF(AND(C28="Skema 3",B28="ti"),Skemaoplysninger!$AI$30,"")</f>
        <v/>
      </c>
      <c r="BS28" s="209" t="str">
        <f>IF(AND(C28="Skema 3",B28="on"),Skemaoplysninger!$AK$30,"")</f>
        <v/>
      </c>
      <c r="BT28" s="209" t="str">
        <f>IF(AND(C28="Skema 3",B28="to"),Skemaoplysninger!$AM$30,"")</f>
        <v/>
      </c>
      <c r="BU28" s="209" t="str">
        <f>IF(AND(C28="Skema 3",B28="fr"),Skemaoplysninger!$AO$30,"")</f>
        <v/>
      </c>
      <c r="BV28" s="209" t="str">
        <f>IF(AND(C28="Skema 4",B28="ma"),Skemaoplysninger!$AU$30,"")</f>
        <v/>
      </c>
      <c r="BW28" s="209" t="str">
        <f>IF(AND(C28="Skema 4",B28="ti"),Skemaoplysninger!$AW$30,"")</f>
        <v/>
      </c>
      <c r="BX28" s="209" t="str">
        <f>IF(AND(C28="Skema 4",B28="on"),Skemaoplysninger!$AY$30,"")</f>
        <v/>
      </c>
      <c r="BY28" s="209" t="str">
        <f>IF(AND(C28="Skema 4",B28="to"),Skemaoplysninger!$BA$30,"")</f>
        <v/>
      </c>
      <c r="BZ28" s="209" t="str">
        <f>IF(AND(C28="Skema 4",B28="fr"),Skemaoplysninger!$BC$30,"")</f>
        <v/>
      </c>
      <c r="CA28" s="1">
        <f t="shared" si="25"/>
        <v>0</v>
      </c>
      <c r="CB28" s="1">
        <f t="shared" si="12"/>
        <v>0</v>
      </c>
      <c r="CC28" s="1">
        <f t="shared" si="13"/>
        <v>0</v>
      </c>
      <c r="CD28" s="209" t="str">
        <f>IF(AND(C28="Skema 1",B28="ma"),Skemaoplysninger!$E$31,"")</f>
        <v/>
      </c>
      <c r="CE28" s="209" t="str">
        <f>IF(AND(C28="Skema 1",B28="ti"),Skemaoplysninger!$G$31,"")</f>
        <v/>
      </c>
      <c r="CF28" s="209" t="str">
        <f>IF(AND(C28="Skema 1",B28="on"),Skemaoplysninger!$I$31,"")</f>
        <v/>
      </c>
      <c r="CG28" s="209" t="str">
        <f>IF(AND(C28="Skema 1",B28="to"),Skemaoplysninger!$K$31,"")</f>
        <v/>
      </c>
      <c r="CH28" s="209" t="str">
        <f>IF(AND(C28="Skema 1",B28="fr"),Skemaoplysninger!$M$31,"")</f>
        <v/>
      </c>
      <c r="CI28" s="209" t="str">
        <f>IF(AND(C28="Skema 2",B28="ma"),Skemaoplysninger!$S$31,"")</f>
        <v/>
      </c>
      <c r="CJ28" s="209" t="str">
        <f>IF(AND(C28="Skema 2",B28="ti"),Skemaoplysninger!$U$31,"")</f>
        <v/>
      </c>
      <c r="CK28" s="209" t="str">
        <f>IF(AND(C28="Skema 2",B28="on"),Skemaoplysninger!$W$31,"")</f>
        <v/>
      </c>
      <c r="CL28" s="209" t="str">
        <f>IF(AND(C28="Skema 2",B28="to"),Skemaoplysninger!$Y$31,"")</f>
        <v/>
      </c>
      <c r="CM28" s="209" t="str">
        <f>IF(AND(C28="Skema 2",B28="fr"),Skemaoplysninger!$AA$31,"")</f>
        <v/>
      </c>
      <c r="CN28" s="209" t="str">
        <f>IF(AND(C28="Skema 3",B28="ma"),Skemaoplysninger!$AG$31,"")</f>
        <v/>
      </c>
      <c r="CO28" s="209" t="str">
        <f>IF(AND(C28="Skema 3",B28="ti"),Skemaoplysninger!$AI$31,"")</f>
        <v/>
      </c>
      <c r="CP28" s="209" t="str">
        <f>IF(AND(C28="Skema 3",B28="on"),Skemaoplysninger!$AK$31,"")</f>
        <v/>
      </c>
      <c r="CQ28" s="209" t="str">
        <f>IF(AND(C28="Skema 3",B28="to"),Skemaoplysninger!$AM$31,"")</f>
        <v/>
      </c>
      <c r="CR28" s="209" t="str">
        <f>IF(AND(C28="Skema 3",B28="fr"),Skemaoplysninger!$AO$31,"")</f>
        <v/>
      </c>
      <c r="CS28" s="209" t="str">
        <f>IF(AND(C28="Skema 4",B28="ma"),Skemaoplysninger!$AU$31,"")</f>
        <v/>
      </c>
      <c r="CT28" s="209" t="str">
        <f>IF(AND(C28="Skema 4",B28="ti"),Skemaoplysninger!$AW$31,"")</f>
        <v/>
      </c>
      <c r="CU28" s="209" t="str">
        <f>IF(AND(C28="Skema 4",B28="on"),Skemaoplysninger!$AY$31,"")</f>
        <v/>
      </c>
      <c r="CV28" s="209" t="str">
        <f>IF(AND(C28="Skema 4",B28="to"),Skemaoplysninger!$BA$31,"")</f>
        <v/>
      </c>
      <c r="CW28" s="209" t="str">
        <f>IF(AND(C28="Skema 4",B28="fr"),Skemaoplysninger!$BC$31,"")</f>
        <v/>
      </c>
      <c r="CX28" s="245">
        <f>IF(Stamoplysninger!$H$29="NEJ",SUM(CD28:CW28)*24+CB28+CC28,0)</f>
        <v>0</v>
      </c>
      <c r="CY28" s="245">
        <f>IF(C28="Skema 1",Stamoplysninger!$H$30/200,0)</f>
        <v>0</v>
      </c>
      <c r="CZ28" s="245">
        <f>IF(C28="Skema 2",Stamoplysninger!$H$30/200,0)</f>
        <v>0</v>
      </c>
      <c r="DA28" s="245">
        <f>IF(C28="Skema 3",Stamoplysninger!$H$30/200,0)</f>
        <v>0</v>
      </c>
      <c r="DB28" s="245">
        <f>IF(C28="Skema 4",Stamoplysninger!$H$30/200,0)</f>
        <v>0</v>
      </c>
      <c r="DC28" s="245">
        <f>IF(C28="fagdag",Stamoplysninger!$H$30/200,0)</f>
        <v>0</v>
      </c>
      <c r="DD28" s="245">
        <f>IF(C28="emnedag",Stamoplysninger!$H$30/200,0)</f>
        <v>0</v>
      </c>
      <c r="DE28" s="245">
        <f>IF(C28="lejrskole",Stamoplysninger!$H$30/200,0)</f>
        <v>0</v>
      </c>
      <c r="DF28" s="245">
        <f>IF(C28="ekskursion",Stamoplysninger!$H$30/200,0)</f>
        <v>0</v>
      </c>
      <c r="DG28" s="245">
        <f t="shared" si="26"/>
        <v>0</v>
      </c>
      <c r="DH28" t="str">
        <f t="shared" si="27"/>
        <v/>
      </c>
      <c r="DI28">
        <f t="shared" si="28"/>
        <v>0</v>
      </c>
      <c r="DJ28">
        <f t="shared" si="29"/>
        <v>0</v>
      </c>
      <c r="DK28" t="str">
        <f t="shared" si="14"/>
        <v/>
      </c>
      <c r="DL28" t="str">
        <f t="shared" si="14"/>
        <v/>
      </c>
      <c r="DM28" t="str">
        <f t="shared" si="14"/>
        <v/>
      </c>
      <c r="DN28" t="str">
        <f t="shared" si="30"/>
        <v/>
      </c>
      <c r="DO28" s="643">
        <f>IF(AND(Stamoplysninger!$B$22="Ulempetillæg udbetales med 25% af nettotimelønnen.",H28&gt;0),(R28/4),0)</f>
        <v>0</v>
      </c>
      <c r="DP28">
        <f>IF(AND(Stamoplysninger!$B$22="Ulempetillæg udbetales med 25% af nettotimelønnen.",I28="X"),K28/4,0)</f>
        <v>0</v>
      </c>
      <c r="DQ28">
        <f>IF(AND(Stamoplysninger!$B$22="Ulempetillæg udbetales med 25% af nettotimelønnen.",U28="X"),(X28/4),0)</f>
        <v>0</v>
      </c>
      <c r="DR28">
        <f>IF(AND(AND(Stamoplysninger!$B$22="Ulempetillæg udbetales med 25% af nettotimelønnen.",S28="X",I28="X")),V28/4,0)</f>
        <v>0</v>
      </c>
      <c r="DS28" s="662">
        <f>IF(AND(Stamoplysninger!$B$22="Ulempetillæg udbetales med 25% af nettotimelønnen.",C28="ikke relevant"),(R28)/4,0)</f>
        <v>0</v>
      </c>
      <c r="DT28" s="662">
        <f>IF(AND(AND(Stamoplysninger!$B$22="Ulempetillæg udbetales med 25% af nettotimelønnen.",I28="X",C28="Ikke relevant")),K28/4,0)</f>
        <v>0</v>
      </c>
      <c r="DU28" s="662">
        <f>IF(AND(AND(Stamoplysninger!$B$22="Ulempetillæg udbetales med 25% af nettotimelønnen.",C28="ikke relevant",U28="X")),(X28/4),0)</f>
        <v>0</v>
      </c>
      <c r="DV28" s="663">
        <f>IF(AND(AND(AND(Stamoplysninger!$B$22="Ulempetillæg udbetales med 25% af nettotimelønnen.",I28="X",C28="Ikke relevant",S28="X"))),V28/4,0)</f>
        <v>0</v>
      </c>
      <c r="DW28" s="643"/>
      <c r="DZ28" s="662"/>
      <c r="EA28" s="662"/>
      <c r="EB28" s="663"/>
      <c r="EC28" s="643">
        <f>IF(AND(Stamoplysninger!$B$22="Ulempetillæg afspadseres med 25%(Kræver en aftale imellem ledelsen og den ansatte)",H28&gt;0),R28/4,0)</f>
        <v>0</v>
      </c>
      <c r="ED28">
        <f>IF(AND(Stamoplysninger!$B$22="Ulempetillæg afspadseres med 25%(Kræver en aftale imellem ledelsen og den ansatte)",I28="X"),K28/4,0)</f>
        <v>0</v>
      </c>
      <c r="EE28">
        <f>IF(AND(Stamoplysninger!$B$22="Ulempetillæg afspadseres med 25%(Kræver en aftale imellem ledelsen og den ansatte)",U28="X"),X28/4,0)</f>
        <v>0</v>
      </c>
      <c r="EF28">
        <f>IF(AND(AND(Stamoplysninger!$B$22="Ulempetillæg afspadseres med 25%(Kræver en aftale imellem ledelsen og den ansatte)",I28="X",S28="X")),V28/4,0)</f>
        <v>0</v>
      </c>
      <c r="EG28" s="662">
        <f>IF(AND(Stamoplysninger!$B$22="Ulempetillæg afspadseres med 25%(Kræver en aftale imellem ledelsen og den ansatte)",C28="ikke relevant"),(R28)/4,0)</f>
        <v>0</v>
      </c>
      <c r="EH28" s="662">
        <f>IF(AND(AND(Stamoplysninger!$B$22="Ulempetillæg afspadseres med 25%(Kræver en aftale imellem ledelsen og den ansatte)",I28="X",C28="Ikke relevant")),K28/4,0)</f>
        <v>0</v>
      </c>
      <c r="EI28" s="662">
        <f>IF(AND(AND(Stamoplysninger!$B$22="Ulempetillæg afspadseres med 25%(Kræver en aftale imellem ledelsen og den ansatte)",U28="X",C28="Ikke relevant")),X28/4,0)</f>
        <v>0</v>
      </c>
      <c r="EJ28" s="662">
        <f>IF(AND(AND(AND(Stamoplysninger!$B$22="Ulempetillæg afspadseres med 25%(Kræver en aftale imellem ledelsen og den ansatte)",I28="X",C28="Ikke relevant",S28="X"))),V28/4,0)</f>
        <v>0</v>
      </c>
      <c r="EK28" s="279">
        <f>IF(AND(Stamoplysninger!$B$26="Weekendtimer og weekendtillæg afspadseres.",I28="X"),K28*1.5,0)</f>
        <v>0</v>
      </c>
      <c r="EL28" s="247">
        <f>IF(AND(AND(Stamoplysninger!$B$26="Weekendtimer og weekendtillæg afspadseres.",I28="X",S28="X")),V28*1.5,0)</f>
        <v>0</v>
      </c>
      <c r="EM28" s="665">
        <f>IF(AND(AND(Stamoplysninger!$B$26="Weekendtimer og weekendtillæg afspadseres.",I28="X",C28="ikke relevant")),K28*1.5,0)</f>
        <v>0</v>
      </c>
      <c r="EN28" s="666">
        <f>IF(AND(AND(AND(Stamoplysninger!$B$26="Weekendtimer og weekendtillæg afspadseres.",I28="X",C28="ikke relevant",S28="X"))),(V28*1.5),0)</f>
        <v>0</v>
      </c>
      <c r="EO28" s="279">
        <f>IF(AND(Stamoplysninger!$B$26="Weekendtimer og weekendtillæg udbetales.",I28="X"),K28*1.5,0)</f>
        <v>0</v>
      </c>
      <c r="EP28" s="247">
        <f>IF(AND(AND(Stamoplysninger!$B$26="Weekendtimer og weekendtillæg udbetales.",I28="X",S28="X")),V28*1.5,0)</f>
        <v>0</v>
      </c>
      <c r="EQ28" s="665">
        <f>IF(AND(AND(Stamoplysninger!$B$26="Weekendtimer og weekendtillæg udbetales.",I28="X",C28="ikke relevant")),K28*1.5,0)</f>
        <v>0</v>
      </c>
      <c r="ER28" s="666">
        <f>IF(AND(AND(AND(Stamoplysninger!$B$26="Weekendtimer og weekendtillæg udbetales.",I28="X",C28="ikke relevant",S28="X"))),(V28*1.5),0)</f>
        <v>0</v>
      </c>
      <c r="ES28" s="279">
        <f>IF(AND(Stamoplysninger!$B$26="Der er indgået lokalaftale omkring weekendtimer.(Kræver aftale med TR/FSL) Weekendtillæg afspadseres.",I28="X"),K28*0.5,0)</f>
        <v>0</v>
      </c>
      <c r="ET28" s="247">
        <f>IF(AND(AND(Stamoplysninger!$B$26="Der er indgået lokalaftale omkring weekendtimer.(Kræver aftale med TR/FSL) Weekendtillæg afspadseres.",I28="X",S28="X")),V28*0.5,0)</f>
        <v>0</v>
      </c>
      <c r="EU28" s="665">
        <f>IF(AND(AND(Stamoplysninger!$B$26="Der er indgået lokalaftale omkring weekendtimer.(Kræver aftale med TR/FSL) Weekendtillæg afspadseres.",I28="X",C28="ikke relevant")),K28*0.5,0)</f>
        <v>0</v>
      </c>
      <c r="EV28" s="666">
        <f>IF(AND(AND(AND(Stamoplysninger!$B$26="Der er indgået lokalaftale omkring weekendtimer.(Kræver aftale med TR/FSL) Weekendtillæg afspadseres.",I28="X",C28="ikke relevant",S28="X"))),(V28*0.5),0)</f>
        <v>0</v>
      </c>
      <c r="EW28" s="279">
        <f>IF(AND(Stamoplysninger!$B$26="Der er indgået lokalaftale omkring weekendtimer(Kræver aftale med TR/FSL). Weekendtillæg udbetales.",I28="X"),K28*0.5,0)</f>
        <v>0</v>
      </c>
      <c r="EX28" s="247">
        <f>IF(AND(AND(Stamoplysninger!$B$26="Der er indgået lokalaftale omkring weekendtimer(Kræver aftale med TR/FSL). Weekendtillæg udbetales.",I28="X",S28="X")),V28*0.5,0)</f>
        <v>0</v>
      </c>
      <c r="EY28" s="665">
        <f>IF(AND(AND(Stamoplysninger!$B$26="Der er indgået lokalaftale omkring weekendtimer(Kræver aftale med TR/FSL). Weekendtillæg udbetales.",I28="X",C28="ikke relevant")),K28*0.5,0)</f>
        <v>0</v>
      </c>
      <c r="EZ28" s="666">
        <f>IF(AND(AND(AND(Stamoplysninger!$B$26="Der er indgået lokalaftale omkring weekendtimer(Kræver aftale med TR/FSL). Weekendtillæg udbetales.",I28="X",C28="ikke relevant",S28="X"))),(V28*0.5),0)</f>
        <v>0</v>
      </c>
      <c r="FA28" s="279">
        <f>IF(AND(Stamoplysninger!$B$26="Der er indgået lokalaftale omkring weekendtillæg(Kræver aftale med TR/FSL). Weekendtimerne afspadseres.",I28="X"),K28,0)</f>
        <v>0</v>
      </c>
      <c r="FB28" s="247">
        <f>IF(AND(AND(Stamoplysninger!$B$26="Der er indgået lokalaftale omkring weekendtillæg(Kræver aftale med TR/FSL). Weekendtimerne afspadseres.",I28="X",S28="X")),V28,0)</f>
        <v>0</v>
      </c>
      <c r="FC28" s="665">
        <f>IF(AND(AND(Stamoplysninger!$B$26="Der er indgået lokalaftale omkring weekendtillæg(Kræver aftale med TR/FSL). Weekendtimerne afspadseres..",I28="X",C28="ikke relevant")),K28,0)</f>
        <v>0</v>
      </c>
      <c r="FD28" s="666">
        <f>IF(AND(AND(AND(Stamoplysninger!$B$26="Der er indgået lokalaftale omkring weekendtillæg(Kræver aftale med TR/FSL). Weekendtimerne afspadseres.",I28="X",C28="ikke relevant",S28="X"))),(V28),0)</f>
        <v>0</v>
      </c>
      <c r="FE28" s="279">
        <f>IF(AND(Stamoplysninger!$B$26="Der er indgået lokalaftale omkring weekendtillæg(Kræver aftale med TR/FSL). Weekendtimerne udbetales.",I28="X"),K28,0)</f>
        <v>0</v>
      </c>
      <c r="FF28" s="247">
        <f>IF(AND(AND(Stamoplysninger!$B$26="Der er indgået lokalaftale omkring weekendtillæg(Kræver aftale med TR/FSL). Weekendtimerne udbetales.",I28="X",S28="X")),V28,0)</f>
        <v>0</v>
      </c>
      <c r="FG28" s="665">
        <f>IF(AND(AND(Stamoplysninger!$B$26="Der er indgået lokalaftale omkring weekendtillæg(Kræver aftale med TR/FSL). Weekendtimerne udbetales.",I28="X",C28="ikke relevant")),K28,0)</f>
        <v>0</v>
      </c>
      <c r="FH28" s="666">
        <f>IF(AND(AND(AND(Stamoplysninger!$B$26="Der er indgået lokalaftale omkring weekendtillæg(Kræver aftale med TR/FSL). Weekendtimerne udbetales.",I28="X",C28="ikke relevant",S28="X"))),(V28),0)</f>
        <v>0</v>
      </c>
      <c r="FI28" s="279">
        <f>IF(AND(Stamoplysninger!$B$26="Weekendtimer og weekendtillæg afspadseres.",I28="X"),K28,0)</f>
        <v>0</v>
      </c>
      <c r="FJ28" s="247">
        <f>IF(AND(Stamoplysninger!$B$26="Weekendtimer og weekendtillæg afspadseres.",Y28="X"),(AA28+AL28)/2,0)</f>
        <v>0</v>
      </c>
      <c r="FK28" s="665">
        <f>IF(AND(AND(Stamoplysninger!$B$26="Weekendtimer og weekendtillæg afspadseres.",I28="X",C28="ikke relevant")),K28,0)</f>
        <v>0</v>
      </c>
      <c r="FL28" s="666">
        <f>IF(AND(AND(Stamoplysninger!$B$26="Weekendtimer og weekendtillæg afspadseres.",Y28="X",S28="ikke relevant")),(AA28+AL28)/2,0)</f>
        <v>0</v>
      </c>
      <c r="FM28" s="279">
        <f>IF(AND(Stamoplysninger!$B$26="Der er indgået lokalaftale omkring weekendtillæg(Kræver aftale med TR/FSL). Weekendtimerne afspadseres.",I28="X"),K28,0)</f>
        <v>0</v>
      </c>
      <c r="FN28" s="665">
        <f>IF(AND(AND(Stamoplysninger!$B$26="Der er indgået lokalaftale omkring weekendtillæg(Kræver aftale med TR/FSL). Weekendtimerne afspadseres.",I28="X",C28="ikke relevant")),K28,0)</f>
        <v>0</v>
      </c>
      <c r="FO28" s="279">
        <f>IF(AND(Stamoplysninger!$B$26="Weekendtimer og weekendtillæg udbetales.",I28="X"),K28,0)</f>
        <v>0</v>
      </c>
      <c r="FP28" s="247">
        <f>IF(AND(Stamoplysninger!$B$26="Weekendtimer og weekendtillæg udbetales.",AA28="X"),(AC28+AN28)/2,0)</f>
        <v>0</v>
      </c>
      <c r="FQ28" s="665">
        <f>IF(AND(AND(Stamoplysninger!$B$26="Weekendtimer og weekendtillæg udbetales.",I28="X",C28="ikke relevant")),K28,0)</f>
        <v>0</v>
      </c>
      <c r="FR28" s="679">
        <f>IF(AND(AND(Stamoplysninger!$B$26="Weekendtimer og weekendtillæg udbetales.",AA28="X",U28="ikke relevant")),(AC28+AN28)/2,0)</f>
        <v>0</v>
      </c>
      <c r="FS28" s="279">
        <f t="shared" si="15"/>
        <v>0</v>
      </c>
      <c r="FT28" s="649">
        <f t="shared" si="16"/>
        <v>0</v>
      </c>
      <c r="FU28">
        <f t="shared" si="17"/>
        <v>0</v>
      </c>
      <c r="FV28" s="279">
        <f>IF(AND(Stamoplysninger!$B$26="Der er indgået lokalaftale omkring weekendtimer.(Kræver aftale med TR/FSL) Weekendtillæg afspadseres.",I28="X"),K28,0)</f>
        <v>0</v>
      </c>
      <c r="FW28" s="665">
        <f>IF(AND(AND(Stamoplysninger!$B$26="Der er indgået lokalaftale omkring weekendtimer.(Kræver aftale med TR/FSL) Weekendtillæg afspadseres.",I28="X",C28="ikke relevant")),K28,0)</f>
        <v>0</v>
      </c>
      <c r="FX28" s="279">
        <f>IF(AND(Stamoplysninger!$B$26="Der er indgået lokalaftale omkring weekendtimer(Kræver aftale med TR/FSL). Weekendtillæg udbetales.",I28="X"),K28,0)</f>
        <v>0</v>
      </c>
      <c r="FY28" s="665">
        <f>IF(AND(AND(Stamoplysninger!$B$26="Der er indgået lokalaftale omkring weekendtimer(Kræver aftale med TR/FSL). Weekendtillæg udbetales.",I28="X",C28="ikke relevant")),K28,0)</f>
        <v>0</v>
      </c>
      <c r="FZ28" s="279">
        <f>IF(AND(Stamoplysninger!$B$26="Der er indgået lokalaftale omkring weekendtillæg(Kræver aftale med TR/FSL). Weekendtimerne udbetales.",I28="X"),K28,0)</f>
        <v>0</v>
      </c>
      <c r="GA28" s="665">
        <f>IF(AND(AND(Stamoplysninger!$B$26="Der er indgået lokalaftale omkring weekendtillæg(Kræver aftale med TR/FSL). Weekendtimerne udbetales.",I28="X",C28="ikke relevant")),K28,0)</f>
        <v>0</v>
      </c>
      <c r="GB28" s="279">
        <f>IF(AND(Stamoplysninger!$B$26="Der er indgået lokalaftale omkring weekendtimer og weekendtillæg.(Kræver aftale med TR/FSL).",I28="X"),K28,0)</f>
        <v>0</v>
      </c>
      <c r="GC28" s="665">
        <f>IF(AND(AND(Stamoplysninger!$B$26="Der er indgået lokalaftale omkring weekendtimer og weekendtillæg.(Kræver aftale med TR/FSL).",I28="X",C28="ikke relevant")),K28,0)</f>
        <v>0</v>
      </c>
    </row>
    <row r="29" spans="1:185">
      <c r="A29" s="241">
        <f t="shared" si="18"/>
        <v>21</v>
      </c>
      <c r="B29" s="127" t="str">
        <f t="shared" si="0"/>
        <v>ma</v>
      </c>
      <c r="C29" s="128" t="s">
        <v>206</v>
      </c>
      <c r="D29" s="129">
        <f t="shared" si="1"/>
        <v>43</v>
      </c>
      <c r="E29" s="932"/>
      <c r="F29" s="933"/>
      <c r="G29" s="934"/>
      <c r="H29" s="294"/>
      <c r="I29" s="519"/>
      <c r="J29" s="407"/>
      <c r="K29" s="374"/>
      <c r="L29" s="374"/>
      <c r="M29" s="374"/>
      <c r="N29" s="313">
        <f t="shared" si="19"/>
        <v>0</v>
      </c>
      <c r="O29" s="313">
        <f t="shared" si="20"/>
        <v>0</v>
      </c>
      <c r="P29" s="313">
        <f>IF(Stamoplysninger!$H$29="JA",Oktober!DG29,CX29)</f>
        <v>0</v>
      </c>
      <c r="Q29" s="313">
        <f t="shared" si="21"/>
        <v>0</v>
      </c>
      <c r="R29" s="314"/>
      <c r="S29" s="319"/>
      <c r="T29" s="320"/>
      <c r="U29" s="320"/>
      <c r="V29" s="429"/>
      <c r="W29" s="406"/>
      <c r="X29" s="633"/>
      <c r="Y29">
        <f t="shared" si="22"/>
        <v>0</v>
      </c>
      <c r="Z29">
        <f t="shared" si="2"/>
        <v>0</v>
      </c>
      <c r="AA29" s="1">
        <f t="shared" si="3"/>
        <v>0</v>
      </c>
      <c r="AB29" s="1">
        <f t="shared" si="4"/>
        <v>0</v>
      </c>
      <c r="AC29" s="1">
        <f t="shared" si="5"/>
        <v>0</v>
      </c>
      <c r="AD29" s="1">
        <f t="shared" si="6"/>
        <v>0</v>
      </c>
      <c r="AE29" s="1">
        <f t="shared" si="7"/>
        <v>0</v>
      </c>
      <c r="AF29" s="1">
        <f>IF(C29="Orlov",7.4*Stamoplysninger!$E$15,0)</f>
        <v>0</v>
      </c>
      <c r="AG29">
        <f>IF(AND(C29="Skema 1",B29="ma"),Arbejdstidsoversigt!$E$72,"")</f>
        <v>0</v>
      </c>
      <c r="AH29" t="str">
        <f>IF(AND(C29="Skema 1",B29="ti"),Arbejdstidsoversigt!$E$73,"")</f>
        <v/>
      </c>
      <c r="AI29" t="str">
        <f>IF(AND(C29="Skema 1",B29="on"),Arbejdstidsoversigt!$E$74,"")</f>
        <v/>
      </c>
      <c r="AJ29" t="str">
        <f>IF(AND(C29="Skema 1",B29="to"),Arbejdstidsoversigt!$E$75,"")</f>
        <v/>
      </c>
      <c r="AK29" t="str">
        <f>IF(AND(C29="Skema 1",B29="fr"),Arbejdstidsoversigt!$E$76,"")</f>
        <v/>
      </c>
      <c r="AL29" t="str">
        <f>IF(AND(C29="Skema 2",B29="ma"),Arbejdstidsoversigt!$E$81,"")</f>
        <v/>
      </c>
      <c r="AM29" t="str">
        <f>IF(AND(C29="Skema 2",B29="ti"),Arbejdstidsoversigt!$E$82,"")</f>
        <v/>
      </c>
      <c r="AN29" t="str">
        <f>IF(AND(C29="Skema 2",B29="on"),Arbejdstidsoversigt!$E$83,"")</f>
        <v/>
      </c>
      <c r="AO29" t="str">
        <f>IF(AND(C29="Skema 2",B29="to"),Arbejdstidsoversigt!$E$84,"")</f>
        <v/>
      </c>
      <c r="AP29" t="str">
        <f>IF(AND(C29="Skema 2",B29="fr"),Arbejdstidsoversigt!$E$85,"")</f>
        <v/>
      </c>
      <c r="AQ29" t="str">
        <f>IF(AND(C29="Skema 3",B29="ma"),Arbejdstidsoversigt!$E$90,"")</f>
        <v/>
      </c>
      <c r="AR29" t="str">
        <f>IF(AND(C29="Skema 3",B29="ti"),Arbejdstidsoversigt!$E$91,"")</f>
        <v/>
      </c>
      <c r="AS29" t="str">
        <f>IF(AND(C29="Skema 3",B29="on"),Arbejdstidsoversigt!$E$92,"")</f>
        <v/>
      </c>
      <c r="AT29" t="str">
        <f>IF(AND(C29="Skema 3",B29="to"),Arbejdstidsoversigt!$E$93,"")</f>
        <v/>
      </c>
      <c r="AU29" t="str">
        <f>IF(AND(C29="Skema 3",B29="fr"),Arbejdstidsoversigt!$E$94,"")</f>
        <v/>
      </c>
      <c r="AV29" t="str">
        <f>IF(AND(C29="Skema 4",B29="ma"),Arbejdstidsoversigt!$E$99,"")</f>
        <v/>
      </c>
      <c r="AW29" t="str">
        <f>IF(AND(C29="Skema 4",B29="ti"),Arbejdstidsoversigt!$E$100,"")</f>
        <v/>
      </c>
      <c r="AX29" t="str">
        <f>IF(AND(C29="Skema 4",B29="on"),Arbejdstidsoversigt!$E$101,"")</f>
        <v/>
      </c>
      <c r="AY29" t="str">
        <f>IF(AND(C29="Skema 4",B29="to"),Arbejdstidsoversigt!$E$102,"")</f>
        <v/>
      </c>
      <c r="AZ29" t="str">
        <f>IF(AND(C29="Skema 4",B29="fr"),Arbejdstidsoversigt!$E$103,"")</f>
        <v/>
      </c>
      <c r="BA29" s="1">
        <f t="shared" si="23"/>
        <v>0</v>
      </c>
      <c r="BB29" s="226">
        <f t="shared" si="8"/>
        <v>0</v>
      </c>
      <c r="BC29" s="1">
        <f t="shared" si="24"/>
        <v>0</v>
      </c>
      <c r="BD29" s="1">
        <f t="shared" si="9"/>
        <v>0</v>
      </c>
      <c r="BE29" s="1">
        <f t="shared" si="10"/>
        <v>0</v>
      </c>
      <c r="BF29" s="1">
        <f t="shared" si="11"/>
        <v>0</v>
      </c>
      <c r="BG29" s="209">
        <f>IF(AND(C29="Skema 1",B29="ma"),Skemaoplysninger!$E$30,"")</f>
        <v>0</v>
      </c>
      <c r="BH29" s="209" t="str">
        <f>IF(AND(C29="Skema 1",B29="ti"),Skemaoplysninger!$G$30,"")</f>
        <v/>
      </c>
      <c r="BI29" s="209" t="str">
        <f>IF(AND(C29="Skema 1",B29="on"),Skemaoplysninger!$I$30,"")</f>
        <v/>
      </c>
      <c r="BJ29" s="209" t="str">
        <f>IF(AND(C29="Skema 1",B29="to"),Skemaoplysninger!$K$30,"")</f>
        <v/>
      </c>
      <c r="BK29" s="209" t="str">
        <f>IF(AND(C29="Skema 1",B29="fr"),Skemaoplysninger!$M$30,"")</f>
        <v/>
      </c>
      <c r="BL29" s="209" t="str">
        <f>IF(AND(C29="Skema 2",B29="ma"),Skemaoplysninger!$S$30,"")</f>
        <v/>
      </c>
      <c r="BM29" s="209" t="str">
        <f>IF(AND(C29="Skema 2",B29="ti"),Skemaoplysninger!$U$30,"")</f>
        <v/>
      </c>
      <c r="BN29" s="209" t="str">
        <f>IF(AND(C29="Skema 2",B29="on"),Skemaoplysninger!$W$30,"")</f>
        <v/>
      </c>
      <c r="BO29" s="209" t="str">
        <f>IF(AND(C29="Skema 2",B29="to"),Skemaoplysninger!$Y$30,"")</f>
        <v/>
      </c>
      <c r="BP29" s="209" t="str">
        <f>IF(AND(C29="Skema 2",B29="fr"),Skemaoplysninger!$AA$30,"")</f>
        <v/>
      </c>
      <c r="BQ29" s="209" t="str">
        <f>IF(AND(C29="Skema 3",B29="ma"),Skemaoplysninger!$AG$30,"")</f>
        <v/>
      </c>
      <c r="BR29" s="209" t="str">
        <f>IF(AND(C29="Skema 3",B29="ti"),Skemaoplysninger!$AI$30,"")</f>
        <v/>
      </c>
      <c r="BS29" s="209" t="str">
        <f>IF(AND(C29="Skema 3",B29="on"),Skemaoplysninger!$AK$30,"")</f>
        <v/>
      </c>
      <c r="BT29" s="209" t="str">
        <f>IF(AND(C29="Skema 3",B29="to"),Skemaoplysninger!$AM$30,"")</f>
        <v/>
      </c>
      <c r="BU29" s="209" t="str">
        <f>IF(AND(C29="Skema 3",B29="fr"),Skemaoplysninger!$AO$30,"")</f>
        <v/>
      </c>
      <c r="BV29" s="209" t="str">
        <f>IF(AND(C29="Skema 4",B29="ma"),Skemaoplysninger!$AU$30,"")</f>
        <v/>
      </c>
      <c r="BW29" s="209" t="str">
        <f>IF(AND(C29="Skema 4",B29="ti"),Skemaoplysninger!$AW$30,"")</f>
        <v/>
      </c>
      <c r="BX29" s="209" t="str">
        <f>IF(AND(C29="Skema 4",B29="on"),Skemaoplysninger!$AY$30,"")</f>
        <v/>
      </c>
      <c r="BY29" s="209" t="str">
        <f>IF(AND(C29="Skema 4",B29="to"),Skemaoplysninger!$BA$30,"")</f>
        <v/>
      </c>
      <c r="BZ29" s="209" t="str">
        <f>IF(AND(C29="Skema 4",B29="fr"),Skemaoplysninger!$BC$30,"")</f>
        <v/>
      </c>
      <c r="CA29" s="1">
        <f t="shared" si="25"/>
        <v>0</v>
      </c>
      <c r="CB29" s="1">
        <f t="shared" si="12"/>
        <v>0</v>
      </c>
      <c r="CC29" s="1">
        <f t="shared" si="13"/>
        <v>0</v>
      </c>
      <c r="CD29" s="209">
        <f>IF(AND(C29="Skema 1",B29="ma"),Skemaoplysninger!$E$31,"")</f>
        <v>0</v>
      </c>
      <c r="CE29" s="209" t="str">
        <f>IF(AND(C29="Skema 1",B29="ti"),Skemaoplysninger!$G$31,"")</f>
        <v/>
      </c>
      <c r="CF29" s="209" t="str">
        <f>IF(AND(C29="Skema 1",B29="on"),Skemaoplysninger!$I$31,"")</f>
        <v/>
      </c>
      <c r="CG29" s="209" t="str">
        <f>IF(AND(C29="Skema 1",B29="to"),Skemaoplysninger!$K$31,"")</f>
        <v/>
      </c>
      <c r="CH29" s="209" t="str">
        <f>IF(AND(C29="Skema 1",B29="fr"),Skemaoplysninger!$M$31,"")</f>
        <v/>
      </c>
      <c r="CI29" s="209" t="str">
        <f>IF(AND(C29="Skema 2",B29="ma"),Skemaoplysninger!$S$31,"")</f>
        <v/>
      </c>
      <c r="CJ29" s="209" t="str">
        <f>IF(AND(C29="Skema 2",B29="ti"),Skemaoplysninger!$U$31,"")</f>
        <v/>
      </c>
      <c r="CK29" s="209" t="str">
        <f>IF(AND(C29="Skema 2",B29="on"),Skemaoplysninger!$W$31,"")</f>
        <v/>
      </c>
      <c r="CL29" s="209" t="str">
        <f>IF(AND(C29="Skema 2",B29="to"),Skemaoplysninger!$Y$31,"")</f>
        <v/>
      </c>
      <c r="CM29" s="209" t="str">
        <f>IF(AND(C29="Skema 2",B29="fr"),Skemaoplysninger!$AA$31,"")</f>
        <v/>
      </c>
      <c r="CN29" s="209" t="str">
        <f>IF(AND(C29="Skema 3",B29="ma"),Skemaoplysninger!$AG$31,"")</f>
        <v/>
      </c>
      <c r="CO29" s="209" t="str">
        <f>IF(AND(C29="Skema 3",B29="ti"),Skemaoplysninger!$AI$31,"")</f>
        <v/>
      </c>
      <c r="CP29" s="209" t="str">
        <f>IF(AND(C29="Skema 3",B29="on"),Skemaoplysninger!$AK$31,"")</f>
        <v/>
      </c>
      <c r="CQ29" s="209" t="str">
        <f>IF(AND(C29="Skema 3",B29="to"),Skemaoplysninger!$AM$31,"")</f>
        <v/>
      </c>
      <c r="CR29" s="209" t="str">
        <f>IF(AND(C29="Skema 3",B29="fr"),Skemaoplysninger!$AO$31,"")</f>
        <v/>
      </c>
      <c r="CS29" s="209" t="str">
        <f>IF(AND(C29="Skema 4",B29="ma"),Skemaoplysninger!$AU$31,"")</f>
        <v/>
      </c>
      <c r="CT29" s="209" t="str">
        <f>IF(AND(C29="Skema 4",B29="ti"),Skemaoplysninger!$AW$31,"")</f>
        <v/>
      </c>
      <c r="CU29" s="209" t="str">
        <f>IF(AND(C29="Skema 4",B29="on"),Skemaoplysninger!$AY$31,"")</f>
        <v/>
      </c>
      <c r="CV29" s="209" t="str">
        <f>IF(AND(C29="Skema 4",B29="to"),Skemaoplysninger!$BA$31,"")</f>
        <v/>
      </c>
      <c r="CW29" s="209" t="str">
        <f>IF(AND(C29="Skema 4",B29="fr"),Skemaoplysninger!$BC$31,"")</f>
        <v/>
      </c>
      <c r="CX29" s="245">
        <f>IF(Stamoplysninger!$H$29="NEJ",SUM(CD29:CW29)*24+CB29+CC29,0)</f>
        <v>0</v>
      </c>
      <c r="CY29" s="245">
        <f>IF(C29="Skema 1",Stamoplysninger!$H$30/200,0)</f>
        <v>0</v>
      </c>
      <c r="CZ29" s="245">
        <f>IF(C29="Skema 2",Stamoplysninger!$H$30/200,0)</f>
        <v>0</v>
      </c>
      <c r="DA29" s="245">
        <f>IF(C29="Skema 3",Stamoplysninger!$H$30/200,0)</f>
        <v>0</v>
      </c>
      <c r="DB29" s="245">
        <f>IF(C29="Skema 4",Stamoplysninger!$H$30/200,0)</f>
        <v>0</v>
      </c>
      <c r="DC29" s="245">
        <f>IF(C29="fagdag",Stamoplysninger!$H$30/200,0)</f>
        <v>0</v>
      </c>
      <c r="DD29" s="245">
        <f>IF(C29="emnedag",Stamoplysninger!$H$30/200,0)</f>
        <v>0</v>
      </c>
      <c r="DE29" s="245">
        <f>IF(C29="lejrskole",Stamoplysninger!$H$30/200,0)</f>
        <v>0</v>
      </c>
      <c r="DF29" s="245">
        <f>IF(C29="ekskursion",Stamoplysninger!$H$30/200,0)</f>
        <v>0</v>
      </c>
      <c r="DG29" s="245">
        <f t="shared" si="26"/>
        <v>0</v>
      </c>
      <c r="DH29" t="str">
        <f t="shared" si="27"/>
        <v/>
      </c>
      <c r="DI29">
        <f t="shared" si="28"/>
        <v>0</v>
      </c>
      <c r="DJ29">
        <f t="shared" si="29"/>
        <v>0</v>
      </c>
      <c r="DK29" t="str">
        <f t="shared" si="14"/>
        <v/>
      </c>
      <c r="DL29" t="str">
        <f t="shared" si="14"/>
        <v/>
      </c>
      <c r="DM29" t="str">
        <f t="shared" si="14"/>
        <v/>
      </c>
      <c r="DN29" t="str">
        <f t="shared" si="30"/>
        <v/>
      </c>
      <c r="DO29" s="643">
        <f>IF(AND(Stamoplysninger!$B$22="Ulempetillæg udbetales med 25% af nettotimelønnen.",H29&gt;0),(R29/4),0)</f>
        <v>0</v>
      </c>
      <c r="DP29">
        <f>IF(AND(Stamoplysninger!$B$22="Ulempetillæg udbetales med 25% af nettotimelønnen.",I29="X"),K29/4,0)</f>
        <v>0</v>
      </c>
      <c r="DQ29">
        <f>IF(AND(Stamoplysninger!$B$22="Ulempetillæg udbetales med 25% af nettotimelønnen.",U29="X"),(X29/4),0)</f>
        <v>0</v>
      </c>
      <c r="DR29">
        <f>IF(AND(AND(Stamoplysninger!$B$22="Ulempetillæg udbetales med 25% af nettotimelønnen.",S29="X",I29="X")),V29/4,0)</f>
        <v>0</v>
      </c>
      <c r="DS29" s="662">
        <f>IF(AND(Stamoplysninger!$B$22="Ulempetillæg udbetales med 25% af nettotimelønnen.",C29="ikke relevant"),(R29)/4,0)</f>
        <v>0</v>
      </c>
      <c r="DT29" s="662">
        <f>IF(AND(AND(Stamoplysninger!$B$22="Ulempetillæg udbetales med 25% af nettotimelønnen.",I29="X",C29="Ikke relevant")),K29/4,0)</f>
        <v>0</v>
      </c>
      <c r="DU29" s="662">
        <f>IF(AND(AND(Stamoplysninger!$B$22="Ulempetillæg udbetales med 25% af nettotimelønnen.",C29="ikke relevant",U29="X")),(X29/4),0)</f>
        <v>0</v>
      </c>
      <c r="DV29" s="663">
        <f>IF(AND(AND(AND(Stamoplysninger!$B$22="Ulempetillæg udbetales med 25% af nettotimelønnen.",I29="X",C29="Ikke relevant",S29="X"))),V29/4,0)</f>
        <v>0</v>
      </c>
      <c r="DW29" s="643"/>
      <c r="DZ29" s="662"/>
      <c r="EA29" s="662"/>
      <c r="EB29" s="663"/>
      <c r="EC29" s="643">
        <f>IF(AND(Stamoplysninger!$B$22="Ulempetillæg afspadseres med 25%(Kræver en aftale imellem ledelsen og den ansatte)",H29&gt;0),R29/4,0)</f>
        <v>0</v>
      </c>
      <c r="ED29">
        <f>IF(AND(Stamoplysninger!$B$22="Ulempetillæg afspadseres med 25%(Kræver en aftale imellem ledelsen og den ansatte)",I29="X"),K29/4,0)</f>
        <v>0</v>
      </c>
      <c r="EE29">
        <f>IF(AND(Stamoplysninger!$B$22="Ulempetillæg afspadseres med 25%(Kræver en aftale imellem ledelsen og den ansatte)",U29="X"),X29/4,0)</f>
        <v>0</v>
      </c>
      <c r="EF29">
        <f>IF(AND(AND(Stamoplysninger!$B$22="Ulempetillæg afspadseres med 25%(Kræver en aftale imellem ledelsen og den ansatte)",I29="X",S29="X")),V29/4,0)</f>
        <v>0</v>
      </c>
      <c r="EG29" s="662">
        <f>IF(AND(Stamoplysninger!$B$22="Ulempetillæg afspadseres med 25%(Kræver en aftale imellem ledelsen og den ansatte)",C29="ikke relevant"),(R29)/4,0)</f>
        <v>0</v>
      </c>
      <c r="EH29" s="662">
        <f>IF(AND(AND(Stamoplysninger!$B$22="Ulempetillæg afspadseres med 25%(Kræver en aftale imellem ledelsen og den ansatte)",I29="X",C29="Ikke relevant")),K29/4,0)</f>
        <v>0</v>
      </c>
      <c r="EI29" s="662">
        <f>IF(AND(AND(Stamoplysninger!$B$22="Ulempetillæg afspadseres med 25%(Kræver en aftale imellem ledelsen og den ansatte)",U29="X",C29="Ikke relevant")),X29/4,0)</f>
        <v>0</v>
      </c>
      <c r="EJ29" s="662">
        <f>IF(AND(AND(AND(Stamoplysninger!$B$22="Ulempetillæg afspadseres med 25%(Kræver en aftale imellem ledelsen og den ansatte)",I29="X",C29="Ikke relevant",S29="X"))),V29/4,0)</f>
        <v>0</v>
      </c>
      <c r="EK29" s="279">
        <f>IF(AND(Stamoplysninger!$B$26="Weekendtimer og weekendtillæg afspadseres.",I29="X"),K29*1.5,0)</f>
        <v>0</v>
      </c>
      <c r="EL29" s="247">
        <f>IF(AND(AND(Stamoplysninger!$B$26="Weekendtimer og weekendtillæg afspadseres.",I29="X",S29="X")),V29*1.5,0)</f>
        <v>0</v>
      </c>
      <c r="EM29" s="665">
        <f>IF(AND(AND(Stamoplysninger!$B$26="Weekendtimer og weekendtillæg afspadseres.",I29="X",C29="ikke relevant")),K29*1.5,0)</f>
        <v>0</v>
      </c>
      <c r="EN29" s="666">
        <f>IF(AND(AND(AND(Stamoplysninger!$B$26="Weekendtimer og weekendtillæg afspadseres.",I29="X",C29="ikke relevant",S29="X"))),(V29*1.5),0)</f>
        <v>0</v>
      </c>
      <c r="EO29" s="279">
        <f>IF(AND(Stamoplysninger!$B$26="Weekendtimer og weekendtillæg udbetales.",I29="X"),K29*1.5,0)</f>
        <v>0</v>
      </c>
      <c r="EP29" s="247">
        <f>IF(AND(AND(Stamoplysninger!$B$26="Weekendtimer og weekendtillæg udbetales.",I29="X",S29="X")),V29*1.5,0)</f>
        <v>0</v>
      </c>
      <c r="EQ29" s="665">
        <f>IF(AND(AND(Stamoplysninger!$B$26="Weekendtimer og weekendtillæg udbetales.",I29="X",C29="ikke relevant")),K29*1.5,0)</f>
        <v>0</v>
      </c>
      <c r="ER29" s="666">
        <f>IF(AND(AND(AND(Stamoplysninger!$B$26="Weekendtimer og weekendtillæg udbetales.",I29="X",C29="ikke relevant",S29="X"))),(V29*1.5),0)</f>
        <v>0</v>
      </c>
      <c r="ES29" s="279">
        <f>IF(AND(Stamoplysninger!$B$26="Der er indgået lokalaftale omkring weekendtimer.(Kræver aftale med TR/FSL) Weekendtillæg afspadseres.",I29="X"),K29*0.5,0)</f>
        <v>0</v>
      </c>
      <c r="ET29" s="247">
        <f>IF(AND(AND(Stamoplysninger!$B$26="Der er indgået lokalaftale omkring weekendtimer.(Kræver aftale med TR/FSL) Weekendtillæg afspadseres.",I29="X",S29="X")),V29*0.5,0)</f>
        <v>0</v>
      </c>
      <c r="EU29" s="665">
        <f>IF(AND(AND(Stamoplysninger!$B$26="Der er indgået lokalaftale omkring weekendtimer.(Kræver aftale med TR/FSL) Weekendtillæg afspadseres.",I29="X",C29="ikke relevant")),K29*0.5,0)</f>
        <v>0</v>
      </c>
      <c r="EV29" s="666">
        <f>IF(AND(AND(AND(Stamoplysninger!$B$26="Der er indgået lokalaftale omkring weekendtimer.(Kræver aftale med TR/FSL) Weekendtillæg afspadseres.",I29="X",C29="ikke relevant",S29="X"))),(V29*0.5),0)</f>
        <v>0</v>
      </c>
      <c r="EW29" s="279">
        <f>IF(AND(Stamoplysninger!$B$26="Der er indgået lokalaftale omkring weekendtimer(Kræver aftale med TR/FSL). Weekendtillæg udbetales.",I29="X"),K29*0.5,0)</f>
        <v>0</v>
      </c>
      <c r="EX29" s="247">
        <f>IF(AND(AND(Stamoplysninger!$B$26="Der er indgået lokalaftale omkring weekendtimer(Kræver aftale med TR/FSL). Weekendtillæg udbetales.",I29="X",S29="X")),V29*0.5,0)</f>
        <v>0</v>
      </c>
      <c r="EY29" s="665">
        <f>IF(AND(AND(Stamoplysninger!$B$26="Der er indgået lokalaftale omkring weekendtimer(Kræver aftale med TR/FSL). Weekendtillæg udbetales.",I29="X",C29="ikke relevant")),K29*0.5,0)</f>
        <v>0</v>
      </c>
      <c r="EZ29" s="666">
        <f>IF(AND(AND(AND(Stamoplysninger!$B$26="Der er indgået lokalaftale omkring weekendtimer(Kræver aftale med TR/FSL). Weekendtillæg udbetales.",I29="X",C29="ikke relevant",S29="X"))),(V29*0.5),0)</f>
        <v>0</v>
      </c>
      <c r="FA29" s="279">
        <f>IF(AND(Stamoplysninger!$B$26="Der er indgået lokalaftale omkring weekendtillæg(Kræver aftale med TR/FSL). Weekendtimerne afspadseres.",I29="X"),K29,0)</f>
        <v>0</v>
      </c>
      <c r="FB29" s="247">
        <f>IF(AND(AND(Stamoplysninger!$B$26="Der er indgået lokalaftale omkring weekendtillæg(Kræver aftale med TR/FSL). Weekendtimerne afspadseres.",I29="X",S29="X")),V29,0)</f>
        <v>0</v>
      </c>
      <c r="FC29" s="665">
        <f>IF(AND(AND(Stamoplysninger!$B$26="Der er indgået lokalaftale omkring weekendtillæg(Kræver aftale med TR/FSL). Weekendtimerne afspadseres..",I29="X",C29="ikke relevant")),K29,0)</f>
        <v>0</v>
      </c>
      <c r="FD29" s="666">
        <f>IF(AND(AND(AND(Stamoplysninger!$B$26="Der er indgået lokalaftale omkring weekendtillæg(Kræver aftale med TR/FSL). Weekendtimerne afspadseres.",I29="X",C29="ikke relevant",S29="X"))),(V29),0)</f>
        <v>0</v>
      </c>
      <c r="FE29" s="279">
        <f>IF(AND(Stamoplysninger!$B$26="Der er indgået lokalaftale omkring weekendtillæg(Kræver aftale med TR/FSL). Weekendtimerne udbetales.",I29="X"),K29,0)</f>
        <v>0</v>
      </c>
      <c r="FF29" s="247">
        <f>IF(AND(AND(Stamoplysninger!$B$26="Der er indgået lokalaftale omkring weekendtillæg(Kræver aftale med TR/FSL). Weekendtimerne udbetales.",I29="X",S29="X")),V29,0)</f>
        <v>0</v>
      </c>
      <c r="FG29" s="665">
        <f>IF(AND(AND(Stamoplysninger!$B$26="Der er indgået lokalaftale omkring weekendtillæg(Kræver aftale med TR/FSL). Weekendtimerne udbetales.",I29="X",C29="ikke relevant")),K29,0)</f>
        <v>0</v>
      </c>
      <c r="FH29" s="666">
        <f>IF(AND(AND(AND(Stamoplysninger!$B$26="Der er indgået lokalaftale omkring weekendtillæg(Kræver aftale med TR/FSL). Weekendtimerne udbetales.",I29="X",C29="ikke relevant",S29="X"))),(V29),0)</f>
        <v>0</v>
      </c>
      <c r="FI29" s="279">
        <f>IF(AND(Stamoplysninger!$B$26="Weekendtimer og weekendtillæg afspadseres.",I29="X"),K29,0)</f>
        <v>0</v>
      </c>
      <c r="FJ29" s="247">
        <f>IF(AND(Stamoplysninger!$B$26="Weekendtimer og weekendtillæg afspadseres.",Y29="X"),(AA29+AL29)/2,0)</f>
        <v>0</v>
      </c>
      <c r="FK29" s="665">
        <f>IF(AND(AND(Stamoplysninger!$B$26="Weekendtimer og weekendtillæg afspadseres.",I29="X",C29="ikke relevant")),K29,0)</f>
        <v>0</v>
      </c>
      <c r="FL29" s="666">
        <f>IF(AND(AND(Stamoplysninger!$B$26="Weekendtimer og weekendtillæg afspadseres.",Y29="X",S29="ikke relevant")),(AA29+AL29)/2,0)</f>
        <v>0</v>
      </c>
      <c r="FM29" s="279">
        <f>IF(AND(Stamoplysninger!$B$26="Der er indgået lokalaftale omkring weekendtillæg(Kræver aftale med TR/FSL). Weekendtimerne afspadseres.",I29="X"),K29,0)</f>
        <v>0</v>
      </c>
      <c r="FN29" s="665">
        <f>IF(AND(AND(Stamoplysninger!$B$26="Der er indgået lokalaftale omkring weekendtillæg(Kræver aftale med TR/FSL). Weekendtimerne afspadseres.",I29="X",C29="ikke relevant")),K29,0)</f>
        <v>0</v>
      </c>
      <c r="FO29" s="279">
        <f>IF(AND(Stamoplysninger!$B$26="Weekendtimer og weekendtillæg udbetales.",I29="X"),K29,0)</f>
        <v>0</v>
      </c>
      <c r="FP29" s="247">
        <f>IF(AND(Stamoplysninger!$B$26="Weekendtimer og weekendtillæg udbetales.",AA29="X"),(AC29+AN29)/2,0)</f>
        <v>0</v>
      </c>
      <c r="FQ29" s="665">
        <f>IF(AND(AND(Stamoplysninger!$B$26="Weekendtimer og weekendtillæg udbetales.",I29="X",C29="ikke relevant")),K29,0)</f>
        <v>0</v>
      </c>
      <c r="FR29" s="679">
        <f>IF(AND(AND(Stamoplysninger!$B$26="Weekendtimer og weekendtillæg udbetales.",AA29="X",U29="ikke relevant")),(AC29+AN29)/2,0)</f>
        <v>0</v>
      </c>
      <c r="FS29" s="279">
        <f t="shared" si="15"/>
        <v>0</v>
      </c>
      <c r="FT29" s="649">
        <f t="shared" si="16"/>
        <v>0</v>
      </c>
      <c r="FU29">
        <f>IF(AND(C29="weekend",I29="X"),K29,0)</f>
        <v>0</v>
      </c>
      <c r="FV29" s="279">
        <f>IF(AND(Stamoplysninger!$B$26="Der er indgået lokalaftale omkring weekendtimer.(Kræver aftale med TR/FSL) Weekendtillæg afspadseres.",I29="X"),K29,0)</f>
        <v>0</v>
      </c>
      <c r="FW29" s="665">
        <f>IF(AND(AND(Stamoplysninger!$B$26="Der er indgået lokalaftale omkring weekendtimer.(Kræver aftale med TR/FSL) Weekendtillæg afspadseres.",I29="X",C29="ikke relevant")),K29,0)</f>
        <v>0</v>
      </c>
      <c r="FX29" s="279">
        <f>IF(AND(Stamoplysninger!$B$26="Der er indgået lokalaftale omkring weekendtimer(Kræver aftale med TR/FSL). Weekendtillæg udbetales.",I29="X"),K29,0)</f>
        <v>0</v>
      </c>
      <c r="FY29" s="665">
        <f>IF(AND(AND(Stamoplysninger!$B$26="Der er indgået lokalaftale omkring weekendtimer(Kræver aftale med TR/FSL). Weekendtillæg udbetales.",I29="X",C29="ikke relevant")),K29,0)</f>
        <v>0</v>
      </c>
      <c r="FZ29" s="279">
        <f>IF(AND(Stamoplysninger!$B$26="Der er indgået lokalaftale omkring weekendtillæg(Kræver aftale med TR/FSL). Weekendtimerne udbetales.",I29="X"),K29,0)</f>
        <v>0</v>
      </c>
      <c r="GA29" s="665">
        <f>IF(AND(AND(Stamoplysninger!$B$26="Der er indgået lokalaftale omkring weekendtillæg(Kræver aftale med TR/FSL). Weekendtimerne udbetales.",I29="X",C29="ikke relevant")),K29,0)</f>
        <v>0</v>
      </c>
      <c r="GB29" s="279">
        <f>IF(AND(Stamoplysninger!$B$26="Der er indgået lokalaftale omkring weekendtimer og weekendtillæg.(Kræver aftale med TR/FSL).",I29="X"),K29,0)</f>
        <v>0</v>
      </c>
      <c r="GC29" s="665">
        <f>IF(AND(AND(Stamoplysninger!$B$26="Der er indgået lokalaftale omkring weekendtimer og weekendtillæg.(Kræver aftale med TR/FSL).",I29="X",C29="ikke relevant")),K29,0)</f>
        <v>0</v>
      </c>
    </row>
    <row r="30" spans="1:185">
      <c r="A30" s="241">
        <f t="shared" si="18"/>
        <v>22</v>
      </c>
      <c r="B30" s="127" t="str">
        <f t="shared" si="0"/>
        <v>ti</v>
      </c>
      <c r="C30" s="128" t="s">
        <v>206</v>
      </c>
      <c r="D30" s="129" t="str">
        <f t="shared" si="1"/>
        <v/>
      </c>
      <c r="E30" s="932"/>
      <c r="F30" s="933"/>
      <c r="G30" s="934"/>
      <c r="H30" s="294"/>
      <c r="I30" s="519"/>
      <c r="J30" s="407"/>
      <c r="K30" s="374"/>
      <c r="L30" s="374"/>
      <c r="M30" s="374"/>
      <c r="N30" s="313">
        <f t="shared" si="19"/>
        <v>0</v>
      </c>
      <c r="O30" s="313">
        <f t="shared" si="20"/>
        <v>0</v>
      </c>
      <c r="P30" s="313">
        <f>IF(Stamoplysninger!$H$29="JA",Oktober!DG30,CX30)</f>
        <v>0</v>
      </c>
      <c r="Q30" s="313">
        <f t="shared" si="21"/>
        <v>0</v>
      </c>
      <c r="R30" s="314"/>
      <c r="S30" s="319"/>
      <c r="T30" s="320"/>
      <c r="U30" s="320"/>
      <c r="V30" s="429"/>
      <c r="W30" s="406"/>
      <c r="X30" s="633"/>
      <c r="Y30">
        <f t="shared" si="22"/>
        <v>0</v>
      </c>
      <c r="Z30">
        <f t="shared" si="2"/>
        <v>0</v>
      </c>
      <c r="AA30" s="1">
        <f t="shared" si="3"/>
        <v>0</v>
      </c>
      <c r="AB30" s="1">
        <f t="shared" si="4"/>
        <v>0</v>
      </c>
      <c r="AC30" s="1">
        <f t="shared" si="5"/>
        <v>0</v>
      </c>
      <c r="AD30" s="1">
        <f t="shared" si="6"/>
        <v>0</v>
      </c>
      <c r="AE30" s="1">
        <f t="shared" si="7"/>
        <v>0</v>
      </c>
      <c r="AF30" s="1">
        <f>IF(C30="Orlov",7.4*Stamoplysninger!$E$15,0)</f>
        <v>0</v>
      </c>
      <c r="AG30" t="str">
        <f>IF(AND(C30="Skema 1",B30="ma"),Arbejdstidsoversigt!$E$72,"")</f>
        <v/>
      </c>
      <c r="AH30">
        <f>IF(AND(C30="Skema 1",B30="ti"),Arbejdstidsoversigt!$E$73,"")</f>
        <v>0</v>
      </c>
      <c r="AI30" t="str">
        <f>IF(AND(C30="Skema 1",B30="on"),Arbejdstidsoversigt!$E$74,"")</f>
        <v/>
      </c>
      <c r="AJ30" t="str">
        <f>IF(AND(C30="Skema 1",B30="to"),Arbejdstidsoversigt!$E$75,"")</f>
        <v/>
      </c>
      <c r="AK30" t="str">
        <f>IF(AND(C30="Skema 1",B30="fr"),Arbejdstidsoversigt!$E$76,"")</f>
        <v/>
      </c>
      <c r="AL30" t="str">
        <f>IF(AND(C30="Skema 2",B30="ma"),Arbejdstidsoversigt!$E$81,"")</f>
        <v/>
      </c>
      <c r="AM30" t="str">
        <f>IF(AND(C30="Skema 2",B30="ti"),Arbejdstidsoversigt!$E$82,"")</f>
        <v/>
      </c>
      <c r="AN30" t="str">
        <f>IF(AND(C30="Skema 2",B30="on"),Arbejdstidsoversigt!$E$83,"")</f>
        <v/>
      </c>
      <c r="AO30" t="str">
        <f>IF(AND(C30="Skema 2",B30="to"),Arbejdstidsoversigt!$E$84,"")</f>
        <v/>
      </c>
      <c r="AP30" t="str">
        <f>IF(AND(C30="Skema 2",B30="fr"),Arbejdstidsoversigt!$E$85,"")</f>
        <v/>
      </c>
      <c r="AQ30" t="str">
        <f>IF(AND(C30="Skema 3",B30="ma"),Arbejdstidsoversigt!$E$90,"")</f>
        <v/>
      </c>
      <c r="AR30" t="str">
        <f>IF(AND(C30="Skema 3",B30="ti"),Arbejdstidsoversigt!$E$91,"")</f>
        <v/>
      </c>
      <c r="AS30" t="str">
        <f>IF(AND(C30="Skema 3",B30="on"),Arbejdstidsoversigt!$E$92,"")</f>
        <v/>
      </c>
      <c r="AT30" t="str">
        <f>IF(AND(C30="Skema 3",B30="to"),Arbejdstidsoversigt!$E$93,"")</f>
        <v/>
      </c>
      <c r="AU30" t="str">
        <f>IF(AND(C30="Skema 3",B30="fr"),Arbejdstidsoversigt!$E$94,"")</f>
        <v/>
      </c>
      <c r="AV30" t="str">
        <f>IF(AND(C30="Skema 4",B30="ma"),Arbejdstidsoversigt!$E$99,"")</f>
        <v/>
      </c>
      <c r="AW30" t="str">
        <f>IF(AND(C30="Skema 4",B30="ti"),Arbejdstidsoversigt!$E$100,"")</f>
        <v/>
      </c>
      <c r="AX30" t="str">
        <f>IF(AND(C30="Skema 4",B30="on"),Arbejdstidsoversigt!$E$101,"")</f>
        <v/>
      </c>
      <c r="AY30" t="str">
        <f>IF(AND(C30="Skema 4",B30="to"),Arbejdstidsoversigt!$E$102,"")</f>
        <v/>
      </c>
      <c r="AZ30" t="str">
        <f>IF(AND(C30="Skema 4",B30="fr"),Arbejdstidsoversigt!$E$103,"")</f>
        <v/>
      </c>
      <c r="BA30" s="1">
        <f t="shared" si="23"/>
        <v>0</v>
      </c>
      <c r="BB30" s="226">
        <f t="shared" si="8"/>
        <v>0</v>
      </c>
      <c r="BC30" s="1">
        <f t="shared" si="24"/>
        <v>0</v>
      </c>
      <c r="BD30" s="1">
        <f t="shared" si="9"/>
        <v>0</v>
      </c>
      <c r="BE30" s="1">
        <f t="shared" si="10"/>
        <v>0</v>
      </c>
      <c r="BF30" s="1">
        <f t="shared" si="11"/>
        <v>0</v>
      </c>
      <c r="BG30" s="209" t="str">
        <f>IF(AND(C30="Skema 1",B30="ma"),Skemaoplysninger!$E$30,"")</f>
        <v/>
      </c>
      <c r="BH30" s="209">
        <f>IF(AND(C30="Skema 1",B30="ti"),Skemaoplysninger!$G$30,"")</f>
        <v>0</v>
      </c>
      <c r="BI30" s="209" t="str">
        <f>IF(AND(C30="Skema 1",B30="on"),Skemaoplysninger!$I$30,"")</f>
        <v/>
      </c>
      <c r="BJ30" s="209" t="str">
        <f>IF(AND(C30="Skema 1",B30="to"),Skemaoplysninger!$K$30,"")</f>
        <v/>
      </c>
      <c r="BK30" s="209" t="str">
        <f>IF(AND(C30="Skema 1",B30="fr"),Skemaoplysninger!$M$30,"")</f>
        <v/>
      </c>
      <c r="BL30" s="209" t="str">
        <f>IF(AND(C30="Skema 2",B30="ma"),Skemaoplysninger!$S$30,"")</f>
        <v/>
      </c>
      <c r="BM30" s="209" t="str">
        <f>IF(AND(C30="Skema 2",B30="ti"),Skemaoplysninger!$U$30,"")</f>
        <v/>
      </c>
      <c r="BN30" s="209" t="str">
        <f>IF(AND(C30="Skema 2",B30="on"),Skemaoplysninger!$W$30,"")</f>
        <v/>
      </c>
      <c r="BO30" s="209" t="str">
        <f>IF(AND(C30="Skema 2",B30="to"),Skemaoplysninger!$Y$30,"")</f>
        <v/>
      </c>
      <c r="BP30" s="209" t="str">
        <f>IF(AND(C30="Skema 2",B30="fr"),Skemaoplysninger!$AA$30,"")</f>
        <v/>
      </c>
      <c r="BQ30" s="209" t="str">
        <f>IF(AND(C30="Skema 3",B30="ma"),Skemaoplysninger!$AG$30,"")</f>
        <v/>
      </c>
      <c r="BR30" s="209" t="str">
        <f>IF(AND(C30="Skema 3",B30="ti"),Skemaoplysninger!$AI$30,"")</f>
        <v/>
      </c>
      <c r="BS30" s="209" t="str">
        <f>IF(AND(C30="Skema 3",B30="on"),Skemaoplysninger!$AK$30,"")</f>
        <v/>
      </c>
      <c r="BT30" s="209" t="str">
        <f>IF(AND(C30="Skema 3",B30="to"),Skemaoplysninger!$AM$30,"")</f>
        <v/>
      </c>
      <c r="BU30" s="209" t="str">
        <f>IF(AND(C30="Skema 3",B30="fr"),Skemaoplysninger!$AO$30,"")</f>
        <v/>
      </c>
      <c r="BV30" s="209" t="str">
        <f>IF(AND(C30="Skema 4",B30="ma"),Skemaoplysninger!$AU$30,"")</f>
        <v/>
      </c>
      <c r="BW30" s="209" t="str">
        <f>IF(AND(C30="Skema 4",B30="ti"),Skemaoplysninger!$AW$30,"")</f>
        <v/>
      </c>
      <c r="BX30" s="209" t="str">
        <f>IF(AND(C30="Skema 4",B30="on"),Skemaoplysninger!$AY$30,"")</f>
        <v/>
      </c>
      <c r="BY30" s="209" t="str">
        <f>IF(AND(C30="Skema 4",B30="to"),Skemaoplysninger!$BA$30,"")</f>
        <v/>
      </c>
      <c r="BZ30" s="209" t="str">
        <f>IF(AND(C30="Skema 4",B30="fr"),Skemaoplysninger!$BC$30,"")</f>
        <v/>
      </c>
      <c r="CA30" s="1">
        <f t="shared" si="25"/>
        <v>0</v>
      </c>
      <c r="CB30" s="1">
        <f t="shared" si="12"/>
        <v>0</v>
      </c>
      <c r="CC30" s="1">
        <f t="shared" si="13"/>
        <v>0</v>
      </c>
      <c r="CD30" s="209" t="str">
        <f>IF(AND(C30="Skema 1",B30="ma"),Skemaoplysninger!$E$31,"")</f>
        <v/>
      </c>
      <c r="CE30" s="209">
        <f>IF(AND(C30="Skema 1",B30="ti"),Skemaoplysninger!$G$31,"")</f>
        <v>0</v>
      </c>
      <c r="CF30" s="209" t="str">
        <f>IF(AND(C30="Skema 1",B30="on"),Skemaoplysninger!$I$31,"")</f>
        <v/>
      </c>
      <c r="CG30" s="209" t="str">
        <f>IF(AND(C30="Skema 1",B30="to"),Skemaoplysninger!$K$31,"")</f>
        <v/>
      </c>
      <c r="CH30" s="209" t="str">
        <f>IF(AND(C30="Skema 1",B30="fr"),Skemaoplysninger!$M$31,"")</f>
        <v/>
      </c>
      <c r="CI30" s="209" t="str">
        <f>IF(AND(C30="Skema 2",B30="ma"),Skemaoplysninger!$S$31,"")</f>
        <v/>
      </c>
      <c r="CJ30" s="209" t="str">
        <f>IF(AND(C30="Skema 2",B30="ti"),Skemaoplysninger!$U$31,"")</f>
        <v/>
      </c>
      <c r="CK30" s="209" t="str">
        <f>IF(AND(C30="Skema 2",B30="on"),Skemaoplysninger!$W$31,"")</f>
        <v/>
      </c>
      <c r="CL30" s="209" t="str">
        <f>IF(AND(C30="Skema 2",B30="to"),Skemaoplysninger!$Y$31,"")</f>
        <v/>
      </c>
      <c r="CM30" s="209" t="str">
        <f>IF(AND(C30="Skema 2",B30="fr"),Skemaoplysninger!$AA$31,"")</f>
        <v/>
      </c>
      <c r="CN30" s="209" t="str">
        <f>IF(AND(C30="Skema 3",B30="ma"),Skemaoplysninger!$AG$31,"")</f>
        <v/>
      </c>
      <c r="CO30" s="209" t="str">
        <f>IF(AND(C30="Skema 3",B30="ti"),Skemaoplysninger!$AI$31,"")</f>
        <v/>
      </c>
      <c r="CP30" s="209" t="str">
        <f>IF(AND(C30="Skema 3",B30="on"),Skemaoplysninger!$AK$31,"")</f>
        <v/>
      </c>
      <c r="CQ30" s="209" t="str">
        <f>IF(AND(C30="Skema 3",B30="to"),Skemaoplysninger!$AM$31,"")</f>
        <v/>
      </c>
      <c r="CR30" s="209" t="str">
        <f>IF(AND(C30="Skema 3",B30="fr"),Skemaoplysninger!$AO$31,"")</f>
        <v/>
      </c>
      <c r="CS30" s="209" t="str">
        <f>IF(AND(C30="Skema 4",B30="ma"),Skemaoplysninger!$AU$31,"")</f>
        <v/>
      </c>
      <c r="CT30" s="209" t="str">
        <f>IF(AND(C30="Skema 4",B30="ti"),Skemaoplysninger!$AW$31,"")</f>
        <v/>
      </c>
      <c r="CU30" s="209" t="str">
        <f>IF(AND(C30="Skema 4",B30="on"),Skemaoplysninger!$AY$31,"")</f>
        <v/>
      </c>
      <c r="CV30" s="209" t="str">
        <f>IF(AND(C30="Skema 4",B30="to"),Skemaoplysninger!$BA$31,"")</f>
        <v/>
      </c>
      <c r="CW30" s="209" t="str">
        <f>IF(AND(C30="Skema 4",B30="fr"),Skemaoplysninger!$BC$31,"")</f>
        <v/>
      </c>
      <c r="CX30" s="245">
        <f>IF(Stamoplysninger!$H$29="NEJ",SUM(CD30:CW30)*24+CB30+CC30,0)</f>
        <v>0</v>
      </c>
      <c r="CY30" s="245">
        <f>IF(C30="Skema 1",Stamoplysninger!$H$30/200,0)</f>
        <v>0</v>
      </c>
      <c r="CZ30" s="245">
        <f>IF(C30="Skema 2",Stamoplysninger!$H$30/200,0)</f>
        <v>0</v>
      </c>
      <c r="DA30" s="245">
        <f>IF(C30="Skema 3",Stamoplysninger!$H$30/200,0)</f>
        <v>0</v>
      </c>
      <c r="DB30" s="245">
        <f>IF(C30="Skema 4",Stamoplysninger!$H$30/200,0)</f>
        <v>0</v>
      </c>
      <c r="DC30" s="245">
        <f>IF(C30="fagdag",Stamoplysninger!$H$30/200,0)</f>
        <v>0</v>
      </c>
      <c r="DD30" s="245">
        <f>IF(C30="emnedag",Stamoplysninger!$H$30/200,0)</f>
        <v>0</v>
      </c>
      <c r="DE30" s="245">
        <f>IF(C30="lejrskole",Stamoplysninger!$H$30/200,0)</f>
        <v>0</v>
      </c>
      <c r="DF30" s="245">
        <f>IF(C30="ekskursion",Stamoplysninger!$H$30/200,0)</f>
        <v>0</v>
      </c>
      <c r="DG30" s="245">
        <f t="shared" si="26"/>
        <v>0</v>
      </c>
      <c r="DH30" t="str">
        <f t="shared" si="27"/>
        <v/>
      </c>
      <c r="DI30">
        <f t="shared" si="28"/>
        <v>0</v>
      </c>
      <c r="DJ30">
        <f t="shared" si="29"/>
        <v>0</v>
      </c>
      <c r="DK30" t="str">
        <f t="shared" si="14"/>
        <v/>
      </c>
      <c r="DL30" t="str">
        <f t="shared" si="14"/>
        <v/>
      </c>
      <c r="DM30" t="str">
        <f t="shared" si="14"/>
        <v/>
      </c>
      <c r="DN30" t="str">
        <f t="shared" si="30"/>
        <v/>
      </c>
      <c r="DO30" s="643">
        <f>IF(AND(Stamoplysninger!$B$22="Ulempetillæg udbetales med 25% af nettotimelønnen.",H30&gt;0),(R30/4),0)</f>
        <v>0</v>
      </c>
      <c r="DP30">
        <f>IF(AND(Stamoplysninger!$B$22="Ulempetillæg udbetales med 25% af nettotimelønnen.",I30="X"),K30/4,0)</f>
        <v>0</v>
      </c>
      <c r="DQ30">
        <f>IF(AND(Stamoplysninger!$B$22="Ulempetillæg udbetales med 25% af nettotimelønnen.",U30="X"),(X30/4),0)</f>
        <v>0</v>
      </c>
      <c r="DR30">
        <f>IF(AND(AND(Stamoplysninger!$B$22="Ulempetillæg udbetales med 25% af nettotimelønnen.",S30="X",I30="X")),V30/4,0)</f>
        <v>0</v>
      </c>
      <c r="DS30" s="662">
        <f>IF(AND(Stamoplysninger!$B$22="Ulempetillæg udbetales med 25% af nettotimelønnen.",C30="ikke relevant"),(R30)/4,0)</f>
        <v>0</v>
      </c>
      <c r="DT30" s="662">
        <f>IF(AND(AND(Stamoplysninger!$B$22="Ulempetillæg udbetales med 25% af nettotimelønnen.",I30="X",C30="Ikke relevant")),K30/4,0)</f>
        <v>0</v>
      </c>
      <c r="DU30" s="662">
        <f>IF(AND(AND(Stamoplysninger!$B$22="Ulempetillæg udbetales med 25% af nettotimelønnen.",C30="ikke relevant",U30="X")),(X30/4),0)</f>
        <v>0</v>
      </c>
      <c r="DV30" s="663">
        <f>IF(AND(AND(AND(Stamoplysninger!$B$22="Ulempetillæg udbetales med 25% af nettotimelønnen.",I30="X",C30="Ikke relevant",S30="X"))),V30/4,0)</f>
        <v>0</v>
      </c>
      <c r="DW30" s="643"/>
      <c r="DZ30" s="662"/>
      <c r="EA30" s="662"/>
      <c r="EB30" s="663"/>
      <c r="EC30" s="643">
        <f>IF(AND(Stamoplysninger!$B$22="Ulempetillæg afspadseres med 25%(Kræver en aftale imellem ledelsen og den ansatte)",H30&gt;0),R30/4,0)</f>
        <v>0</v>
      </c>
      <c r="ED30">
        <f>IF(AND(Stamoplysninger!$B$22="Ulempetillæg afspadseres med 25%(Kræver en aftale imellem ledelsen og den ansatte)",I30="X"),K30/4,0)</f>
        <v>0</v>
      </c>
      <c r="EE30">
        <f>IF(AND(Stamoplysninger!$B$22="Ulempetillæg afspadseres med 25%(Kræver en aftale imellem ledelsen og den ansatte)",U30="X"),X30/4,0)</f>
        <v>0</v>
      </c>
      <c r="EF30">
        <f>IF(AND(AND(Stamoplysninger!$B$22="Ulempetillæg afspadseres med 25%(Kræver en aftale imellem ledelsen og den ansatte)",I30="X",S30="X")),V30/4,0)</f>
        <v>0</v>
      </c>
      <c r="EG30" s="662">
        <f>IF(AND(Stamoplysninger!$B$22="Ulempetillæg afspadseres med 25%(Kræver en aftale imellem ledelsen og den ansatte)",C30="ikke relevant"),(R30)/4,0)</f>
        <v>0</v>
      </c>
      <c r="EH30" s="662">
        <f>IF(AND(AND(Stamoplysninger!$B$22="Ulempetillæg afspadseres med 25%(Kræver en aftale imellem ledelsen og den ansatte)",I30="X",C30="Ikke relevant")),K30/4,0)</f>
        <v>0</v>
      </c>
      <c r="EI30" s="662">
        <f>IF(AND(AND(Stamoplysninger!$B$22="Ulempetillæg afspadseres med 25%(Kræver en aftale imellem ledelsen og den ansatte)",U30="X",C30="Ikke relevant")),X30/4,0)</f>
        <v>0</v>
      </c>
      <c r="EJ30" s="662">
        <f>IF(AND(AND(AND(Stamoplysninger!$B$22="Ulempetillæg afspadseres med 25%(Kræver en aftale imellem ledelsen og den ansatte)",I30="X",C30="Ikke relevant",S30="X"))),V30/4,0)</f>
        <v>0</v>
      </c>
      <c r="EK30" s="279">
        <f>IF(AND(Stamoplysninger!$B$26="Weekendtimer og weekendtillæg afspadseres.",I30="X"),K30*1.5,0)</f>
        <v>0</v>
      </c>
      <c r="EL30" s="247">
        <f>IF(AND(AND(Stamoplysninger!$B$26="Weekendtimer og weekendtillæg afspadseres.",I30="X",S30="X")),V30*1.5,0)</f>
        <v>0</v>
      </c>
      <c r="EM30" s="665">
        <f>IF(AND(AND(Stamoplysninger!$B$26="Weekendtimer og weekendtillæg afspadseres.",I30="X",C30="ikke relevant")),K30*1.5,0)</f>
        <v>0</v>
      </c>
      <c r="EN30" s="666">
        <f>IF(AND(AND(AND(Stamoplysninger!$B$26="Weekendtimer og weekendtillæg afspadseres.",I30="X",C30="ikke relevant",S30="X"))),(V30*1.5),0)</f>
        <v>0</v>
      </c>
      <c r="EO30" s="279">
        <f>IF(AND(Stamoplysninger!$B$26="Weekendtimer og weekendtillæg udbetales.",I30="X"),K30*1.5,0)</f>
        <v>0</v>
      </c>
      <c r="EP30" s="247">
        <f>IF(AND(AND(Stamoplysninger!$B$26="Weekendtimer og weekendtillæg udbetales.",I30="X",S30="X")),V30*1.5,0)</f>
        <v>0</v>
      </c>
      <c r="EQ30" s="665">
        <f>IF(AND(AND(Stamoplysninger!$B$26="Weekendtimer og weekendtillæg udbetales.",I30="X",C30="ikke relevant")),K30*1.5,0)</f>
        <v>0</v>
      </c>
      <c r="ER30" s="666">
        <f>IF(AND(AND(AND(Stamoplysninger!$B$26="Weekendtimer og weekendtillæg udbetales.",I30="X",C30="ikke relevant",S30="X"))),(V30*1.5),0)</f>
        <v>0</v>
      </c>
      <c r="ES30" s="279">
        <f>IF(AND(Stamoplysninger!$B$26="Der er indgået lokalaftale omkring weekendtimer.(Kræver aftale med TR/FSL) Weekendtillæg afspadseres.",I30="X"),K30*0.5,0)</f>
        <v>0</v>
      </c>
      <c r="ET30" s="247">
        <f>IF(AND(AND(Stamoplysninger!$B$26="Der er indgået lokalaftale omkring weekendtimer.(Kræver aftale med TR/FSL) Weekendtillæg afspadseres.",I30="X",S30="X")),V30*0.5,0)</f>
        <v>0</v>
      </c>
      <c r="EU30" s="665">
        <f>IF(AND(AND(Stamoplysninger!$B$26="Der er indgået lokalaftale omkring weekendtimer.(Kræver aftale med TR/FSL) Weekendtillæg afspadseres.",I30="X",C30="ikke relevant")),K30*0.5,0)</f>
        <v>0</v>
      </c>
      <c r="EV30" s="666">
        <f>IF(AND(AND(AND(Stamoplysninger!$B$26="Der er indgået lokalaftale omkring weekendtimer.(Kræver aftale med TR/FSL) Weekendtillæg afspadseres.",I30="X",C30="ikke relevant",S30="X"))),(V30*0.5),0)</f>
        <v>0</v>
      </c>
      <c r="EW30" s="279">
        <f>IF(AND(Stamoplysninger!$B$26="Der er indgået lokalaftale omkring weekendtimer(Kræver aftale med TR/FSL). Weekendtillæg udbetales.",I30="X"),K30*0.5,0)</f>
        <v>0</v>
      </c>
      <c r="EX30" s="247">
        <f>IF(AND(AND(Stamoplysninger!$B$26="Der er indgået lokalaftale omkring weekendtimer(Kræver aftale med TR/FSL). Weekendtillæg udbetales.",I30="X",S30="X")),V30*0.5,0)</f>
        <v>0</v>
      </c>
      <c r="EY30" s="665">
        <f>IF(AND(AND(Stamoplysninger!$B$26="Der er indgået lokalaftale omkring weekendtimer(Kræver aftale med TR/FSL). Weekendtillæg udbetales.",I30="X",C30="ikke relevant")),K30*0.5,0)</f>
        <v>0</v>
      </c>
      <c r="EZ30" s="666">
        <f>IF(AND(AND(AND(Stamoplysninger!$B$26="Der er indgået lokalaftale omkring weekendtimer(Kræver aftale med TR/FSL). Weekendtillæg udbetales.",I30="X",C30="ikke relevant",S30="X"))),(V30*0.5),0)</f>
        <v>0</v>
      </c>
      <c r="FA30" s="279">
        <f>IF(AND(Stamoplysninger!$B$26="Der er indgået lokalaftale omkring weekendtillæg(Kræver aftale med TR/FSL). Weekendtimerne afspadseres.",I30="X"),K30,0)</f>
        <v>0</v>
      </c>
      <c r="FB30" s="247">
        <f>IF(AND(AND(Stamoplysninger!$B$26="Der er indgået lokalaftale omkring weekendtillæg(Kræver aftale med TR/FSL). Weekendtimerne afspadseres.",I30="X",S30="X")),V30,0)</f>
        <v>0</v>
      </c>
      <c r="FC30" s="665">
        <f>IF(AND(AND(Stamoplysninger!$B$26="Der er indgået lokalaftale omkring weekendtillæg(Kræver aftale med TR/FSL). Weekendtimerne afspadseres..",I30="X",C30="ikke relevant")),K30,0)</f>
        <v>0</v>
      </c>
      <c r="FD30" s="666">
        <f>IF(AND(AND(AND(Stamoplysninger!$B$26="Der er indgået lokalaftale omkring weekendtillæg(Kræver aftale med TR/FSL). Weekendtimerne afspadseres.",I30="X",C30="ikke relevant",S30="X"))),(V30),0)</f>
        <v>0</v>
      </c>
      <c r="FE30" s="279">
        <f>IF(AND(Stamoplysninger!$B$26="Der er indgået lokalaftale omkring weekendtillæg(Kræver aftale med TR/FSL). Weekendtimerne udbetales.",I30="X"),K30,0)</f>
        <v>0</v>
      </c>
      <c r="FF30" s="247">
        <f>IF(AND(AND(Stamoplysninger!$B$26="Der er indgået lokalaftale omkring weekendtillæg(Kræver aftale med TR/FSL). Weekendtimerne udbetales.",I30="X",S30="X")),V30,0)</f>
        <v>0</v>
      </c>
      <c r="FG30" s="665">
        <f>IF(AND(AND(Stamoplysninger!$B$26="Der er indgået lokalaftale omkring weekendtillæg(Kræver aftale med TR/FSL). Weekendtimerne udbetales.",I30="X",C30="ikke relevant")),K30,0)</f>
        <v>0</v>
      </c>
      <c r="FH30" s="666">
        <f>IF(AND(AND(AND(Stamoplysninger!$B$26="Der er indgået lokalaftale omkring weekendtillæg(Kræver aftale med TR/FSL). Weekendtimerne udbetales.",I30="X",C30="ikke relevant",S30="X"))),(V30),0)</f>
        <v>0</v>
      </c>
      <c r="FI30" s="279">
        <f>IF(AND(Stamoplysninger!$B$26="Weekendtimer og weekendtillæg afspadseres.",I30="X"),K30,0)</f>
        <v>0</v>
      </c>
      <c r="FJ30" s="247">
        <f>IF(AND(Stamoplysninger!$B$26="Weekendtimer og weekendtillæg afspadseres.",Y30="X"),(AA30+AL30)/2,0)</f>
        <v>0</v>
      </c>
      <c r="FK30" s="665">
        <f>IF(AND(AND(Stamoplysninger!$B$26="Weekendtimer og weekendtillæg afspadseres.",I30="X",C30="ikke relevant")),K30,0)</f>
        <v>0</v>
      </c>
      <c r="FL30" s="666">
        <f>IF(AND(AND(Stamoplysninger!$B$26="Weekendtimer og weekendtillæg afspadseres.",Y30="X",S30="ikke relevant")),(AA30+AL30)/2,0)</f>
        <v>0</v>
      </c>
      <c r="FM30" s="279">
        <f>IF(AND(Stamoplysninger!$B$26="Der er indgået lokalaftale omkring weekendtillæg(Kræver aftale med TR/FSL). Weekendtimerne afspadseres.",I30="X"),K30,0)</f>
        <v>0</v>
      </c>
      <c r="FN30" s="665">
        <f>IF(AND(AND(Stamoplysninger!$B$26="Der er indgået lokalaftale omkring weekendtillæg(Kræver aftale med TR/FSL). Weekendtimerne afspadseres.",I30="X",C30="ikke relevant")),K30,0)</f>
        <v>0</v>
      </c>
      <c r="FO30" s="279">
        <f>IF(AND(Stamoplysninger!$B$26="Weekendtimer og weekendtillæg udbetales.",I30="X"),K30,0)</f>
        <v>0</v>
      </c>
      <c r="FP30" s="247">
        <f>IF(AND(Stamoplysninger!$B$26="Weekendtimer og weekendtillæg udbetales.",AA30="X"),(AC30+AN30)/2,0)</f>
        <v>0</v>
      </c>
      <c r="FQ30" s="665">
        <f>IF(AND(AND(Stamoplysninger!$B$26="Weekendtimer og weekendtillæg udbetales.",I30="X",C30="ikke relevant")),K30,0)</f>
        <v>0</v>
      </c>
      <c r="FR30" s="679">
        <f>IF(AND(AND(Stamoplysninger!$B$26="Weekendtimer og weekendtillæg udbetales.",AA30="X",U30="ikke relevant")),(AC30+AN30)/2,0)</f>
        <v>0</v>
      </c>
      <c r="FS30" s="279">
        <f t="shared" si="15"/>
        <v>0</v>
      </c>
      <c r="FT30" s="649">
        <f t="shared" si="16"/>
        <v>0</v>
      </c>
      <c r="FU30">
        <f t="shared" ref="FU30:FU39" si="31">IF(AND(C30="weekend",I30="X"),K30,0)</f>
        <v>0</v>
      </c>
      <c r="FV30" s="279">
        <f>IF(AND(Stamoplysninger!$B$26="Der er indgået lokalaftale omkring weekendtimer.(Kræver aftale med TR/FSL) Weekendtillæg afspadseres.",I30="X"),K30,0)</f>
        <v>0</v>
      </c>
      <c r="FW30" s="665">
        <f>IF(AND(AND(Stamoplysninger!$B$26="Der er indgået lokalaftale omkring weekendtimer.(Kræver aftale med TR/FSL) Weekendtillæg afspadseres.",I30="X",C30="ikke relevant")),K30,0)</f>
        <v>0</v>
      </c>
      <c r="FX30" s="279">
        <f>IF(AND(Stamoplysninger!$B$26="Der er indgået lokalaftale omkring weekendtimer(Kræver aftale med TR/FSL). Weekendtillæg udbetales.",I30="X"),K30,0)</f>
        <v>0</v>
      </c>
      <c r="FY30" s="665">
        <f>IF(AND(AND(Stamoplysninger!$B$26="Der er indgået lokalaftale omkring weekendtimer(Kræver aftale med TR/FSL). Weekendtillæg udbetales.",I30="X",C30="ikke relevant")),K30,0)</f>
        <v>0</v>
      </c>
      <c r="FZ30" s="279">
        <f>IF(AND(Stamoplysninger!$B$26="Der er indgået lokalaftale omkring weekendtillæg(Kræver aftale med TR/FSL). Weekendtimerne udbetales.",I30="X"),K30,0)</f>
        <v>0</v>
      </c>
      <c r="GA30" s="665">
        <f>IF(AND(AND(Stamoplysninger!$B$26="Der er indgået lokalaftale omkring weekendtillæg(Kræver aftale med TR/FSL). Weekendtimerne udbetales.",I30="X",C30="ikke relevant")),K30,0)</f>
        <v>0</v>
      </c>
      <c r="GB30" s="279">
        <f>IF(AND(Stamoplysninger!$B$26="Der er indgået lokalaftale omkring weekendtimer og weekendtillæg.(Kræver aftale med TR/FSL).",I30="X"),K30,0)</f>
        <v>0</v>
      </c>
      <c r="GC30" s="665">
        <f>IF(AND(AND(Stamoplysninger!$B$26="Der er indgået lokalaftale omkring weekendtimer og weekendtillæg.(Kræver aftale med TR/FSL).",I30="X",C30="ikke relevant")),K30,0)</f>
        <v>0</v>
      </c>
    </row>
    <row r="31" spans="1:185">
      <c r="A31" s="241">
        <f t="shared" si="18"/>
        <v>23</v>
      </c>
      <c r="B31" s="127" t="str">
        <f t="shared" si="0"/>
        <v>on</v>
      </c>
      <c r="C31" s="128" t="s">
        <v>206</v>
      </c>
      <c r="D31" s="129" t="str">
        <f t="shared" si="1"/>
        <v/>
      </c>
      <c r="E31" s="932"/>
      <c r="F31" s="933"/>
      <c r="G31" s="934"/>
      <c r="H31" s="294"/>
      <c r="I31" s="519"/>
      <c r="J31" s="407"/>
      <c r="K31" s="374"/>
      <c r="L31" s="374"/>
      <c r="M31" s="374"/>
      <c r="N31" s="313">
        <f t="shared" si="19"/>
        <v>0</v>
      </c>
      <c r="O31" s="313">
        <f t="shared" si="20"/>
        <v>0</v>
      </c>
      <c r="P31" s="313">
        <f>IF(Stamoplysninger!$H$29="JA",Oktober!DG31,CX31)</f>
        <v>0</v>
      </c>
      <c r="Q31" s="313">
        <f t="shared" si="21"/>
        <v>0</v>
      </c>
      <c r="R31" s="314"/>
      <c r="S31" s="319"/>
      <c r="T31" s="320"/>
      <c r="U31" s="320"/>
      <c r="V31" s="429"/>
      <c r="W31" s="406"/>
      <c r="X31" s="633"/>
      <c r="Y31">
        <f t="shared" si="22"/>
        <v>0</v>
      </c>
      <c r="Z31">
        <f t="shared" si="2"/>
        <v>0</v>
      </c>
      <c r="AA31" s="1">
        <f t="shared" si="3"/>
        <v>0</v>
      </c>
      <c r="AB31" s="1">
        <f t="shared" si="4"/>
        <v>0</v>
      </c>
      <c r="AC31" s="1">
        <f t="shared" si="5"/>
        <v>0</v>
      </c>
      <c r="AD31" s="1">
        <f t="shared" si="6"/>
        <v>0</v>
      </c>
      <c r="AE31" s="1">
        <f t="shared" si="7"/>
        <v>0</v>
      </c>
      <c r="AF31" s="1">
        <f>IF(C31="Orlov",7.4*Stamoplysninger!$E$15,0)</f>
        <v>0</v>
      </c>
      <c r="AG31" t="str">
        <f>IF(AND(C31="Skema 1",B31="ma"),Arbejdstidsoversigt!$E$72,"")</f>
        <v/>
      </c>
      <c r="AH31" t="str">
        <f>IF(AND(C31="Skema 1",B31="ti"),Arbejdstidsoversigt!$E$73,"")</f>
        <v/>
      </c>
      <c r="AI31">
        <f>IF(AND(C31="Skema 1",B31="on"),Arbejdstidsoversigt!$E$74,"")</f>
        <v>0</v>
      </c>
      <c r="AJ31" t="str">
        <f>IF(AND(C31="Skema 1",B31="to"),Arbejdstidsoversigt!$E$75,"")</f>
        <v/>
      </c>
      <c r="AK31" t="str">
        <f>IF(AND(C31="Skema 1",B31="fr"),Arbejdstidsoversigt!$E$76,"")</f>
        <v/>
      </c>
      <c r="AL31" t="str">
        <f>IF(AND(C31="Skema 2",B31="ma"),Arbejdstidsoversigt!$E$81,"")</f>
        <v/>
      </c>
      <c r="AM31" t="str">
        <f>IF(AND(C31="Skema 2",B31="ti"),Arbejdstidsoversigt!$E$82,"")</f>
        <v/>
      </c>
      <c r="AN31" t="str">
        <f>IF(AND(C31="Skema 2",B31="on"),Arbejdstidsoversigt!$E$83,"")</f>
        <v/>
      </c>
      <c r="AO31" t="str">
        <f>IF(AND(C31="Skema 2",B31="to"),Arbejdstidsoversigt!$E$84,"")</f>
        <v/>
      </c>
      <c r="AP31" t="str">
        <f>IF(AND(C31="Skema 2",B31="fr"),Arbejdstidsoversigt!$E$85,"")</f>
        <v/>
      </c>
      <c r="AQ31" t="str">
        <f>IF(AND(C31="Skema 3",B31="ma"),Arbejdstidsoversigt!$E$90,"")</f>
        <v/>
      </c>
      <c r="AR31" t="str">
        <f>IF(AND(C31="Skema 3",B31="ti"),Arbejdstidsoversigt!$E$91,"")</f>
        <v/>
      </c>
      <c r="AS31" t="str">
        <f>IF(AND(C31="Skema 3",B31="on"),Arbejdstidsoversigt!$E$92,"")</f>
        <v/>
      </c>
      <c r="AT31" t="str">
        <f>IF(AND(C31="Skema 3",B31="to"),Arbejdstidsoversigt!$E$93,"")</f>
        <v/>
      </c>
      <c r="AU31" t="str">
        <f>IF(AND(C31="Skema 3",B31="fr"),Arbejdstidsoversigt!$E$94,"")</f>
        <v/>
      </c>
      <c r="AV31" t="str">
        <f>IF(AND(C31="Skema 4",B31="ma"),Arbejdstidsoversigt!$E$99,"")</f>
        <v/>
      </c>
      <c r="AW31" t="str">
        <f>IF(AND(C31="Skema 4",B31="ti"),Arbejdstidsoversigt!$E$100,"")</f>
        <v/>
      </c>
      <c r="AX31" t="str">
        <f>IF(AND(C31="Skema 4",B31="on"),Arbejdstidsoversigt!$E$101,"")</f>
        <v/>
      </c>
      <c r="AY31" t="str">
        <f>IF(AND(C31="Skema 4",B31="to"),Arbejdstidsoversigt!$E$102,"")</f>
        <v/>
      </c>
      <c r="AZ31" t="str">
        <f>IF(AND(C31="Skema 4",B31="fr"),Arbejdstidsoversigt!$E$103,"")</f>
        <v/>
      </c>
      <c r="BA31" s="1">
        <f t="shared" si="23"/>
        <v>0</v>
      </c>
      <c r="BB31" s="226">
        <f t="shared" si="8"/>
        <v>0</v>
      </c>
      <c r="BC31" s="1">
        <f t="shared" si="24"/>
        <v>0</v>
      </c>
      <c r="BD31" s="1">
        <f t="shared" si="9"/>
        <v>0</v>
      </c>
      <c r="BE31" s="1">
        <f t="shared" si="10"/>
        <v>0</v>
      </c>
      <c r="BF31" s="1">
        <f t="shared" si="11"/>
        <v>0</v>
      </c>
      <c r="BG31" s="209" t="str">
        <f>IF(AND(C31="Skema 1",B31="ma"),Skemaoplysninger!$E$30,"")</f>
        <v/>
      </c>
      <c r="BH31" s="209" t="str">
        <f>IF(AND(C31="Skema 1",B31="ti"),Skemaoplysninger!$G$30,"")</f>
        <v/>
      </c>
      <c r="BI31" s="209">
        <f>IF(AND(C31="Skema 1",B31="on"),Skemaoplysninger!$I$30,"")</f>
        <v>0</v>
      </c>
      <c r="BJ31" s="209" t="str">
        <f>IF(AND(C31="Skema 1",B31="to"),Skemaoplysninger!$K$30,"")</f>
        <v/>
      </c>
      <c r="BK31" s="209" t="str">
        <f>IF(AND(C31="Skema 1",B31="fr"),Skemaoplysninger!$M$30,"")</f>
        <v/>
      </c>
      <c r="BL31" s="209" t="str">
        <f>IF(AND(C31="Skema 2",B31="ma"),Skemaoplysninger!$S$30,"")</f>
        <v/>
      </c>
      <c r="BM31" s="209" t="str">
        <f>IF(AND(C31="Skema 2",B31="ti"),Skemaoplysninger!$U$30,"")</f>
        <v/>
      </c>
      <c r="BN31" s="209" t="str">
        <f>IF(AND(C31="Skema 2",B31="on"),Skemaoplysninger!$W$30,"")</f>
        <v/>
      </c>
      <c r="BO31" s="209" t="str">
        <f>IF(AND(C31="Skema 2",B31="to"),Skemaoplysninger!$Y$30,"")</f>
        <v/>
      </c>
      <c r="BP31" s="209" t="str">
        <f>IF(AND(C31="Skema 2",B31="fr"),Skemaoplysninger!$AA$30,"")</f>
        <v/>
      </c>
      <c r="BQ31" s="209" t="str">
        <f>IF(AND(C31="Skema 3",B31="ma"),Skemaoplysninger!$AG$30,"")</f>
        <v/>
      </c>
      <c r="BR31" s="209" t="str">
        <f>IF(AND(C31="Skema 3",B31="ti"),Skemaoplysninger!$AI$30,"")</f>
        <v/>
      </c>
      <c r="BS31" s="209" t="str">
        <f>IF(AND(C31="Skema 3",B31="on"),Skemaoplysninger!$AK$30,"")</f>
        <v/>
      </c>
      <c r="BT31" s="209" t="str">
        <f>IF(AND(C31="Skema 3",B31="to"),Skemaoplysninger!$AM$30,"")</f>
        <v/>
      </c>
      <c r="BU31" s="209" t="str">
        <f>IF(AND(C31="Skema 3",B31="fr"),Skemaoplysninger!$AO$30,"")</f>
        <v/>
      </c>
      <c r="BV31" s="209" t="str">
        <f>IF(AND(C31="Skema 4",B31="ma"),Skemaoplysninger!$AU$30,"")</f>
        <v/>
      </c>
      <c r="BW31" s="209" t="str">
        <f>IF(AND(C31="Skema 4",B31="ti"),Skemaoplysninger!$AW$30,"")</f>
        <v/>
      </c>
      <c r="BX31" s="209" t="str">
        <f>IF(AND(C31="Skema 4",B31="on"),Skemaoplysninger!$AY$30,"")</f>
        <v/>
      </c>
      <c r="BY31" s="209" t="str">
        <f>IF(AND(C31="Skema 4",B31="to"),Skemaoplysninger!$BA$30,"")</f>
        <v/>
      </c>
      <c r="BZ31" s="209" t="str">
        <f>IF(AND(C31="Skema 4",B31="fr"),Skemaoplysninger!$BC$30,"")</f>
        <v/>
      </c>
      <c r="CA31" s="1">
        <f t="shared" si="25"/>
        <v>0</v>
      </c>
      <c r="CB31" s="1">
        <f t="shared" si="12"/>
        <v>0</v>
      </c>
      <c r="CC31" s="1">
        <f t="shared" si="13"/>
        <v>0</v>
      </c>
      <c r="CD31" s="209" t="str">
        <f>IF(AND(C31="Skema 1",B31="ma"),Skemaoplysninger!$E$31,"")</f>
        <v/>
      </c>
      <c r="CE31" s="209" t="str">
        <f>IF(AND(C31="Skema 1",B31="ti"),Skemaoplysninger!$G$31,"")</f>
        <v/>
      </c>
      <c r="CF31" s="209">
        <f>IF(AND(C31="Skema 1",B31="on"),Skemaoplysninger!$I$31,"")</f>
        <v>0</v>
      </c>
      <c r="CG31" s="209" t="str">
        <f>IF(AND(C31="Skema 1",B31="to"),Skemaoplysninger!$K$31,"")</f>
        <v/>
      </c>
      <c r="CH31" s="209" t="str">
        <f>IF(AND(C31="Skema 1",B31="fr"),Skemaoplysninger!$M$31,"")</f>
        <v/>
      </c>
      <c r="CI31" s="209" t="str">
        <f>IF(AND(C31="Skema 2",B31="ma"),Skemaoplysninger!$S$31,"")</f>
        <v/>
      </c>
      <c r="CJ31" s="209" t="str">
        <f>IF(AND(C31="Skema 2",B31="ti"),Skemaoplysninger!$U$31,"")</f>
        <v/>
      </c>
      <c r="CK31" s="209" t="str">
        <f>IF(AND(C31="Skema 2",B31="on"),Skemaoplysninger!$W$31,"")</f>
        <v/>
      </c>
      <c r="CL31" s="209" t="str">
        <f>IF(AND(C31="Skema 2",B31="to"),Skemaoplysninger!$Y$31,"")</f>
        <v/>
      </c>
      <c r="CM31" s="209" t="str">
        <f>IF(AND(C31="Skema 2",B31="fr"),Skemaoplysninger!$AA$31,"")</f>
        <v/>
      </c>
      <c r="CN31" s="209" t="str">
        <f>IF(AND(C31="Skema 3",B31="ma"),Skemaoplysninger!$AG$31,"")</f>
        <v/>
      </c>
      <c r="CO31" s="209" t="str">
        <f>IF(AND(C31="Skema 3",B31="ti"),Skemaoplysninger!$AI$31,"")</f>
        <v/>
      </c>
      <c r="CP31" s="209" t="str">
        <f>IF(AND(C31="Skema 3",B31="on"),Skemaoplysninger!$AK$31,"")</f>
        <v/>
      </c>
      <c r="CQ31" s="209" t="str">
        <f>IF(AND(C31="Skema 3",B31="to"),Skemaoplysninger!$AM$31,"")</f>
        <v/>
      </c>
      <c r="CR31" s="209" t="str">
        <f>IF(AND(C31="Skema 3",B31="fr"),Skemaoplysninger!$AO$31,"")</f>
        <v/>
      </c>
      <c r="CS31" s="209" t="str">
        <f>IF(AND(C31="Skema 4",B31="ma"),Skemaoplysninger!$AU$31,"")</f>
        <v/>
      </c>
      <c r="CT31" s="209" t="str">
        <f>IF(AND(C31="Skema 4",B31="ti"),Skemaoplysninger!$AW$31,"")</f>
        <v/>
      </c>
      <c r="CU31" s="209" t="str">
        <f>IF(AND(C31="Skema 4",B31="on"),Skemaoplysninger!$AY$31,"")</f>
        <v/>
      </c>
      <c r="CV31" s="209" t="str">
        <f>IF(AND(C31="Skema 4",B31="to"),Skemaoplysninger!$BA$31,"")</f>
        <v/>
      </c>
      <c r="CW31" s="209" t="str">
        <f>IF(AND(C31="Skema 4",B31="fr"),Skemaoplysninger!$BC$31,"")</f>
        <v/>
      </c>
      <c r="CX31" s="245">
        <f>IF(Stamoplysninger!$H$29="NEJ",SUM(CD31:CW31)*24+CB31+CC31,0)</f>
        <v>0</v>
      </c>
      <c r="CY31" s="245">
        <f>IF(C31="Skema 1",Stamoplysninger!$H$30/200,0)</f>
        <v>0</v>
      </c>
      <c r="CZ31" s="245">
        <f>IF(C31="Skema 2",Stamoplysninger!$H$30/200,0)</f>
        <v>0</v>
      </c>
      <c r="DA31" s="245">
        <f>IF(C31="Skema 3",Stamoplysninger!$H$30/200,0)</f>
        <v>0</v>
      </c>
      <c r="DB31" s="245">
        <f>IF(C31="Skema 4",Stamoplysninger!$H$30/200,0)</f>
        <v>0</v>
      </c>
      <c r="DC31" s="245">
        <f>IF(C31="fagdag",Stamoplysninger!$H$30/200,0)</f>
        <v>0</v>
      </c>
      <c r="DD31" s="245">
        <f>IF(C31="emnedag",Stamoplysninger!$H$30/200,0)</f>
        <v>0</v>
      </c>
      <c r="DE31" s="245">
        <f>IF(C31="lejrskole",Stamoplysninger!$H$30/200,0)</f>
        <v>0</v>
      </c>
      <c r="DF31" s="245">
        <f>IF(C31="ekskursion",Stamoplysninger!$H$30/200,0)</f>
        <v>0</v>
      </c>
      <c r="DG31" s="245">
        <f t="shared" si="26"/>
        <v>0</v>
      </c>
      <c r="DH31" t="str">
        <f t="shared" si="27"/>
        <v/>
      </c>
      <c r="DI31">
        <f t="shared" si="28"/>
        <v>0</v>
      </c>
      <c r="DJ31">
        <f t="shared" si="29"/>
        <v>0</v>
      </c>
      <c r="DK31" t="str">
        <f t="shared" si="14"/>
        <v/>
      </c>
      <c r="DL31" t="str">
        <f t="shared" si="14"/>
        <v/>
      </c>
      <c r="DM31" t="str">
        <f t="shared" si="14"/>
        <v/>
      </c>
      <c r="DN31" t="str">
        <f t="shared" si="30"/>
        <v/>
      </c>
      <c r="DO31" s="643">
        <f>IF(AND(Stamoplysninger!$B$22="Ulempetillæg udbetales med 25% af nettotimelønnen.",H31&gt;0),(R31/4),0)</f>
        <v>0</v>
      </c>
      <c r="DP31">
        <f>IF(AND(Stamoplysninger!$B$22="Ulempetillæg udbetales med 25% af nettotimelønnen.",I31="X"),K31/4,0)</f>
        <v>0</v>
      </c>
      <c r="DQ31">
        <f>IF(AND(Stamoplysninger!$B$22="Ulempetillæg udbetales med 25% af nettotimelønnen.",U31="X"),(X31/4),0)</f>
        <v>0</v>
      </c>
      <c r="DR31">
        <f>IF(AND(AND(Stamoplysninger!$B$22="Ulempetillæg udbetales med 25% af nettotimelønnen.",S31="X",I31="X")),V31/4,0)</f>
        <v>0</v>
      </c>
      <c r="DS31" s="662">
        <f>IF(AND(Stamoplysninger!$B$22="Ulempetillæg udbetales med 25% af nettotimelønnen.",C31="ikke relevant"),(R31)/4,0)</f>
        <v>0</v>
      </c>
      <c r="DT31" s="662">
        <f>IF(AND(AND(Stamoplysninger!$B$22="Ulempetillæg udbetales med 25% af nettotimelønnen.",I31="X",C31="Ikke relevant")),K31/4,0)</f>
        <v>0</v>
      </c>
      <c r="DU31" s="662">
        <f>IF(AND(AND(Stamoplysninger!$B$22="Ulempetillæg udbetales med 25% af nettotimelønnen.",C31="ikke relevant",U31="X")),(X31/4),0)</f>
        <v>0</v>
      </c>
      <c r="DV31" s="663">
        <f>IF(AND(AND(AND(Stamoplysninger!$B$22="Ulempetillæg udbetales med 25% af nettotimelønnen.",I31="X",C31="Ikke relevant",S31="X"))),V31/4,0)</f>
        <v>0</v>
      </c>
      <c r="DW31" s="643"/>
      <c r="DZ31" s="662"/>
      <c r="EA31" s="662"/>
      <c r="EB31" s="663"/>
      <c r="EC31" s="643">
        <f>IF(AND(Stamoplysninger!$B$22="Ulempetillæg afspadseres med 25%(Kræver en aftale imellem ledelsen og den ansatte)",H31&gt;0),R31/4,0)</f>
        <v>0</v>
      </c>
      <c r="ED31">
        <f>IF(AND(Stamoplysninger!$B$22="Ulempetillæg afspadseres med 25%(Kræver en aftale imellem ledelsen og den ansatte)",I31="X"),K31/4,0)</f>
        <v>0</v>
      </c>
      <c r="EE31">
        <f>IF(AND(Stamoplysninger!$B$22="Ulempetillæg afspadseres med 25%(Kræver en aftale imellem ledelsen og den ansatte)",U31="X"),X31/4,0)</f>
        <v>0</v>
      </c>
      <c r="EF31">
        <f>IF(AND(AND(Stamoplysninger!$B$22="Ulempetillæg afspadseres med 25%(Kræver en aftale imellem ledelsen og den ansatte)",I31="X",S31="X")),V31/4,0)</f>
        <v>0</v>
      </c>
      <c r="EG31" s="662">
        <f>IF(AND(Stamoplysninger!$B$22="Ulempetillæg afspadseres med 25%(Kræver en aftale imellem ledelsen og den ansatte)",C31="ikke relevant"),(R31)/4,0)</f>
        <v>0</v>
      </c>
      <c r="EH31" s="662">
        <f>IF(AND(AND(Stamoplysninger!$B$22="Ulempetillæg afspadseres med 25%(Kræver en aftale imellem ledelsen og den ansatte)",I31="X",C31="Ikke relevant")),K31/4,0)</f>
        <v>0</v>
      </c>
      <c r="EI31" s="662">
        <f>IF(AND(AND(Stamoplysninger!$B$22="Ulempetillæg afspadseres med 25%(Kræver en aftale imellem ledelsen og den ansatte)",U31="X",C31="Ikke relevant")),X31/4,0)</f>
        <v>0</v>
      </c>
      <c r="EJ31" s="662">
        <f>IF(AND(AND(AND(Stamoplysninger!$B$22="Ulempetillæg afspadseres med 25%(Kræver en aftale imellem ledelsen og den ansatte)",I31="X",C31="Ikke relevant",S31="X"))),V31/4,0)</f>
        <v>0</v>
      </c>
      <c r="EK31" s="279">
        <f>IF(AND(Stamoplysninger!$B$26="Weekendtimer og weekendtillæg afspadseres.",I31="X"),K31*1.5,0)</f>
        <v>0</v>
      </c>
      <c r="EL31" s="247">
        <f>IF(AND(AND(Stamoplysninger!$B$26="Weekendtimer og weekendtillæg afspadseres.",I31="X",S31="X")),V31*1.5,0)</f>
        <v>0</v>
      </c>
      <c r="EM31" s="665">
        <f>IF(AND(AND(Stamoplysninger!$B$26="Weekendtimer og weekendtillæg afspadseres.",I31="X",C31="ikke relevant")),K31*1.5,0)</f>
        <v>0</v>
      </c>
      <c r="EN31" s="666">
        <f>IF(AND(AND(AND(Stamoplysninger!$B$26="Weekendtimer og weekendtillæg afspadseres.",I31="X",C31="ikke relevant",S31="X"))),(V31*1.5),0)</f>
        <v>0</v>
      </c>
      <c r="EO31" s="279">
        <f>IF(AND(Stamoplysninger!$B$26="Weekendtimer og weekendtillæg udbetales.",I31="X"),K31*1.5,0)</f>
        <v>0</v>
      </c>
      <c r="EP31" s="247">
        <f>IF(AND(AND(Stamoplysninger!$B$26="Weekendtimer og weekendtillæg udbetales.",I31="X",S31="X")),V31*1.5,0)</f>
        <v>0</v>
      </c>
      <c r="EQ31" s="665">
        <f>IF(AND(AND(Stamoplysninger!$B$26="Weekendtimer og weekendtillæg udbetales.",I31="X",C31="ikke relevant")),K31*1.5,0)</f>
        <v>0</v>
      </c>
      <c r="ER31" s="666">
        <f>IF(AND(AND(AND(Stamoplysninger!$B$26="Weekendtimer og weekendtillæg udbetales.",I31="X",C31="ikke relevant",S31="X"))),(V31*1.5),0)</f>
        <v>0</v>
      </c>
      <c r="ES31" s="279">
        <f>IF(AND(Stamoplysninger!$B$26="Der er indgået lokalaftale omkring weekendtimer.(Kræver aftale med TR/FSL) Weekendtillæg afspadseres.",I31="X"),K31*0.5,0)</f>
        <v>0</v>
      </c>
      <c r="ET31" s="247">
        <f>IF(AND(AND(Stamoplysninger!$B$26="Der er indgået lokalaftale omkring weekendtimer.(Kræver aftale med TR/FSL) Weekendtillæg afspadseres.",I31="X",S31="X")),V31*0.5,0)</f>
        <v>0</v>
      </c>
      <c r="EU31" s="665">
        <f>IF(AND(AND(Stamoplysninger!$B$26="Der er indgået lokalaftale omkring weekendtimer.(Kræver aftale med TR/FSL) Weekendtillæg afspadseres.",I31="X",C31="ikke relevant")),K31*0.5,0)</f>
        <v>0</v>
      </c>
      <c r="EV31" s="666">
        <f>IF(AND(AND(AND(Stamoplysninger!$B$26="Der er indgået lokalaftale omkring weekendtimer.(Kræver aftale med TR/FSL) Weekendtillæg afspadseres.",I31="X",C31="ikke relevant",S31="X"))),(V31*0.5),0)</f>
        <v>0</v>
      </c>
      <c r="EW31" s="279">
        <f>IF(AND(Stamoplysninger!$B$26="Der er indgået lokalaftale omkring weekendtimer(Kræver aftale med TR/FSL). Weekendtillæg udbetales.",I31="X"),K31*0.5,0)</f>
        <v>0</v>
      </c>
      <c r="EX31" s="247">
        <f>IF(AND(AND(Stamoplysninger!$B$26="Der er indgået lokalaftale omkring weekendtimer(Kræver aftale med TR/FSL). Weekendtillæg udbetales.",I31="X",S31="X")),V31*0.5,0)</f>
        <v>0</v>
      </c>
      <c r="EY31" s="665">
        <f>IF(AND(AND(Stamoplysninger!$B$26="Der er indgået lokalaftale omkring weekendtimer(Kræver aftale med TR/FSL). Weekendtillæg udbetales.",I31="X",C31="ikke relevant")),K31*0.5,0)</f>
        <v>0</v>
      </c>
      <c r="EZ31" s="666">
        <f>IF(AND(AND(AND(Stamoplysninger!$B$26="Der er indgået lokalaftale omkring weekendtimer(Kræver aftale med TR/FSL). Weekendtillæg udbetales.",I31="X",C31="ikke relevant",S31="X"))),(V31*0.5),0)</f>
        <v>0</v>
      </c>
      <c r="FA31" s="279">
        <f>IF(AND(Stamoplysninger!$B$26="Der er indgået lokalaftale omkring weekendtillæg(Kræver aftale med TR/FSL). Weekendtimerne afspadseres.",I31="X"),K31,0)</f>
        <v>0</v>
      </c>
      <c r="FB31" s="247">
        <f>IF(AND(AND(Stamoplysninger!$B$26="Der er indgået lokalaftale omkring weekendtillæg(Kræver aftale med TR/FSL). Weekendtimerne afspadseres.",I31="X",S31="X")),V31,0)</f>
        <v>0</v>
      </c>
      <c r="FC31" s="665">
        <f>IF(AND(AND(Stamoplysninger!$B$26="Der er indgået lokalaftale omkring weekendtillæg(Kræver aftale med TR/FSL). Weekendtimerne afspadseres..",I31="X",C31="ikke relevant")),K31,0)</f>
        <v>0</v>
      </c>
      <c r="FD31" s="666">
        <f>IF(AND(AND(AND(Stamoplysninger!$B$26="Der er indgået lokalaftale omkring weekendtillæg(Kræver aftale med TR/FSL). Weekendtimerne afspadseres.",I31="X",C31="ikke relevant",S31="X"))),(V31),0)</f>
        <v>0</v>
      </c>
      <c r="FE31" s="279">
        <f>IF(AND(Stamoplysninger!$B$26="Der er indgået lokalaftale omkring weekendtillæg(Kræver aftale med TR/FSL). Weekendtimerne udbetales.",I31="X"),K31,0)</f>
        <v>0</v>
      </c>
      <c r="FF31" s="247">
        <f>IF(AND(AND(Stamoplysninger!$B$26="Der er indgået lokalaftale omkring weekendtillæg(Kræver aftale med TR/FSL). Weekendtimerne udbetales.",I31="X",S31="X")),V31,0)</f>
        <v>0</v>
      </c>
      <c r="FG31" s="665">
        <f>IF(AND(AND(Stamoplysninger!$B$26="Der er indgået lokalaftale omkring weekendtillæg(Kræver aftale med TR/FSL). Weekendtimerne udbetales.",I31="X",C31="ikke relevant")),K31,0)</f>
        <v>0</v>
      </c>
      <c r="FH31" s="666">
        <f>IF(AND(AND(AND(Stamoplysninger!$B$26="Der er indgået lokalaftale omkring weekendtillæg(Kræver aftale med TR/FSL). Weekendtimerne udbetales.",I31="X",C31="ikke relevant",S31="X"))),(V31),0)</f>
        <v>0</v>
      </c>
      <c r="FI31" s="279">
        <f>IF(AND(Stamoplysninger!$B$26="Weekendtimer og weekendtillæg afspadseres.",I31="X"),K31,0)</f>
        <v>0</v>
      </c>
      <c r="FJ31" s="247">
        <f>IF(AND(Stamoplysninger!$B$26="Weekendtimer og weekendtillæg afspadseres.",Y31="X"),(AA31+AL31)/2,0)</f>
        <v>0</v>
      </c>
      <c r="FK31" s="665">
        <f>IF(AND(AND(Stamoplysninger!$B$26="Weekendtimer og weekendtillæg afspadseres.",I31="X",C31="ikke relevant")),K31,0)</f>
        <v>0</v>
      </c>
      <c r="FL31" s="666">
        <f>IF(AND(AND(Stamoplysninger!$B$26="Weekendtimer og weekendtillæg afspadseres.",Y31="X",S31="ikke relevant")),(AA31+AL31)/2,0)</f>
        <v>0</v>
      </c>
      <c r="FM31" s="279">
        <f>IF(AND(Stamoplysninger!$B$26="Der er indgået lokalaftale omkring weekendtillæg(Kræver aftale med TR/FSL). Weekendtimerne afspadseres.",I31="X"),K31,0)</f>
        <v>0</v>
      </c>
      <c r="FN31" s="665">
        <f>IF(AND(AND(Stamoplysninger!$B$26="Der er indgået lokalaftale omkring weekendtillæg(Kræver aftale med TR/FSL). Weekendtimerne afspadseres.",I31="X",C31="ikke relevant")),K31,0)</f>
        <v>0</v>
      </c>
      <c r="FO31" s="279">
        <f>IF(AND(Stamoplysninger!$B$26="Weekendtimer og weekendtillæg udbetales.",I31="X"),K31,0)</f>
        <v>0</v>
      </c>
      <c r="FP31" s="247">
        <f>IF(AND(Stamoplysninger!$B$26="Weekendtimer og weekendtillæg udbetales.",AA31="X"),(AC31+AN31)/2,0)</f>
        <v>0</v>
      </c>
      <c r="FQ31" s="665">
        <f>IF(AND(AND(Stamoplysninger!$B$26="Weekendtimer og weekendtillæg udbetales.",I31="X",C31="ikke relevant")),K31,0)</f>
        <v>0</v>
      </c>
      <c r="FR31" s="679">
        <f>IF(AND(AND(Stamoplysninger!$B$26="Weekendtimer og weekendtillæg udbetales.",AA31="X",U31="ikke relevant")),(AC31+AN31)/2,0)</f>
        <v>0</v>
      </c>
      <c r="FS31" s="279">
        <f t="shared" si="15"/>
        <v>0</v>
      </c>
      <c r="FT31" s="649">
        <f t="shared" si="16"/>
        <v>0</v>
      </c>
      <c r="FU31">
        <f t="shared" si="31"/>
        <v>0</v>
      </c>
      <c r="FV31" s="279">
        <f>IF(AND(Stamoplysninger!$B$26="Der er indgået lokalaftale omkring weekendtimer.(Kræver aftale med TR/FSL) Weekendtillæg afspadseres.",I31="X"),K31,0)</f>
        <v>0</v>
      </c>
      <c r="FW31" s="665">
        <f>IF(AND(AND(Stamoplysninger!$B$26="Der er indgået lokalaftale omkring weekendtimer.(Kræver aftale med TR/FSL) Weekendtillæg afspadseres.",I31="X",C31="ikke relevant")),K31,0)</f>
        <v>0</v>
      </c>
      <c r="FX31" s="279">
        <f>IF(AND(Stamoplysninger!$B$26="Der er indgået lokalaftale omkring weekendtimer(Kræver aftale med TR/FSL). Weekendtillæg udbetales.",I31="X"),K31,0)</f>
        <v>0</v>
      </c>
      <c r="FY31" s="665">
        <f>IF(AND(AND(Stamoplysninger!$B$26="Der er indgået lokalaftale omkring weekendtimer(Kræver aftale med TR/FSL). Weekendtillæg udbetales.",I31="X",C31="ikke relevant")),K31,0)</f>
        <v>0</v>
      </c>
      <c r="FZ31" s="279">
        <f>IF(AND(Stamoplysninger!$B$26="Der er indgået lokalaftale omkring weekendtillæg(Kræver aftale med TR/FSL). Weekendtimerne udbetales.",I31="X"),K31,0)</f>
        <v>0</v>
      </c>
      <c r="GA31" s="665">
        <f>IF(AND(AND(Stamoplysninger!$B$26="Der er indgået lokalaftale omkring weekendtillæg(Kræver aftale med TR/FSL). Weekendtimerne udbetales.",I31="X",C31="ikke relevant")),K31,0)</f>
        <v>0</v>
      </c>
      <c r="GB31" s="279">
        <f>IF(AND(Stamoplysninger!$B$26="Der er indgået lokalaftale omkring weekendtimer og weekendtillæg.(Kræver aftale med TR/FSL).",I31="X"),K31,0)</f>
        <v>0</v>
      </c>
      <c r="GC31" s="665">
        <f>IF(AND(AND(Stamoplysninger!$B$26="Der er indgået lokalaftale omkring weekendtimer og weekendtillæg.(Kræver aftale med TR/FSL).",I31="X",C31="ikke relevant")),K31,0)</f>
        <v>0</v>
      </c>
    </row>
    <row r="32" spans="1:185">
      <c r="A32" s="241">
        <f t="shared" si="18"/>
        <v>24</v>
      </c>
      <c r="B32" s="127" t="str">
        <f t="shared" si="0"/>
        <v>to</v>
      </c>
      <c r="C32" s="128" t="s">
        <v>206</v>
      </c>
      <c r="D32" s="129" t="str">
        <f t="shared" si="1"/>
        <v/>
      </c>
      <c r="E32" s="964"/>
      <c r="F32" s="965"/>
      <c r="G32" s="966"/>
      <c r="H32" s="294"/>
      <c r="I32" s="519"/>
      <c r="J32" s="407"/>
      <c r="K32" s="374"/>
      <c r="L32" s="374"/>
      <c r="M32" s="374"/>
      <c r="N32" s="313">
        <f t="shared" si="19"/>
        <v>0</v>
      </c>
      <c r="O32" s="313">
        <f t="shared" si="20"/>
        <v>0</v>
      </c>
      <c r="P32" s="313">
        <f>IF(Stamoplysninger!$H$29="JA",Oktober!DG32,CX32)</f>
        <v>0</v>
      </c>
      <c r="Q32" s="313">
        <f t="shared" si="21"/>
        <v>0</v>
      </c>
      <c r="R32" s="314"/>
      <c r="S32" s="319"/>
      <c r="T32" s="320"/>
      <c r="U32" s="320"/>
      <c r="V32" s="429"/>
      <c r="W32" s="406"/>
      <c r="X32" s="633"/>
      <c r="Y32">
        <f t="shared" si="22"/>
        <v>0</v>
      </c>
      <c r="Z32">
        <f t="shared" si="2"/>
        <v>0</v>
      </c>
      <c r="AA32" s="1">
        <f t="shared" si="3"/>
        <v>0</v>
      </c>
      <c r="AB32" s="1">
        <f t="shared" si="4"/>
        <v>0</v>
      </c>
      <c r="AC32" s="1">
        <f t="shared" si="5"/>
        <v>0</v>
      </c>
      <c r="AD32" s="1">
        <f t="shared" si="6"/>
        <v>0</v>
      </c>
      <c r="AE32" s="1">
        <f t="shared" si="7"/>
        <v>0</v>
      </c>
      <c r="AF32" s="1">
        <f>IF(C32="Orlov",7.4*Stamoplysninger!$E$15,0)</f>
        <v>0</v>
      </c>
      <c r="AG32" t="str">
        <f>IF(AND(C32="Skema 1",B32="ma"),Arbejdstidsoversigt!$E$72,"")</f>
        <v/>
      </c>
      <c r="AH32" t="str">
        <f>IF(AND(C32="Skema 1",B32="ti"),Arbejdstidsoversigt!$E$73,"")</f>
        <v/>
      </c>
      <c r="AI32" t="str">
        <f>IF(AND(C32="Skema 1",B32="on"),Arbejdstidsoversigt!$E$74,"")</f>
        <v/>
      </c>
      <c r="AJ32">
        <f>IF(AND(C32="Skema 1",B32="to"),Arbejdstidsoversigt!$E$75,"")</f>
        <v>0</v>
      </c>
      <c r="AK32" t="str">
        <f>IF(AND(C32="Skema 1",B32="fr"),Arbejdstidsoversigt!$E$76,"")</f>
        <v/>
      </c>
      <c r="AL32" t="str">
        <f>IF(AND(C32="Skema 2",B32="ma"),Arbejdstidsoversigt!$E$81,"")</f>
        <v/>
      </c>
      <c r="AM32" t="str">
        <f>IF(AND(C32="Skema 2",B32="ti"),Arbejdstidsoversigt!$E$82,"")</f>
        <v/>
      </c>
      <c r="AN32" t="str">
        <f>IF(AND(C32="Skema 2",B32="on"),Arbejdstidsoversigt!$E$83,"")</f>
        <v/>
      </c>
      <c r="AO32" t="str">
        <f>IF(AND(C32="Skema 2",B32="to"),Arbejdstidsoversigt!$E$84,"")</f>
        <v/>
      </c>
      <c r="AP32" t="str">
        <f>IF(AND(C32="Skema 2",B32="fr"),Arbejdstidsoversigt!$E$85,"")</f>
        <v/>
      </c>
      <c r="AQ32" t="str">
        <f>IF(AND(C32="Skema 3",B32="ma"),Arbejdstidsoversigt!$E$90,"")</f>
        <v/>
      </c>
      <c r="AR32" t="str">
        <f>IF(AND(C32="Skema 3",B32="ti"),Arbejdstidsoversigt!$E$91,"")</f>
        <v/>
      </c>
      <c r="AS32" t="str">
        <f>IF(AND(C32="Skema 3",B32="on"),Arbejdstidsoversigt!$E$92,"")</f>
        <v/>
      </c>
      <c r="AT32" t="str">
        <f>IF(AND(C32="Skema 3",B32="to"),Arbejdstidsoversigt!$E$93,"")</f>
        <v/>
      </c>
      <c r="AU32" t="str">
        <f>IF(AND(C32="Skema 3",B32="fr"),Arbejdstidsoversigt!$E$94,"")</f>
        <v/>
      </c>
      <c r="AV32" t="str">
        <f>IF(AND(C32="Skema 4",B32="ma"),Arbejdstidsoversigt!$E$99,"")</f>
        <v/>
      </c>
      <c r="AW32" t="str">
        <f>IF(AND(C32="Skema 4",B32="ti"),Arbejdstidsoversigt!$E$100,"")</f>
        <v/>
      </c>
      <c r="AX32" t="str">
        <f>IF(AND(C32="Skema 4",B32="on"),Arbejdstidsoversigt!$E$101,"")</f>
        <v/>
      </c>
      <c r="AY32" t="str">
        <f>IF(AND(C32="Skema 4",B32="to"),Arbejdstidsoversigt!$E$102,"")</f>
        <v/>
      </c>
      <c r="AZ32" t="str">
        <f>IF(AND(C32="Skema 4",B32="fr"),Arbejdstidsoversigt!$E$103,"")</f>
        <v/>
      </c>
      <c r="BA32" s="1">
        <f t="shared" si="23"/>
        <v>0</v>
      </c>
      <c r="BB32" s="226">
        <f t="shared" si="8"/>
        <v>0</v>
      </c>
      <c r="BC32" s="1">
        <f t="shared" si="24"/>
        <v>0</v>
      </c>
      <c r="BD32" s="1">
        <f t="shared" si="9"/>
        <v>0</v>
      </c>
      <c r="BE32" s="1">
        <f t="shared" si="10"/>
        <v>0</v>
      </c>
      <c r="BF32" s="1">
        <f t="shared" si="11"/>
        <v>0</v>
      </c>
      <c r="BG32" s="209" t="str">
        <f>IF(AND(C32="Skema 1",B32="ma"),Skemaoplysninger!$E$30,"")</f>
        <v/>
      </c>
      <c r="BH32" s="209" t="str">
        <f>IF(AND(C32="Skema 1",B32="ti"),Skemaoplysninger!$G$30,"")</f>
        <v/>
      </c>
      <c r="BI32" s="209" t="str">
        <f>IF(AND(C32="Skema 1",B32="on"),Skemaoplysninger!$I$30,"")</f>
        <v/>
      </c>
      <c r="BJ32" s="209">
        <f>IF(AND(C32="Skema 1",B32="to"),Skemaoplysninger!$K$30,"")</f>
        <v>0</v>
      </c>
      <c r="BK32" s="209" t="str">
        <f>IF(AND(C32="Skema 1",B32="fr"),Skemaoplysninger!$M$30,"")</f>
        <v/>
      </c>
      <c r="BL32" s="209" t="str">
        <f>IF(AND(C32="Skema 2",B32="ma"),Skemaoplysninger!$S$30,"")</f>
        <v/>
      </c>
      <c r="BM32" s="209" t="str">
        <f>IF(AND(C32="Skema 2",B32="ti"),Skemaoplysninger!$U$30,"")</f>
        <v/>
      </c>
      <c r="BN32" s="209" t="str">
        <f>IF(AND(C32="Skema 2",B32="on"),Skemaoplysninger!$W$30,"")</f>
        <v/>
      </c>
      <c r="BO32" s="209" t="str">
        <f>IF(AND(C32="Skema 2",B32="to"),Skemaoplysninger!$Y$30,"")</f>
        <v/>
      </c>
      <c r="BP32" s="209" t="str">
        <f>IF(AND(C32="Skema 2",B32="fr"),Skemaoplysninger!$AA$30,"")</f>
        <v/>
      </c>
      <c r="BQ32" s="209" t="str">
        <f>IF(AND(C32="Skema 3",B32="ma"),Skemaoplysninger!$AG$30,"")</f>
        <v/>
      </c>
      <c r="BR32" s="209" t="str">
        <f>IF(AND(C32="Skema 3",B32="ti"),Skemaoplysninger!$AI$30,"")</f>
        <v/>
      </c>
      <c r="BS32" s="209" t="str">
        <f>IF(AND(C32="Skema 3",B32="on"),Skemaoplysninger!$AK$30,"")</f>
        <v/>
      </c>
      <c r="BT32" s="209" t="str">
        <f>IF(AND(C32="Skema 3",B32="to"),Skemaoplysninger!$AM$30,"")</f>
        <v/>
      </c>
      <c r="BU32" s="209" t="str">
        <f>IF(AND(C32="Skema 3",B32="fr"),Skemaoplysninger!$AO$30,"")</f>
        <v/>
      </c>
      <c r="BV32" s="209" t="str">
        <f>IF(AND(C32="Skema 4",B32="ma"),Skemaoplysninger!$AU$30,"")</f>
        <v/>
      </c>
      <c r="BW32" s="209" t="str">
        <f>IF(AND(C32="Skema 4",B32="ti"),Skemaoplysninger!$AW$30,"")</f>
        <v/>
      </c>
      <c r="BX32" s="209" t="str">
        <f>IF(AND(C32="Skema 4",B32="on"),Skemaoplysninger!$AY$30,"")</f>
        <v/>
      </c>
      <c r="BY32" s="209" t="str">
        <f>IF(AND(C32="Skema 4",B32="to"),Skemaoplysninger!$BA$30,"")</f>
        <v/>
      </c>
      <c r="BZ32" s="209" t="str">
        <f>IF(AND(C32="Skema 4",B32="fr"),Skemaoplysninger!$BC$30,"")</f>
        <v/>
      </c>
      <c r="CA32" s="1">
        <f t="shared" si="25"/>
        <v>0</v>
      </c>
      <c r="CB32" s="1">
        <f t="shared" si="12"/>
        <v>0</v>
      </c>
      <c r="CC32" s="1">
        <f t="shared" si="13"/>
        <v>0</v>
      </c>
      <c r="CD32" s="209" t="str">
        <f>IF(AND(C32="Skema 1",B32="ma"),Skemaoplysninger!$E$31,"")</f>
        <v/>
      </c>
      <c r="CE32" s="209" t="str">
        <f>IF(AND(C32="Skema 1",B32="ti"),Skemaoplysninger!$G$31,"")</f>
        <v/>
      </c>
      <c r="CF32" s="209" t="str">
        <f>IF(AND(C32="Skema 1",B32="on"),Skemaoplysninger!$I$31,"")</f>
        <v/>
      </c>
      <c r="CG32" s="209">
        <f>IF(AND(C32="Skema 1",B32="to"),Skemaoplysninger!$K$31,"")</f>
        <v>0</v>
      </c>
      <c r="CH32" s="209" t="str">
        <f>IF(AND(C32="Skema 1",B32="fr"),Skemaoplysninger!$M$31,"")</f>
        <v/>
      </c>
      <c r="CI32" s="209" t="str">
        <f>IF(AND(C32="Skema 2",B32="ma"),Skemaoplysninger!$S$31,"")</f>
        <v/>
      </c>
      <c r="CJ32" s="209" t="str">
        <f>IF(AND(C32="Skema 2",B32="ti"),Skemaoplysninger!$U$31,"")</f>
        <v/>
      </c>
      <c r="CK32" s="209" t="str">
        <f>IF(AND(C32="Skema 2",B32="on"),Skemaoplysninger!$W$31,"")</f>
        <v/>
      </c>
      <c r="CL32" s="209" t="str">
        <f>IF(AND(C32="Skema 2",B32="to"),Skemaoplysninger!$Y$31,"")</f>
        <v/>
      </c>
      <c r="CM32" s="209" t="str">
        <f>IF(AND(C32="Skema 2",B32="fr"),Skemaoplysninger!$AA$31,"")</f>
        <v/>
      </c>
      <c r="CN32" s="209" t="str">
        <f>IF(AND(C32="Skema 3",B32="ma"),Skemaoplysninger!$AG$31,"")</f>
        <v/>
      </c>
      <c r="CO32" s="209" t="str">
        <f>IF(AND(C32="Skema 3",B32="ti"),Skemaoplysninger!$AI$31,"")</f>
        <v/>
      </c>
      <c r="CP32" s="209" t="str">
        <f>IF(AND(C32="Skema 3",B32="on"),Skemaoplysninger!$AK$31,"")</f>
        <v/>
      </c>
      <c r="CQ32" s="209" t="str">
        <f>IF(AND(C32="Skema 3",B32="to"),Skemaoplysninger!$AM$31,"")</f>
        <v/>
      </c>
      <c r="CR32" s="209" t="str">
        <f>IF(AND(C32="Skema 3",B32="fr"),Skemaoplysninger!$AO$31,"")</f>
        <v/>
      </c>
      <c r="CS32" s="209" t="str">
        <f>IF(AND(C32="Skema 4",B32="ma"),Skemaoplysninger!$AU$31,"")</f>
        <v/>
      </c>
      <c r="CT32" s="209" t="str">
        <f>IF(AND(C32="Skema 4",B32="ti"),Skemaoplysninger!$AW$31,"")</f>
        <v/>
      </c>
      <c r="CU32" s="209" t="str">
        <f>IF(AND(C32="Skema 4",B32="on"),Skemaoplysninger!$AY$31,"")</f>
        <v/>
      </c>
      <c r="CV32" s="209" t="str">
        <f>IF(AND(C32="Skema 4",B32="to"),Skemaoplysninger!$BA$31,"")</f>
        <v/>
      </c>
      <c r="CW32" s="209" t="str">
        <f>IF(AND(C32="Skema 4",B32="fr"),Skemaoplysninger!$BC$31,"")</f>
        <v/>
      </c>
      <c r="CX32" s="245">
        <f>IF(Stamoplysninger!$H$29="NEJ",SUM(CD32:CW32)*24+CB32+CC32,0)</f>
        <v>0</v>
      </c>
      <c r="CY32" s="245">
        <f>IF(C32="Skema 1",Stamoplysninger!$H$30/200,0)</f>
        <v>0</v>
      </c>
      <c r="CZ32" s="245">
        <f>IF(C32="Skema 2",Stamoplysninger!$H$30/200,0)</f>
        <v>0</v>
      </c>
      <c r="DA32" s="245">
        <f>IF(C32="Skema 3",Stamoplysninger!$H$30/200,0)</f>
        <v>0</v>
      </c>
      <c r="DB32" s="245">
        <f>IF(C32="Skema 4",Stamoplysninger!$H$30/200,0)</f>
        <v>0</v>
      </c>
      <c r="DC32" s="245">
        <f>IF(C32="fagdag",Stamoplysninger!$H$30/200,0)</f>
        <v>0</v>
      </c>
      <c r="DD32" s="245">
        <f>IF(C32="emnedag",Stamoplysninger!$H$30/200,0)</f>
        <v>0</v>
      </c>
      <c r="DE32" s="245">
        <f>IF(C32="lejrskole",Stamoplysninger!$H$30/200,0)</f>
        <v>0</v>
      </c>
      <c r="DF32" s="245">
        <f>IF(C32="ekskursion",Stamoplysninger!$H$30/200,0)</f>
        <v>0</v>
      </c>
      <c r="DG32" s="245">
        <f t="shared" si="26"/>
        <v>0</v>
      </c>
      <c r="DH32" t="str">
        <f t="shared" si="27"/>
        <v/>
      </c>
      <c r="DI32">
        <f t="shared" si="28"/>
        <v>0</v>
      </c>
      <c r="DJ32">
        <f t="shared" si="29"/>
        <v>0</v>
      </c>
      <c r="DK32" t="str">
        <f t="shared" si="14"/>
        <v/>
      </c>
      <c r="DL32" t="str">
        <f t="shared" si="14"/>
        <v/>
      </c>
      <c r="DM32" t="str">
        <f t="shared" si="14"/>
        <v/>
      </c>
      <c r="DN32" t="str">
        <f t="shared" si="30"/>
        <v/>
      </c>
      <c r="DO32" s="643">
        <f>IF(AND(Stamoplysninger!$B$22="Ulempetillæg udbetales med 25% af nettotimelønnen.",H32&gt;0),(R32/4),0)</f>
        <v>0</v>
      </c>
      <c r="DP32">
        <f>IF(AND(Stamoplysninger!$B$22="Ulempetillæg udbetales med 25% af nettotimelønnen.",I32="X"),K32/4,0)</f>
        <v>0</v>
      </c>
      <c r="DQ32">
        <f>IF(AND(Stamoplysninger!$B$22="Ulempetillæg udbetales med 25% af nettotimelønnen.",U32="X"),(X32/4),0)</f>
        <v>0</v>
      </c>
      <c r="DR32">
        <f>IF(AND(AND(Stamoplysninger!$B$22="Ulempetillæg udbetales med 25% af nettotimelønnen.",S32="X",I32="X")),V32/4,0)</f>
        <v>0</v>
      </c>
      <c r="DS32" s="662">
        <f>IF(AND(Stamoplysninger!$B$22="Ulempetillæg udbetales med 25% af nettotimelønnen.",C32="ikke relevant"),(R32)/4,0)</f>
        <v>0</v>
      </c>
      <c r="DT32" s="662">
        <f>IF(AND(AND(Stamoplysninger!$B$22="Ulempetillæg udbetales med 25% af nettotimelønnen.",I32="X",C32="Ikke relevant")),K32/4,0)</f>
        <v>0</v>
      </c>
      <c r="DU32" s="662">
        <f>IF(AND(AND(Stamoplysninger!$B$22="Ulempetillæg udbetales med 25% af nettotimelønnen.",C32="ikke relevant",U32="X")),(X32/4),0)</f>
        <v>0</v>
      </c>
      <c r="DV32" s="663">
        <f>IF(AND(AND(AND(Stamoplysninger!$B$22="Ulempetillæg udbetales med 25% af nettotimelønnen.",I32="X",C32="Ikke relevant",S32="X"))),V32/4,0)</f>
        <v>0</v>
      </c>
      <c r="DW32" s="643"/>
      <c r="DZ32" s="662"/>
      <c r="EA32" s="662"/>
      <c r="EB32" s="663"/>
      <c r="EC32" s="643">
        <f>IF(AND(Stamoplysninger!$B$22="Ulempetillæg afspadseres med 25%(Kræver en aftale imellem ledelsen og den ansatte)",H32&gt;0),R32/4,0)</f>
        <v>0</v>
      </c>
      <c r="ED32">
        <f>IF(AND(Stamoplysninger!$B$22="Ulempetillæg afspadseres med 25%(Kræver en aftale imellem ledelsen og den ansatte)",I32="X"),K32/4,0)</f>
        <v>0</v>
      </c>
      <c r="EE32">
        <f>IF(AND(Stamoplysninger!$B$22="Ulempetillæg afspadseres med 25%(Kræver en aftale imellem ledelsen og den ansatte)",U32="X"),X32/4,0)</f>
        <v>0</v>
      </c>
      <c r="EF32">
        <f>IF(AND(AND(Stamoplysninger!$B$22="Ulempetillæg afspadseres med 25%(Kræver en aftale imellem ledelsen og den ansatte)",I32="X",S32="X")),V32/4,0)</f>
        <v>0</v>
      </c>
      <c r="EG32" s="662">
        <f>IF(AND(Stamoplysninger!$B$22="Ulempetillæg afspadseres med 25%(Kræver en aftale imellem ledelsen og den ansatte)",C32="ikke relevant"),(R32)/4,0)</f>
        <v>0</v>
      </c>
      <c r="EH32" s="662">
        <f>IF(AND(AND(Stamoplysninger!$B$22="Ulempetillæg afspadseres med 25%(Kræver en aftale imellem ledelsen og den ansatte)",I32="X",C32="Ikke relevant")),K32/4,0)</f>
        <v>0</v>
      </c>
      <c r="EI32" s="662">
        <f>IF(AND(AND(Stamoplysninger!$B$22="Ulempetillæg afspadseres med 25%(Kræver en aftale imellem ledelsen og den ansatte)",U32="X",C32="Ikke relevant")),X32/4,0)</f>
        <v>0</v>
      </c>
      <c r="EJ32" s="662">
        <f>IF(AND(AND(AND(Stamoplysninger!$B$22="Ulempetillæg afspadseres med 25%(Kræver en aftale imellem ledelsen og den ansatte)",I32="X",C32="Ikke relevant",S32="X"))),V32/4,0)</f>
        <v>0</v>
      </c>
      <c r="EK32" s="279">
        <f>IF(AND(Stamoplysninger!$B$26="Weekendtimer og weekendtillæg afspadseres.",I32="X"),K32*1.5,0)</f>
        <v>0</v>
      </c>
      <c r="EL32" s="247">
        <f>IF(AND(AND(Stamoplysninger!$B$26="Weekendtimer og weekendtillæg afspadseres.",I32="X",S32="X")),V32*1.5,0)</f>
        <v>0</v>
      </c>
      <c r="EM32" s="665">
        <f>IF(AND(AND(Stamoplysninger!$B$26="Weekendtimer og weekendtillæg afspadseres.",I32="X",C32="ikke relevant")),K32*1.5,0)</f>
        <v>0</v>
      </c>
      <c r="EN32" s="666">
        <f>IF(AND(AND(AND(Stamoplysninger!$B$26="Weekendtimer og weekendtillæg afspadseres.",I32="X",C32="ikke relevant",S32="X"))),(V32*1.5),0)</f>
        <v>0</v>
      </c>
      <c r="EO32" s="279">
        <f>IF(AND(Stamoplysninger!$B$26="Weekendtimer og weekendtillæg udbetales.",I32="X"),K32*1.5,0)</f>
        <v>0</v>
      </c>
      <c r="EP32" s="247">
        <f>IF(AND(AND(Stamoplysninger!$B$26="Weekendtimer og weekendtillæg udbetales.",I32="X",S32="X")),V32*1.5,0)</f>
        <v>0</v>
      </c>
      <c r="EQ32" s="665">
        <f>IF(AND(AND(Stamoplysninger!$B$26="Weekendtimer og weekendtillæg udbetales.",I32="X",C32="ikke relevant")),K32*1.5,0)</f>
        <v>0</v>
      </c>
      <c r="ER32" s="666">
        <f>IF(AND(AND(AND(Stamoplysninger!$B$26="Weekendtimer og weekendtillæg udbetales.",I32="X",C32="ikke relevant",S32="X"))),(V32*1.5),0)</f>
        <v>0</v>
      </c>
      <c r="ES32" s="279">
        <f>IF(AND(Stamoplysninger!$B$26="Der er indgået lokalaftale omkring weekendtimer.(Kræver aftale med TR/FSL) Weekendtillæg afspadseres.",I32="X"),K32*0.5,0)</f>
        <v>0</v>
      </c>
      <c r="ET32" s="247">
        <f>IF(AND(AND(Stamoplysninger!$B$26="Der er indgået lokalaftale omkring weekendtimer.(Kræver aftale med TR/FSL) Weekendtillæg afspadseres.",I32="X",S32="X")),V32*0.5,0)</f>
        <v>0</v>
      </c>
      <c r="EU32" s="665">
        <f>IF(AND(AND(Stamoplysninger!$B$26="Der er indgået lokalaftale omkring weekendtimer.(Kræver aftale med TR/FSL) Weekendtillæg afspadseres.",I32="X",C32="ikke relevant")),K32*0.5,0)</f>
        <v>0</v>
      </c>
      <c r="EV32" s="666">
        <f>IF(AND(AND(AND(Stamoplysninger!$B$26="Der er indgået lokalaftale omkring weekendtimer.(Kræver aftale med TR/FSL) Weekendtillæg afspadseres.",I32="X",C32="ikke relevant",S32="X"))),(V32*0.5),0)</f>
        <v>0</v>
      </c>
      <c r="EW32" s="279">
        <f>IF(AND(Stamoplysninger!$B$26="Der er indgået lokalaftale omkring weekendtimer(Kræver aftale med TR/FSL). Weekendtillæg udbetales.",I32="X"),K32*0.5,0)</f>
        <v>0</v>
      </c>
      <c r="EX32" s="247">
        <f>IF(AND(AND(Stamoplysninger!$B$26="Der er indgået lokalaftale omkring weekendtimer(Kræver aftale med TR/FSL). Weekendtillæg udbetales.",I32="X",S32="X")),V32*0.5,0)</f>
        <v>0</v>
      </c>
      <c r="EY32" s="665">
        <f>IF(AND(AND(Stamoplysninger!$B$26="Der er indgået lokalaftale omkring weekendtimer(Kræver aftale med TR/FSL). Weekendtillæg udbetales.",I32="X",C32="ikke relevant")),K32*0.5,0)</f>
        <v>0</v>
      </c>
      <c r="EZ32" s="666">
        <f>IF(AND(AND(AND(Stamoplysninger!$B$26="Der er indgået lokalaftale omkring weekendtimer(Kræver aftale med TR/FSL). Weekendtillæg udbetales.",I32="X",C32="ikke relevant",S32="X"))),(V32*0.5),0)</f>
        <v>0</v>
      </c>
      <c r="FA32" s="279">
        <f>IF(AND(Stamoplysninger!$B$26="Der er indgået lokalaftale omkring weekendtillæg(Kræver aftale med TR/FSL). Weekendtimerne afspadseres.",I32="X"),K32,0)</f>
        <v>0</v>
      </c>
      <c r="FB32" s="247">
        <f>IF(AND(AND(Stamoplysninger!$B$26="Der er indgået lokalaftale omkring weekendtillæg(Kræver aftale med TR/FSL). Weekendtimerne afspadseres.",I32="X",S32="X")),V32,0)</f>
        <v>0</v>
      </c>
      <c r="FC32" s="665">
        <f>IF(AND(AND(Stamoplysninger!$B$26="Der er indgået lokalaftale omkring weekendtillæg(Kræver aftale med TR/FSL). Weekendtimerne afspadseres..",I32="X",C32="ikke relevant")),K32,0)</f>
        <v>0</v>
      </c>
      <c r="FD32" s="666">
        <f>IF(AND(AND(AND(Stamoplysninger!$B$26="Der er indgået lokalaftale omkring weekendtillæg(Kræver aftale med TR/FSL). Weekendtimerne afspadseres.",I32="X",C32="ikke relevant",S32="X"))),(V32),0)</f>
        <v>0</v>
      </c>
      <c r="FE32" s="279">
        <f>IF(AND(Stamoplysninger!$B$26="Der er indgået lokalaftale omkring weekendtillæg(Kræver aftale med TR/FSL). Weekendtimerne udbetales.",I32="X"),K32,0)</f>
        <v>0</v>
      </c>
      <c r="FF32" s="247">
        <f>IF(AND(AND(Stamoplysninger!$B$26="Der er indgået lokalaftale omkring weekendtillæg(Kræver aftale med TR/FSL). Weekendtimerne udbetales.",I32="X",S32="X")),V32,0)</f>
        <v>0</v>
      </c>
      <c r="FG32" s="665">
        <f>IF(AND(AND(Stamoplysninger!$B$26="Der er indgået lokalaftale omkring weekendtillæg(Kræver aftale med TR/FSL). Weekendtimerne udbetales.",I32="X",C32="ikke relevant")),K32,0)</f>
        <v>0</v>
      </c>
      <c r="FH32" s="666">
        <f>IF(AND(AND(AND(Stamoplysninger!$B$26="Der er indgået lokalaftale omkring weekendtillæg(Kræver aftale med TR/FSL). Weekendtimerne udbetales.",I32="X",C32="ikke relevant",S32="X"))),(V32),0)</f>
        <v>0</v>
      </c>
      <c r="FI32" s="279">
        <f>IF(AND(Stamoplysninger!$B$26="Weekendtimer og weekendtillæg afspadseres.",I32="X"),K32,0)</f>
        <v>0</v>
      </c>
      <c r="FJ32" s="247">
        <f>IF(AND(Stamoplysninger!$B$26="Weekendtimer og weekendtillæg afspadseres.",Y32="X"),(AA32+AL32)/2,0)</f>
        <v>0</v>
      </c>
      <c r="FK32" s="665">
        <f>IF(AND(AND(Stamoplysninger!$B$26="Weekendtimer og weekendtillæg afspadseres.",I32="X",C32="ikke relevant")),K32,0)</f>
        <v>0</v>
      </c>
      <c r="FL32" s="666">
        <f>IF(AND(AND(Stamoplysninger!$B$26="Weekendtimer og weekendtillæg afspadseres.",Y32="X",S32="ikke relevant")),(AA32+AL32)/2,0)</f>
        <v>0</v>
      </c>
      <c r="FM32" s="279">
        <f>IF(AND(Stamoplysninger!$B$26="Der er indgået lokalaftale omkring weekendtillæg(Kræver aftale med TR/FSL). Weekendtimerne afspadseres.",I32="X"),K32,0)</f>
        <v>0</v>
      </c>
      <c r="FN32" s="665">
        <f>IF(AND(AND(Stamoplysninger!$B$26="Der er indgået lokalaftale omkring weekendtillæg(Kræver aftale med TR/FSL). Weekendtimerne afspadseres.",I32="X",C32="ikke relevant")),K32,0)</f>
        <v>0</v>
      </c>
      <c r="FO32" s="279">
        <f>IF(AND(Stamoplysninger!$B$26="Weekendtimer og weekendtillæg udbetales.",I32="X"),K32,0)</f>
        <v>0</v>
      </c>
      <c r="FP32" s="247">
        <f>IF(AND(Stamoplysninger!$B$26="Weekendtimer og weekendtillæg udbetales.",AA32="X"),(AC32+AN32)/2,0)</f>
        <v>0</v>
      </c>
      <c r="FQ32" s="665">
        <f>IF(AND(AND(Stamoplysninger!$B$26="Weekendtimer og weekendtillæg udbetales.",I32="X",C32="ikke relevant")),K32,0)</f>
        <v>0</v>
      </c>
      <c r="FR32" s="679">
        <f>IF(AND(AND(Stamoplysninger!$B$26="Weekendtimer og weekendtillæg udbetales.",AA32="X",U32="ikke relevant")),(AC32+AN32)/2,0)</f>
        <v>0</v>
      </c>
      <c r="FS32" s="279">
        <f t="shared" si="15"/>
        <v>0</v>
      </c>
      <c r="FT32" s="649">
        <f t="shared" si="16"/>
        <v>0</v>
      </c>
      <c r="FU32">
        <f t="shared" si="31"/>
        <v>0</v>
      </c>
      <c r="FV32" s="279">
        <f>IF(AND(Stamoplysninger!$B$26="Der er indgået lokalaftale omkring weekendtimer.(Kræver aftale med TR/FSL) Weekendtillæg afspadseres.",I32="X"),K32,0)</f>
        <v>0</v>
      </c>
      <c r="FW32" s="665">
        <f>IF(AND(AND(Stamoplysninger!$B$26="Der er indgået lokalaftale omkring weekendtimer.(Kræver aftale med TR/FSL) Weekendtillæg afspadseres.",I32="X",C32="ikke relevant")),K32,0)</f>
        <v>0</v>
      </c>
      <c r="FX32" s="279">
        <f>IF(AND(Stamoplysninger!$B$26="Der er indgået lokalaftale omkring weekendtimer(Kræver aftale med TR/FSL). Weekendtillæg udbetales.",I32="X"),K32,0)</f>
        <v>0</v>
      </c>
      <c r="FY32" s="665">
        <f>IF(AND(AND(Stamoplysninger!$B$26="Der er indgået lokalaftale omkring weekendtimer(Kræver aftale med TR/FSL). Weekendtillæg udbetales.",I32="X",C32="ikke relevant")),K32,0)</f>
        <v>0</v>
      </c>
      <c r="FZ32" s="279">
        <f>IF(AND(Stamoplysninger!$B$26="Der er indgået lokalaftale omkring weekendtillæg(Kræver aftale med TR/FSL). Weekendtimerne udbetales.",I32="X"),K32,0)</f>
        <v>0</v>
      </c>
      <c r="GA32" s="665">
        <f>IF(AND(AND(Stamoplysninger!$B$26="Der er indgået lokalaftale omkring weekendtillæg(Kræver aftale med TR/FSL). Weekendtimerne udbetales.",I32="X",C32="ikke relevant")),K32,0)</f>
        <v>0</v>
      </c>
      <c r="GB32" s="279">
        <f>IF(AND(Stamoplysninger!$B$26="Der er indgået lokalaftale omkring weekendtimer og weekendtillæg.(Kræver aftale med TR/FSL).",I32="X"),K32,0)</f>
        <v>0</v>
      </c>
      <c r="GC32" s="665">
        <f>IF(AND(AND(Stamoplysninger!$B$26="Der er indgået lokalaftale omkring weekendtimer og weekendtillæg.(Kræver aftale med TR/FSL).",I32="X",C32="ikke relevant")),K32,0)</f>
        <v>0</v>
      </c>
    </row>
    <row r="33" spans="1:185">
      <c r="A33" s="241">
        <f t="shared" si="18"/>
        <v>25</v>
      </c>
      <c r="B33" s="127" t="str">
        <f t="shared" si="0"/>
        <v>fr</v>
      </c>
      <c r="C33" s="128" t="s">
        <v>206</v>
      </c>
      <c r="D33" s="129" t="str">
        <f t="shared" si="1"/>
        <v/>
      </c>
      <c r="E33" s="932"/>
      <c r="F33" s="933"/>
      <c r="G33" s="934"/>
      <c r="H33" s="294"/>
      <c r="I33" s="519"/>
      <c r="J33" s="407"/>
      <c r="K33" s="374"/>
      <c r="L33" s="374"/>
      <c r="M33" s="374"/>
      <c r="N33" s="313">
        <f t="shared" si="19"/>
        <v>0</v>
      </c>
      <c r="O33" s="313">
        <f t="shared" si="20"/>
        <v>0</v>
      </c>
      <c r="P33" s="313">
        <f>IF(Stamoplysninger!$H$29="JA",Oktober!DG33,CX33)</f>
        <v>0</v>
      </c>
      <c r="Q33" s="313">
        <f t="shared" si="21"/>
        <v>0</v>
      </c>
      <c r="R33" s="314"/>
      <c r="S33" s="319"/>
      <c r="T33" s="320"/>
      <c r="U33" s="320"/>
      <c r="V33" s="429"/>
      <c r="W33" s="406"/>
      <c r="X33" s="633"/>
      <c r="Y33">
        <f t="shared" si="22"/>
        <v>0</v>
      </c>
      <c r="Z33">
        <f t="shared" si="2"/>
        <v>0</v>
      </c>
      <c r="AA33" s="1">
        <f t="shared" si="3"/>
        <v>0</v>
      </c>
      <c r="AB33" s="1">
        <f t="shared" si="4"/>
        <v>0</v>
      </c>
      <c r="AC33" s="1">
        <f t="shared" si="5"/>
        <v>0</v>
      </c>
      <c r="AD33" s="1">
        <f t="shared" si="6"/>
        <v>0</v>
      </c>
      <c r="AE33" s="1">
        <f t="shared" si="7"/>
        <v>0</v>
      </c>
      <c r="AF33" s="1">
        <f>IF(C33="Orlov",7.4*Stamoplysninger!$E$15,0)</f>
        <v>0</v>
      </c>
      <c r="AG33" t="str">
        <f>IF(AND(C33="Skema 1",B33="ma"),Arbejdstidsoversigt!$E$72,"")</f>
        <v/>
      </c>
      <c r="AH33" t="str">
        <f>IF(AND(C33="Skema 1",B33="ti"),Arbejdstidsoversigt!$E$73,"")</f>
        <v/>
      </c>
      <c r="AI33" t="str">
        <f>IF(AND(C33="Skema 1",B33="on"),Arbejdstidsoversigt!$E$74,"")</f>
        <v/>
      </c>
      <c r="AJ33" t="str">
        <f>IF(AND(C33="Skema 1",B33="to"),Arbejdstidsoversigt!$E$75,"")</f>
        <v/>
      </c>
      <c r="AK33">
        <f>IF(AND(C33="Skema 1",B33="fr"),Arbejdstidsoversigt!$E$76,"")</f>
        <v>0</v>
      </c>
      <c r="AL33" t="str">
        <f>IF(AND(C33="Skema 2",B33="ma"),Arbejdstidsoversigt!$E$81,"")</f>
        <v/>
      </c>
      <c r="AM33" t="str">
        <f>IF(AND(C33="Skema 2",B33="ti"),Arbejdstidsoversigt!$E$82,"")</f>
        <v/>
      </c>
      <c r="AN33" t="str">
        <f>IF(AND(C33="Skema 2",B33="on"),Arbejdstidsoversigt!$E$83,"")</f>
        <v/>
      </c>
      <c r="AO33" t="str">
        <f>IF(AND(C33="Skema 2",B33="to"),Arbejdstidsoversigt!$E$84,"")</f>
        <v/>
      </c>
      <c r="AP33" t="str">
        <f>IF(AND(C33="Skema 2",B33="fr"),Arbejdstidsoversigt!$E$85,"")</f>
        <v/>
      </c>
      <c r="AQ33" t="str">
        <f>IF(AND(C33="Skema 3",B33="ma"),Arbejdstidsoversigt!$E$90,"")</f>
        <v/>
      </c>
      <c r="AR33" t="str">
        <f>IF(AND(C33="Skema 3",B33="ti"),Arbejdstidsoversigt!$E$91,"")</f>
        <v/>
      </c>
      <c r="AS33" t="str">
        <f>IF(AND(C33="Skema 3",B33="on"),Arbejdstidsoversigt!$E$92,"")</f>
        <v/>
      </c>
      <c r="AT33" t="str">
        <f>IF(AND(C33="Skema 3",B33="to"),Arbejdstidsoversigt!$E$93,"")</f>
        <v/>
      </c>
      <c r="AU33" t="str">
        <f>IF(AND(C33="Skema 3",B33="fr"),Arbejdstidsoversigt!$E$94,"")</f>
        <v/>
      </c>
      <c r="AV33" t="str">
        <f>IF(AND(C33="Skema 4",B33="ma"),Arbejdstidsoversigt!$E$99,"")</f>
        <v/>
      </c>
      <c r="AW33" t="str">
        <f>IF(AND(C33="Skema 4",B33="ti"),Arbejdstidsoversigt!$E$100,"")</f>
        <v/>
      </c>
      <c r="AX33" t="str">
        <f>IF(AND(C33="Skema 4",B33="on"),Arbejdstidsoversigt!$E$101,"")</f>
        <v/>
      </c>
      <c r="AY33" t="str">
        <f>IF(AND(C33="Skema 4",B33="to"),Arbejdstidsoversigt!$E$102,"")</f>
        <v/>
      </c>
      <c r="AZ33" t="str">
        <f>IF(AND(C33="Skema 4",B33="fr"),Arbejdstidsoversigt!$E$103,"")</f>
        <v/>
      </c>
      <c r="BA33" s="1">
        <f t="shared" si="23"/>
        <v>0</v>
      </c>
      <c r="BB33" s="226">
        <f t="shared" si="8"/>
        <v>0</v>
      </c>
      <c r="BC33" s="1">
        <f t="shared" si="24"/>
        <v>0</v>
      </c>
      <c r="BD33" s="1">
        <f t="shared" si="9"/>
        <v>0</v>
      </c>
      <c r="BE33" s="1">
        <f t="shared" si="10"/>
        <v>0</v>
      </c>
      <c r="BF33" s="1">
        <f t="shared" si="11"/>
        <v>0</v>
      </c>
      <c r="BG33" s="209" t="str">
        <f>IF(AND(C33="Skema 1",B33="ma"),Skemaoplysninger!$E$30,"")</f>
        <v/>
      </c>
      <c r="BH33" s="209" t="str">
        <f>IF(AND(C33="Skema 1",B33="ti"),Skemaoplysninger!$G$30,"")</f>
        <v/>
      </c>
      <c r="BI33" s="209" t="str">
        <f>IF(AND(C33="Skema 1",B33="on"),Skemaoplysninger!$I$30,"")</f>
        <v/>
      </c>
      <c r="BJ33" s="209" t="str">
        <f>IF(AND(C33="Skema 1",B33="to"),Skemaoplysninger!$K$30,"")</f>
        <v/>
      </c>
      <c r="BK33" s="209">
        <f>IF(AND(C33="Skema 1",B33="fr"),Skemaoplysninger!$M$30,"")</f>
        <v>0</v>
      </c>
      <c r="BL33" s="209" t="str">
        <f>IF(AND(C33="Skema 2",B33="ma"),Skemaoplysninger!$S$30,"")</f>
        <v/>
      </c>
      <c r="BM33" s="209" t="str">
        <f>IF(AND(C33="Skema 2",B33="ti"),Skemaoplysninger!$U$30,"")</f>
        <v/>
      </c>
      <c r="BN33" s="209" t="str">
        <f>IF(AND(C33="Skema 2",B33="on"),Skemaoplysninger!$W$30,"")</f>
        <v/>
      </c>
      <c r="BO33" s="209" t="str">
        <f>IF(AND(C33="Skema 2",B33="to"),Skemaoplysninger!$Y$30,"")</f>
        <v/>
      </c>
      <c r="BP33" s="209" t="str">
        <f>IF(AND(C33="Skema 2",B33="fr"),Skemaoplysninger!$AA$30,"")</f>
        <v/>
      </c>
      <c r="BQ33" s="209" t="str">
        <f>IF(AND(C33="Skema 3",B33="ma"),Skemaoplysninger!$AG$30,"")</f>
        <v/>
      </c>
      <c r="BR33" s="209" t="str">
        <f>IF(AND(C33="Skema 3",B33="ti"),Skemaoplysninger!$AI$30,"")</f>
        <v/>
      </c>
      <c r="BS33" s="209" t="str">
        <f>IF(AND(C33="Skema 3",B33="on"),Skemaoplysninger!$AK$30,"")</f>
        <v/>
      </c>
      <c r="BT33" s="209" t="str">
        <f>IF(AND(C33="Skema 3",B33="to"),Skemaoplysninger!$AM$30,"")</f>
        <v/>
      </c>
      <c r="BU33" s="209" t="str">
        <f>IF(AND(C33="Skema 3",B33="fr"),Skemaoplysninger!$AO$30,"")</f>
        <v/>
      </c>
      <c r="BV33" s="209" t="str">
        <f>IF(AND(C33="Skema 4",B33="ma"),Skemaoplysninger!$AU$30,"")</f>
        <v/>
      </c>
      <c r="BW33" s="209" t="str">
        <f>IF(AND(C33="Skema 4",B33="ti"),Skemaoplysninger!$AW$30,"")</f>
        <v/>
      </c>
      <c r="BX33" s="209" t="str">
        <f>IF(AND(C33="Skema 4",B33="on"),Skemaoplysninger!$AY$30,"")</f>
        <v/>
      </c>
      <c r="BY33" s="209" t="str">
        <f>IF(AND(C33="Skema 4",B33="to"),Skemaoplysninger!$BA$30,"")</f>
        <v/>
      </c>
      <c r="BZ33" s="209" t="str">
        <f>IF(AND(C33="Skema 4",B33="fr"),Skemaoplysninger!$BC$30,"")</f>
        <v/>
      </c>
      <c r="CA33" s="1">
        <f t="shared" si="25"/>
        <v>0</v>
      </c>
      <c r="CB33" s="1">
        <f t="shared" si="12"/>
        <v>0</v>
      </c>
      <c r="CC33" s="1">
        <f t="shared" si="13"/>
        <v>0</v>
      </c>
      <c r="CD33" s="209" t="str">
        <f>IF(AND(C33="Skema 1",B33="ma"),Skemaoplysninger!$E$31,"")</f>
        <v/>
      </c>
      <c r="CE33" s="209" t="str">
        <f>IF(AND(C33="Skema 1",B33="ti"),Skemaoplysninger!$G$31,"")</f>
        <v/>
      </c>
      <c r="CF33" s="209" t="str">
        <f>IF(AND(C33="Skema 1",B33="on"),Skemaoplysninger!$I$31,"")</f>
        <v/>
      </c>
      <c r="CG33" s="209" t="str">
        <f>IF(AND(C33="Skema 1",B33="to"),Skemaoplysninger!$K$31,"")</f>
        <v/>
      </c>
      <c r="CH33" s="209">
        <f>IF(AND(C33="Skema 1",B33="fr"),Skemaoplysninger!$M$31,"")</f>
        <v>0</v>
      </c>
      <c r="CI33" s="209" t="str">
        <f>IF(AND(C33="Skema 2",B33="ma"),Skemaoplysninger!$S$31,"")</f>
        <v/>
      </c>
      <c r="CJ33" s="209" t="str">
        <f>IF(AND(C33="Skema 2",B33="ti"),Skemaoplysninger!$U$31,"")</f>
        <v/>
      </c>
      <c r="CK33" s="209" t="str">
        <f>IF(AND(C33="Skema 2",B33="on"),Skemaoplysninger!$W$31,"")</f>
        <v/>
      </c>
      <c r="CL33" s="209" t="str">
        <f>IF(AND(C33="Skema 2",B33="to"),Skemaoplysninger!$Y$31,"")</f>
        <v/>
      </c>
      <c r="CM33" s="209" t="str">
        <f>IF(AND(C33="Skema 2",B33="fr"),Skemaoplysninger!$AA$31,"")</f>
        <v/>
      </c>
      <c r="CN33" s="209" t="str">
        <f>IF(AND(C33="Skema 3",B33="ma"),Skemaoplysninger!$AG$31,"")</f>
        <v/>
      </c>
      <c r="CO33" s="209" t="str">
        <f>IF(AND(C33="Skema 3",B33="ti"),Skemaoplysninger!$AI$31,"")</f>
        <v/>
      </c>
      <c r="CP33" s="209" t="str">
        <f>IF(AND(C33="Skema 3",B33="on"),Skemaoplysninger!$AK$31,"")</f>
        <v/>
      </c>
      <c r="CQ33" s="209" t="str">
        <f>IF(AND(C33="Skema 3",B33="to"),Skemaoplysninger!$AM$31,"")</f>
        <v/>
      </c>
      <c r="CR33" s="209" t="str">
        <f>IF(AND(C33="Skema 3",B33="fr"),Skemaoplysninger!$AO$31,"")</f>
        <v/>
      </c>
      <c r="CS33" s="209" t="str">
        <f>IF(AND(C33="Skema 4",B33="ma"),Skemaoplysninger!$AU$31,"")</f>
        <v/>
      </c>
      <c r="CT33" s="209" t="str">
        <f>IF(AND(C33="Skema 4",B33="ti"),Skemaoplysninger!$AW$31,"")</f>
        <v/>
      </c>
      <c r="CU33" s="209" t="str">
        <f>IF(AND(C33="Skema 4",B33="on"),Skemaoplysninger!$AY$31,"")</f>
        <v/>
      </c>
      <c r="CV33" s="209" t="str">
        <f>IF(AND(C33="Skema 4",B33="to"),Skemaoplysninger!$BA$31,"")</f>
        <v/>
      </c>
      <c r="CW33" s="209" t="str">
        <f>IF(AND(C33="Skema 4",B33="fr"),Skemaoplysninger!$BC$31,"")</f>
        <v/>
      </c>
      <c r="CX33" s="245">
        <f>IF(Stamoplysninger!$H$29="NEJ",SUM(CD33:CW33)*24+CB33+CC33,0)</f>
        <v>0</v>
      </c>
      <c r="CY33" s="245">
        <f>IF(C33="Skema 1",Stamoplysninger!$H$30/200,0)</f>
        <v>0</v>
      </c>
      <c r="CZ33" s="245">
        <f>IF(C33="Skema 2",Stamoplysninger!$H$30/200,0)</f>
        <v>0</v>
      </c>
      <c r="DA33" s="245">
        <f>IF(C33="Skema 3",Stamoplysninger!$H$30/200,0)</f>
        <v>0</v>
      </c>
      <c r="DB33" s="245">
        <f>IF(C33="Skema 4",Stamoplysninger!$H$30/200,0)</f>
        <v>0</v>
      </c>
      <c r="DC33" s="245">
        <f>IF(C33="fagdag",Stamoplysninger!$H$30/200,0)</f>
        <v>0</v>
      </c>
      <c r="DD33" s="245">
        <f>IF(C33="emnedag",Stamoplysninger!$H$30/200,0)</f>
        <v>0</v>
      </c>
      <c r="DE33" s="245">
        <f>IF(C33="lejrskole",Stamoplysninger!$H$30/200,0)</f>
        <v>0</v>
      </c>
      <c r="DF33" s="245">
        <f>IF(C33="ekskursion",Stamoplysninger!$H$30/200,0)</f>
        <v>0</v>
      </c>
      <c r="DG33" s="245">
        <f t="shared" si="26"/>
        <v>0</v>
      </c>
      <c r="DH33" t="str">
        <f t="shared" si="27"/>
        <v/>
      </c>
      <c r="DI33">
        <f t="shared" si="28"/>
        <v>0</v>
      </c>
      <c r="DJ33">
        <f t="shared" si="29"/>
        <v>0</v>
      </c>
      <c r="DK33" t="str">
        <f t="shared" si="14"/>
        <v/>
      </c>
      <c r="DL33" t="str">
        <f t="shared" si="14"/>
        <v/>
      </c>
      <c r="DM33" t="str">
        <f t="shared" si="14"/>
        <v/>
      </c>
      <c r="DN33" t="str">
        <f t="shared" si="30"/>
        <v/>
      </c>
      <c r="DO33" s="643">
        <f>IF(AND(Stamoplysninger!$B$22="Ulempetillæg udbetales med 25% af nettotimelønnen.",H33&gt;0),(R33/4),0)</f>
        <v>0</v>
      </c>
      <c r="DP33">
        <f>IF(AND(Stamoplysninger!$B$22="Ulempetillæg udbetales med 25% af nettotimelønnen.",I33="X"),K33/4,0)</f>
        <v>0</v>
      </c>
      <c r="DQ33">
        <f>IF(AND(Stamoplysninger!$B$22="Ulempetillæg udbetales med 25% af nettotimelønnen.",U33="X"),(X33/4),0)</f>
        <v>0</v>
      </c>
      <c r="DR33">
        <f>IF(AND(AND(Stamoplysninger!$B$22="Ulempetillæg udbetales med 25% af nettotimelønnen.",S33="X",I33="X")),V33/4,0)</f>
        <v>0</v>
      </c>
      <c r="DS33" s="662">
        <f>IF(AND(Stamoplysninger!$B$22="Ulempetillæg udbetales med 25% af nettotimelønnen.",C33="ikke relevant"),(R33)/4,0)</f>
        <v>0</v>
      </c>
      <c r="DT33" s="662">
        <f>IF(AND(AND(Stamoplysninger!$B$22="Ulempetillæg udbetales med 25% af nettotimelønnen.",I33="X",C33="Ikke relevant")),K33/4,0)</f>
        <v>0</v>
      </c>
      <c r="DU33" s="662">
        <f>IF(AND(AND(Stamoplysninger!$B$22="Ulempetillæg udbetales med 25% af nettotimelønnen.",C33="ikke relevant",U33="X")),(X33/4),0)</f>
        <v>0</v>
      </c>
      <c r="DV33" s="663">
        <f>IF(AND(AND(AND(Stamoplysninger!$B$22="Ulempetillæg udbetales med 25% af nettotimelønnen.",I33="X",C33="Ikke relevant",S33="X"))),V33/4,0)</f>
        <v>0</v>
      </c>
      <c r="DW33" s="643"/>
      <c r="DZ33" s="662"/>
      <c r="EA33" s="662"/>
      <c r="EB33" s="663"/>
      <c r="EC33" s="643">
        <f>IF(AND(Stamoplysninger!$B$22="Ulempetillæg afspadseres med 25%(Kræver en aftale imellem ledelsen og den ansatte)",H33&gt;0),R33/4,0)</f>
        <v>0</v>
      </c>
      <c r="ED33">
        <f>IF(AND(Stamoplysninger!$B$22="Ulempetillæg afspadseres med 25%(Kræver en aftale imellem ledelsen og den ansatte)",I33="X"),K33/4,0)</f>
        <v>0</v>
      </c>
      <c r="EE33">
        <f>IF(AND(Stamoplysninger!$B$22="Ulempetillæg afspadseres med 25%(Kræver en aftale imellem ledelsen og den ansatte)",U33="X"),X33/4,0)</f>
        <v>0</v>
      </c>
      <c r="EF33">
        <f>IF(AND(AND(Stamoplysninger!$B$22="Ulempetillæg afspadseres med 25%(Kræver en aftale imellem ledelsen og den ansatte)",I33="X",S33="X")),V33/4,0)</f>
        <v>0</v>
      </c>
      <c r="EG33" s="662">
        <f>IF(AND(Stamoplysninger!$B$22="Ulempetillæg afspadseres med 25%(Kræver en aftale imellem ledelsen og den ansatte)",C33="ikke relevant"),(R33)/4,0)</f>
        <v>0</v>
      </c>
      <c r="EH33" s="662">
        <f>IF(AND(AND(Stamoplysninger!$B$22="Ulempetillæg afspadseres med 25%(Kræver en aftale imellem ledelsen og den ansatte)",I33="X",C33="Ikke relevant")),K33/4,0)</f>
        <v>0</v>
      </c>
      <c r="EI33" s="662">
        <f>IF(AND(AND(Stamoplysninger!$B$22="Ulempetillæg afspadseres med 25%(Kræver en aftale imellem ledelsen og den ansatte)",U33="X",C33="Ikke relevant")),X33/4,0)</f>
        <v>0</v>
      </c>
      <c r="EJ33" s="662">
        <f>IF(AND(AND(AND(Stamoplysninger!$B$22="Ulempetillæg afspadseres med 25%(Kræver en aftale imellem ledelsen og den ansatte)",I33="X",C33="Ikke relevant",S33="X"))),V33/4,0)</f>
        <v>0</v>
      </c>
      <c r="EK33" s="279">
        <f>IF(AND(Stamoplysninger!$B$26="Weekendtimer og weekendtillæg afspadseres.",I33="X"),K33*1.5,0)</f>
        <v>0</v>
      </c>
      <c r="EL33" s="247">
        <f>IF(AND(AND(Stamoplysninger!$B$26="Weekendtimer og weekendtillæg afspadseres.",I33="X",S33="X")),V33*1.5,0)</f>
        <v>0</v>
      </c>
      <c r="EM33" s="665">
        <f>IF(AND(AND(Stamoplysninger!$B$26="Weekendtimer og weekendtillæg afspadseres.",I33="X",C33="ikke relevant")),K33*1.5,0)</f>
        <v>0</v>
      </c>
      <c r="EN33" s="666">
        <f>IF(AND(AND(AND(Stamoplysninger!$B$26="Weekendtimer og weekendtillæg afspadseres.",I33="X",C33="ikke relevant",S33="X"))),(V33*1.5),0)</f>
        <v>0</v>
      </c>
      <c r="EO33" s="279">
        <f>IF(AND(Stamoplysninger!$B$26="Weekendtimer og weekendtillæg udbetales.",I33="X"),K33*1.5,0)</f>
        <v>0</v>
      </c>
      <c r="EP33" s="247">
        <f>IF(AND(AND(Stamoplysninger!$B$26="Weekendtimer og weekendtillæg udbetales.",I33="X",S33="X")),V33*1.5,0)</f>
        <v>0</v>
      </c>
      <c r="EQ33" s="665">
        <f>IF(AND(AND(Stamoplysninger!$B$26="Weekendtimer og weekendtillæg udbetales.",I33="X",C33="ikke relevant")),K33*1.5,0)</f>
        <v>0</v>
      </c>
      <c r="ER33" s="666">
        <f>IF(AND(AND(AND(Stamoplysninger!$B$26="Weekendtimer og weekendtillæg udbetales.",I33="X",C33="ikke relevant",S33="X"))),(V33*1.5),0)</f>
        <v>0</v>
      </c>
      <c r="ES33" s="279">
        <f>IF(AND(Stamoplysninger!$B$26="Der er indgået lokalaftale omkring weekendtimer.(Kræver aftale med TR/FSL) Weekendtillæg afspadseres.",I33="X"),K33*0.5,0)</f>
        <v>0</v>
      </c>
      <c r="ET33" s="247">
        <f>IF(AND(AND(Stamoplysninger!$B$26="Der er indgået lokalaftale omkring weekendtimer.(Kræver aftale med TR/FSL) Weekendtillæg afspadseres.",I33="X",S33="X")),V33*0.5,0)</f>
        <v>0</v>
      </c>
      <c r="EU33" s="665">
        <f>IF(AND(AND(Stamoplysninger!$B$26="Der er indgået lokalaftale omkring weekendtimer.(Kræver aftale med TR/FSL) Weekendtillæg afspadseres.",I33="X",C33="ikke relevant")),K33*0.5,0)</f>
        <v>0</v>
      </c>
      <c r="EV33" s="666">
        <f>IF(AND(AND(AND(Stamoplysninger!$B$26="Der er indgået lokalaftale omkring weekendtimer.(Kræver aftale med TR/FSL) Weekendtillæg afspadseres.",I33="X",C33="ikke relevant",S33="X"))),(V33*0.5),0)</f>
        <v>0</v>
      </c>
      <c r="EW33" s="279">
        <f>IF(AND(Stamoplysninger!$B$26="Der er indgået lokalaftale omkring weekendtimer(Kræver aftale med TR/FSL). Weekendtillæg udbetales.",I33="X"),K33*0.5,0)</f>
        <v>0</v>
      </c>
      <c r="EX33" s="247">
        <f>IF(AND(AND(Stamoplysninger!$B$26="Der er indgået lokalaftale omkring weekendtimer(Kræver aftale med TR/FSL). Weekendtillæg udbetales.",I33="X",S33="X")),V33*0.5,0)</f>
        <v>0</v>
      </c>
      <c r="EY33" s="665">
        <f>IF(AND(AND(Stamoplysninger!$B$26="Der er indgået lokalaftale omkring weekendtimer(Kræver aftale med TR/FSL). Weekendtillæg udbetales.",I33="X",C33="ikke relevant")),K33*0.5,0)</f>
        <v>0</v>
      </c>
      <c r="EZ33" s="666">
        <f>IF(AND(AND(AND(Stamoplysninger!$B$26="Der er indgået lokalaftale omkring weekendtimer(Kræver aftale med TR/FSL). Weekendtillæg udbetales.",I33="X",C33="ikke relevant",S33="X"))),(V33*0.5),0)</f>
        <v>0</v>
      </c>
      <c r="FA33" s="279">
        <f>IF(AND(Stamoplysninger!$B$26="Der er indgået lokalaftale omkring weekendtillæg(Kræver aftale med TR/FSL). Weekendtimerne afspadseres.",I33="X"),K33,0)</f>
        <v>0</v>
      </c>
      <c r="FB33" s="247">
        <f>IF(AND(AND(Stamoplysninger!$B$26="Der er indgået lokalaftale omkring weekendtillæg(Kræver aftale med TR/FSL). Weekendtimerne afspadseres.",I33="X",S33="X")),V33,0)</f>
        <v>0</v>
      </c>
      <c r="FC33" s="665">
        <f>IF(AND(AND(Stamoplysninger!$B$26="Der er indgået lokalaftale omkring weekendtillæg(Kræver aftale med TR/FSL). Weekendtimerne afspadseres..",I33="X",C33="ikke relevant")),K33,0)</f>
        <v>0</v>
      </c>
      <c r="FD33" s="666">
        <f>IF(AND(AND(AND(Stamoplysninger!$B$26="Der er indgået lokalaftale omkring weekendtillæg(Kræver aftale med TR/FSL). Weekendtimerne afspadseres.",I33="X",C33="ikke relevant",S33="X"))),(V33),0)</f>
        <v>0</v>
      </c>
      <c r="FE33" s="279">
        <f>IF(AND(Stamoplysninger!$B$26="Der er indgået lokalaftale omkring weekendtillæg(Kræver aftale med TR/FSL). Weekendtimerne udbetales.",I33="X"),K33,0)</f>
        <v>0</v>
      </c>
      <c r="FF33" s="247">
        <f>IF(AND(AND(Stamoplysninger!$B$26="Der er indgået lokalaftale omkring weekendtillæg(Kræver aftale med TR/FSL). Weekendtimerne udbetales.",I33="X",S33="X")),V33,0)</f>
        <v>0</v>
      </c>
      <c r="FG33" s="665">
        <f>IF(AND(AND(Stamoplysninger!$B$26="Der er indgået lokalaftale omkring weekendtillæg(Kræver aftale med TR/FSL). Weekendtimerne udbetales.",I33="X",C33="ikke relevant")),K33,0)</f>
        <v>0</v>
      </c>
      <c r="FH33" s="666">
        <f>IF(AND(AND(AND(Stamoplysninger!$B$26="Der er indgået lokalaftale omkring weekendtillæg(Kræver aftale med TR/FSL). Weekendtimerne udbetales.",I33="X",C33="ikke relevant",S33="X"))),(V33),0)</f>
        <v>0</v>
      </c>
      <c r="FI33" s="279">
        <f>IF(AND(Stamoplysninger!$B$26="Weekendtimer og weekendtillæg afspadseres.",I33="X"),K33,0)</f>
        <v>0</v>
      </c>
      <c r="FJ33" s="247">
        <f>IF(AND(Stamoplysninger!$B$26="Weekendtimer og weekendtillæg afspadseres.",Y33="X"),(AA33+AL33)/2,0)</f>
        <v>0</v>
      </c>
      <c r="FK33" s="665">
        <f>IF(AND(AND(Stamoplysninger!$B$26="Weekendtimer og weekendtillæg afspadseres.",I33="X",C33="ikke relevant")),K33,0)</f>
        <v>0</v>
      </c>
      <c r="FL33" s="666">
        <f>IF(AND(AND(Stamoplysninger!$B$26="Weekendtimer og weekendtillæg afspadseres.",Y33="X",S33="ikke relevant")),(AA33+AL33)/2,0)</f>
        <v>0</v>
      </c>
      <c r="FM33" s="279">
        <f>IF(AND(Stamoplysninger!$B$26="Der er indgået lokalaftale omkring weekendtillæg(Kræver aftale med TR/FSL). Weekendtimerne afspadseres.",I33="X"),K33,0)</f>
        <v>0</v>
      </c>
      <c r="FN33" s="665">
        <f>IF(AND(AND(Stamoplysninger!$B$26="Der er indgået lokalaftale omkring weekendtillæg(Kræver aftale med TR/FSL). Weekendtimerne afspadseres.",I33="X",C33="ikke relevant")),K33,0)</f>
        <v>0</v>
      </c>
      <c r="FO33" s="279">
        <f>IF(AND(Stamoplysninger!$B$26="Weekendtimer og weekendtillæg udbetales.",I33="X"),K33,0)</f>
        <v>0</v>
      </c>
      <c r="FP33" s="247">
        <f>IF(AND(Stamoplysninger!$B$26="Weekendtimer og weekendtillæg udbetales.",AA33="X"),(AC33+AN33)/2,0)</f>
        <v>0</v>
      </c>
      <c r="FQ33" s="665">
        <f>IF(AND(AND(Stamoplysninger!$B$26="Weekendtimer og weekendtillæg udbetales.",I33="X",C33="ikke relevant")),K33,0)</f>
        <v>0</v>
      </c>
      <c r="FR33" s="679">
        <f>IF(AND(AND(Stamoplysninger!$B$26="Weekendtimer og weekendtillæg udbetales.",AA33="X",U33="ikke relevant")),(AC33+AN33)/2,0)</f>
        <v>0</v>
      </c>
      <c r="FS33" s="279">
        <f t="shared" si="15"/>
        <v>0</v>
      </c>
      <c r="FT33" s="649">
        <f t="shared" si="16"/>
        <v>0</v>
      </c>
      <c r="FU33">
        <f t="shared" si="31"/>
        <v>0</v>
      </c>
      <c r="FV33" s="279">
        <f>IF(AND(Stamoplysninger!$B$26="Der er indgået lokalaftale omkring weekendtimer.(Kræver aftale med TR/FSL) Weekendtillæg afspadseres.",I33="X"),K33,0)</f>
        <v>0</v>
      </c>
      <c r="FW33" s="665">
        <f>IF(AND(AND(Stamoplysninger!$B$26="Der er indgået lokalaftale omkring weekendtimer.(Kræver aftale med TR/FSL) Weekendtillæg afspadseres.",I33="X",C33="ikke relevant")),K33,0)</f>
        <v>0</v>
      </c>
      <c r="FX33" s="279">
        <f>IF(AND(Stamoplysninger!$B$26="Der er indgået lokalaftale omkring weekendtimer(Kræver aftale med TR/FSL). Weekendtillæg udbetales.",I33="X"),K33,0)</f>
        <v>0</v>
      </c>
      <c r="FY33" s="665">
        <f>IF(AND(AND(Stamoplysninger!$B$26="Der er indgået lokalaftale omkring weekendtimer(Kræver aftale med TR/FSL). Weekendtillæg udbetales.",I33="X",C33="ikke relevant")),K33,0)</f>
        <v>0</v>
      </c>
      <c r="FZ33" s="279">
        <f>IF(AND(Stamoplysninger!$B$26="Der er indgået lokalaftale omkring weekendtillæg(Kræver aftale med TR/FSL). Weekendtimerne udbetales.",I33="X"),K33,0)</f>
        <v>0</v>
      </c>
      <c r="GA33" s="665">
        <f>IF(AND(AND(Stamoplysninger!$B$26="Der er indgået lokalaftale omkring weekendtillæg(Kræver aftale med TR/FSL). Weekendtimerne udbetales.",I33="X",C33="ikke relevant")),K33,0)</f>
        <v>0</v>
      </c>
      <c r="GB33" s="279">
        <f>IF(AND(Stamoplysninger!$B$26="Der er indgået lokalaftale omkring weekendtimer og weekendtillæg.(Kræver aftale med TR/FSL).",I33="X"),K33,0)</f>
        <v>0</v>
      </c>
      <c r="GC33" s="665">
        <f>IF(AND(AND(Stamoplysninger!$B$26="Der er indgået lokalaftale omkring weekendtimer og weekendtillæg.(Kræver aftale med TR/FSL).",I33="X",C33="ikke relevant")),K33,0)</f>
        <v>0</v>
      </c>
    </row>
    <row r="34" spans="1:185">
      <c r="A34" s="241">
        <f t="shared" si="18"/>
        <v>26</v>
      </c>
      <c r="B34" s="127" t="str">
        <f t="shared" si="0"/>
        <v>lø</v>
      </c>
      <c r="C34" s="128" t="s">
        <v>120</v>
      </c>
      <c r="D34" s="129" t="str">
        <f t="shared" si="1"/>
        <v/>
      </c>
      <c r="E34" s="932"/>
      <c r="F34" s="933"/>
      <c r="G34" s="934"/>
      <c r="H34" s="294"/>
      <c r="I34" s="608"/>
      <c r="J34" s="407"/>
      <c r="K34" s="374"/>
      <c r="L34" s="374"/>
      <c r="M34" s="374"/>
      <c r="N34" s="313">
        <f t="shared" si="19"/>
        <v>0</v>
      </c>
      <c r="O34" s="313">
        <f t="shared" si="20"/>
        <v>0</v>
      </c>
      <c r="P34" s="313">
        <f>IF(Stamoplysninger!$H$29="JA",Oktober!DG34,CX34)</f>
        <v>0</v>
      </c>
      <c r="Q34" s="313">
        <f t="shared" si="21"/>
        <v>0</v>
      </c>
      <c r="R34" s="314"/>
      <c r="S34" s="319"/>
      <c r="T34" s="320"/>
      <c r="U34" s="320"/>
      <c r="V34" s="429"/>
      <c r="W34" s="406"/>
      <c r="X34" s="633"/>
      <c r="Y34">
        <f t="shared" si="22"/>
        <v>0</v>
      </c>
      <c r="Z34">
        <f t="shared" si="2"/>
        <v>0</v>
      </c>
      <c r="AA34" s="1">
        <f t="shared" si="3"/>
        <v>0</v>
      </c>
      <c r="AB34" s="1">
        <f t="shared" si="4"/>
        <v>0</v>
      </c>
      <c r="AC34" s="1">
        <f t="shared" si="5"/>
        <v>0</v>
      </c>
      <c r="AD34" s="1">
        <f t="shared" si="6"/>
        <v>0</v>
      </c>
      <c r="AE34" s="1">
        <f t="shared" si="7"/>
        <v>0</v>
      </c>
      <c r="AF34" s="1">
        <f>IF(C34="Orlov",7.4*Stamoplysninger!$E$15,0)</f>
        <v>0</v>
      </c>
      <c r="AG34" t="str">
        <f>IF(AND(C34="Skema 1",B34="ma"),Arbejdstidsoversigt!$E$72,"")</f>
        <v/>
      </c>
      <c r="AH34" t="str">
        <f>IF(AND(C34="Skema 1",B34="ti"),Arbejdstidsoversigt!$E$73,"")</f>
        <v/>
      </c>
      <c r="AI34" t="str">
        <f>IF(AND(C34="Skema 1",B34="on"),Arbejdstidsoversigt!$E$74,"")</f>
        <v/>
      </c>
      <c r="AJ34" t="str">
        <f>IF(AND(C34="Skema 1",B34="to"),Arbejdstidsoversigt!$E$75,"")</f>
        <v/>
      </c>
      <c r="AK34" t="str">
        <f>IF(AND(C34="Skema 1",B34="fr"),Arbejdstidsoversigt!$E$76,"")</f>
        <v/>
      </c>
      <c r="AL34" t="str">
        <f>IF(AND(C34="Skema 2",B34="ma"),Arbejdstidsoversigt!$E$81,"")</f>
        <v/>
      </c>
      <c r="AM34" t="str">
        <f>IF(AND(C34="Skema 2",B34="ti"),Arbejdstidsoversigt!$E$82,"")</f>
        <v/>
      </c>
      <c r="AN34" t="str">
        <f>IF(AND(C34="Skema 2",B34="on"),Arbejdstidsoversigt!$E$83,"")</f>
        <v/>
      </c>
      <c r="AO34" t="str">
        <f>IF(AND(C34="Skema 2",B34="to"),Arbejdstidsoversigt!$E$84,"")</f>
        <v/>
      </c>
      <c r="AP34" t="str">
        <f>IF(AND(C34="Skema 2",B34="fr"),Arbejdstidsoversigt!$E$85,"")</f>
        <v/>
      </c>
      <c r="AQ34" t="str">
        <f>IF(AND(C34="Skema 3",B34="ma"),Arbejdstidsoversigt!$E$90,"")</f>
        <v/>
      </c>
      <c r="AR34" t="str">
        <f>IF(AND(C34="Skema 3",B34="ti"),Arbejdstidsoversigt!$E$91,"")</f>
        <v/>
      </c>
      <c r="AS34" t="str">
        <f>IF(AND(C34="Skema 3",B34="on"),Arbejdstidsoversigt!$E$92,"")</f>
        <v/>
      </c>
      <c r="AT34" t="str">
        <f>IF(AND(C34="Skema 3",B34="to"),Arbejdstidsoversigt!$E$93,"")</f>
        <v/>
      </c>
      <c r="AU34" t="str">
        <f>IF(AND(C34="Skema 3",B34="fr"),Arbejdstidsoversigt!$E$94,"")</f>
        <v/>
      </c>
      <c r="AV34" t="str">
        <f>IF(AND(C34="Skema 4",B34="ma"),Arbejdstidsoversigt!$E$99,"")</f>
        <v/>
      </c>
      <c r="AW34" t="str">
        <f>IF(AND(C34="Skema 4",B34="ti"),Arbejdstidsoversigt!$E$100,"")</f>
        <v/>
      </c>
      <c r="AX34" t="str">
        <f>IF(AND(C34="Skema 4",B34="on"),Arbejdstidsoversigt!$E$101,"")</f>
        <v/>
      </c>
      <c r="AY34" t="str">
        <f>IF(AND(C34="Skema 4",B34="to"),Arbejdstidsoversigt!$E$102,"")</f>
        <v/>
      </c>
      <c r="AZ34" t="str">
        <f>IF(AND(C34="Skema 4",B34="fr"),Arbejdstidsoversigt!$E$103,"")</f>
        <v/>
      </c>
      <c r="BA34" s="1">
        <f t="shared" si="23"/>
        <v>0</v>
      </c>
      <c r="BB34" s="226">
        <f t="shared" si="8"/>
        <v>0</v>
      </c>
      <c r="BC34" s="1">
        <f t="shared" si="24"/>
        <v>0</v>
      </c>
      <c r="BD34" s="1">
        <f t="shared" si="9"/>
        <v>0</v>
      </c>
      <c r="BE34" s="1">
        <f t="shared" si="10"/>
        <v>0</v>
      </c>
      <c r="BF34" s="1">
        <f t="shared" si="11"/>
        <v>0</v>
      </c>
      <c r="BG34" s="209" t="str">
        <f>IF(AND(C34="Skema 1",B34="ma"),Skemaoplysninger!$E$30,"")</f>
        <v/>
      </c>
      <c r="BH34" s="209" t="str">
        <f>IF(AND(C34="Skema 1",B34="ti"),Skemaoplysninger!$G$30,"")</f>
        <v/>
      </c>
      <c r="BI34" s="209" t="str">
        <f>IF(AND(C34="Skema 1",B34="on"),Skemaoplysninger!$I$30,"")</f>
        <v/>
      </c>
      <c r="BJ34" s="209" t="str">
        <f>IF(AND(C34="Skema 1",B34="to"),Skemaoplysninger!$K$30,"")</f>
        <v/>
      </c>
      <c r="BK34" s="209" t="str">
        <f>IF(AND(C34="Skema 1",B34="fr"),Skemaoplysninger!$M$30,"")</f>
        <v/>
      </c>
      <c r="BL34" s="209" t="str">
        <f>IF(AND(C34="Skema 2",B34="ma"),Skemaoplysninger!$S$30,"")</f>
        <v/>
      </c>
      <c r="BM34" s="209" t="str">
        <f>IF(AND(C34="Skema 2",B34="ti"),Skemaoplysninger!$U$30,"")</f>
        <v/>
      </c>
      <c r="BN34" s="209" t="str">
        <f>IF(AND(C34="Skema 2",B34="on"),Skemaoplysninger!$W$30,"")</f>
        <v/>
      </c>
      <c r="BO34" s="209" t="str">
        <f>IF(AND(C34="Skema 2",B34="to"),Skemaoplysninger!$Y$30,"")</f>
        <v/>
      </c>
      <c r="BP34" s="209" t="str">
        <f>IF(AND(C34="Skema 2",B34="fr"),Skemaoplysninger!$AA$30,"")</f>
        <v/>
      </c>
      <c r="BQ34" s="209" t="str">
        <f>IF(AND(C34="Skema 3",B34="ma"),Skemaoplysninger!$AG$30,"")</f>
        <v/>
      </c>
      <c r="BR34" s="209" t="str">
        <f>IF(AND(C34="Skema 3",B34="ti"),Skemaoplysninger!$AI$30,"")</f>
        <v/>
      </c>
      <c r="BS34" s="209" t="str">
        <f>IF(AND(C34="Skema 3",B34="on"),Skemaoplysninger!$AK$30,"")</f>
        <v/>
      </c>
      <c r="BT34" s="209" t="str">
        <f>IF(AND(C34="Skema 3",B34="to"),Skemaoplysninger!$AM$30,"")</f>
        <v/>
      </c>
      <c r="BU34" s="209" t="str">
        <f>IF(AND(C34="Skema 3",B34="fr"),Skemaoplysninger!$AO$30,"")</f>
        <v/>
      </c>
      <c r="BV34" s="209" t="str">
        <f>IF(AND(C34="Skema 4",B34="ma"),Skemaoplysninger!$AU$30,"")</f>
        <v/>
      </c>
      <c r="BW34" s="209" t="str">
        <f>IF(AND(C34="Skema 4",B34="ti"),Skemaoplysninger!$AW$30,"")</f>
        <v/>
      </c>
      <c r="BX34" s="209" t="str">
        <f>IF(AND(C34="Skema 4",B34="on"),Skemaoplysninger!$AY$30,"")</f>
        <v/>
      </c>
      <c r="BY34" s="209" t="str">
        <f>IF(AND(C34="Skema 4",B34="to"),Skemaoplysninger!$BA$30,"")</f>
        <v/>
      </c>
      <c r="BZ34" s="209" t="str">
        <f>IF(AND(C34="Skema 4",B34="fr"),Skemaoplysninger!$BC$30,"")</f>
        <v/>
      </c>
      <c r="CA34" s="1">
        <f t="shared" si="25"/>
        <v>0</v>
      </c>
      <c r="CB34" s="1">
        <f t="shared" si="12"/>
        <v>0</v>
      </c>
      <c r="CC34" s="1">
        <f t="shared" si="13"/>
        <v>0</v>
      </c>
      <c r="CD34" s="209" t="str">
        <f>IF(AND(C34="Skema 1",B34="ma"),Skemaoplysninger!$E$31,"")</f>
        <v/>
      </c>
      <c r="CE34" s="209" t="str">
        <f>IF(AND(C34="Skema 1",B34="ti"),Skemaoplysninger!$G$31,"")</f>
        <v/>
      </c>
      <c r="CF34" s="209" t="str">
        <f>IF(AND(C34="Skema 1",B34="on"),Skemaoplysninger!$I$31,"")</f>
        <v/>
      </c>
      <c r="CG34" s="209" t="str">
        <f>IF(AND(C34="Skema 1",B34="to"),Skemaoplysninger!$K$31,"")</f>
        <v/>
      </c>
      <c r="CH34" s="209" t="str">
        <f>IF(AND(C34="Skema 1",B34="fr"),Skemaoplysninger!$M$31,"")</f>
        <v/>
      </c>
      <c r="CI34" s="209" t="str">
        <f>IF(AND(C34="Skema 2",B34="ma"),Skemaoplysninger!$S$31,"")</f>
        <v/>
      </c>
      <c r="CJ34" s="209" t="str">
        <f>IF(AND(C34="Skema 2",B34="ti"),Skemaoplysninger!$U$31,"")</f>
        <v/>
      </c>
      <c r="CK34" s="209" t="str">
        <f>IF(AND(C34="Skema 2",B34="on"),Skemaoplysninger!$W$31,"")</f>
        <v/>
      </c>
      <c r="CL34" s="209" t="str">
        <f>IF(AND(C34="Skema 2",B34="to"),Skemaoplysninger!$Y$31,"")</f>
        <v/>
      </c>
      <c r="CM34" s="209" t="str">
        <f>IF(AND(C34="Skema 2",B34="fr"),Skemaoplysninger!$AA$31,"")</f>
        <v/>
      </c>
      <c r="CN34" s="209" t="str">
        <f>IF(AND(C34="Skema 3",B34="ma"),Skemaoplysninger!$AG$31,"")</f>
        <v/>
      </c>
      <c r="CO34" s="209" t="str">
        <f>IF(AND(C34="Skema 3",B34="ti"),Skemaoplysninger!$AI$31,"")</f>
        <v/>
      </c>
      <c r="CP34" s="209" t="str">
        <f>IF(AND(C34="Skema 3",B34="on"),Skemaoplysninger!$AK$31,"")</f>
        <v/>
      </c>
      <c r="CQ34" s="209" t="str">
        <f>IF(AND(C34="Skema 3",B34="to"),Skemaoplysninger!$AM$31,"")</f>
        <v/>
      </c>
      <c r="CR34" s="209" t="str">
        <f>IF(AND(C34="Skema 3",B34="fr"),Skemaoplysninger!$AO$31,"")</f>
        <v/>
      </c>
      <c r="CS34" s="209" t="str">
        <f>IF(AND(C34="Skema 4",B34="ma"),Skemaoplysninger!$AU$31,"")</f>
        <v/>
      </c>
      <c r="CT34" s="209" t="str">
        <f>IF(AND(C34="Skema 4",B34="ti"),Skemaoplysninger!$AW$31,"")</f>
        <v/>
      </c>
      <c r="CU34" s="209" t="str">
        <f>IF(AND(C34="Skema 4",B34="on"),Skemaoplysninger!$AY$31,"")</f>
        <v/>
      </c>
      <c r="CV34" s="209" t="str">
        <f>IF(AND(C34="Skema 4",B34="to"),Skemaoplysninger!$BA$31,"")</f>
        <v/>
      </c>
      <c r="CW34" s="209" t="str">
        <f>IF(AND(C34="Skema 4",B34="fr"),Skemaoplysninger!$BC$31,"")</f>
        <v/>
      </c>
      <c r="CX34" s="245">
        <f>IF(Stamoplysninger!$H$29="NEJ",SUM(CD34:CW34)*24+CB34+CC34,0)</f>
        <v>0</v>
      </c>
      <c r="CY34" s="245">
        <f>IF(C34="Skema 1",Stamoplysninger!$H$30/200,0)</f>
        <v>0</v>
      </c>
      <c r="CZ34" s="245">
        <f>IF(C34="Skema 2",Stamoplysninger!$H$30/200,0)</f>
        <v>0</v>
      </c>
      <c r="DA34" s="245">
        <f>IF(C34="Skema 3",Stamoplysninger!$H$30/200,0)</f>
        <v>0</v>
      </c>
      <c r="DB34" s="245">
        <f>IF(C34="Skema 4",Stamoplysninger!$H$30/200,0)</f>
        <v>0</v>
      </c>
      <c r="DC34" s="245">
        <f>IF(C34="fagdag",Stamoplysninger!$H$30/200,0)</f>
        <v>0</v>
      </c>
      <c r="DD34" s="245">
        <f>IF(C34="emnedag",Stamoplysninger!$H$30/200,0)</f>
        <v>0</v>
      </c>
      <c r="DE34" s="245">
        <f>IF(C34="lejrskole",Stamoplysninger!$H$30/200,0)</f>
        <v>0</v>
      </c>
      <c r="DF34" s="245">
        <f>IF(C34="ekskursion",Stamoplysninger!$H$30/200,0)</f>
        <v>0</v>
      </c>
      <c r="DG34" s="245">
        <f t="shared" si="26"/>
        <v>0</v>
      </c>
      <c r="DH34" t="str">
        <f t="shared" si="27"/>
        <v/>
      </c>
      <c r="DI34">
        <f t="shared" si="28"/>
        <v>0</v>
      </c>
      <c r="DJ34">
        <f t="shared" si="29"/>
        <v>0</v>
      </c>
      <c r="DK34" t="str">
        <f t="shared" si="14"/>
        <v/>
      </c>
      <c r="DL34" t="str">
        <f t="shared" si="14"/>
        <v/>
      </c>
      <c r="DM34" t="str">
        <f t="shared" si="14"/>
        <v/>
      </c>
      <c r="DN34" t="str">
        <f t="shared" si="30"/>
        <v/>
      </c>
      <c r="DO34" s="643">
        <f>IF(AND(Stamoplysninger!$B$22="Ulempetillæg udbetales med 25% af nettotimelønnen.",H34&gt;0),(R34/4),0)</f>
        <v>0</v>
      </c>
      <c r="DP34">
        <f>IF(AND(Stamoplysninger!$B$22="Ulempetillæg udbetales med 25% af nettotimelønnen.",I34="X"),K34/4,0)</f>
        <v>0</v>
      </c>
      <c r="DQ34">
        <f>IF(AND(Stamoplysninger!$B$22="Ulempetillæg udbetales med 25% af nettotimelønnen.",U34="X"),(X34/4),0)</f>
        <v>0</v>
      </c>
      <c r="DR34">
        <f>IF(AND(AND(Stamoplysninger!$B$22="Ulempetillæg udbetales med 25% af nettotimelønnen.",S34="X",I34="X")),V34/4,0)</f>
        <v>0</v>
      </c>
      <c r="DS34" s="662">
        <f>IF(AND(Stamoplysninger!$B$22="Ulempetillæg udbetales med 25% af nettotimelønnen.",C34="ikke relevant"),(R34)/4,0)</f>
        <v>0</v>
      </c>
      <c r="DT34" s="662">
        <f>IF(AND(AND(Stamoplysninger!$B$22="Ulempetillæg udbetales med 25% af nettotimelønnen.",I34="X",C34="Ikke relevant")),K34/4,0)</f>
        <v>0</v>
      </c>
      <c r="DU34" s="662">
        <f>IF(AND(AND(Stamoplysninger!$B$22="Ulempetillæg udbetales med 25% af nettotimelønnen.",C34="ikke relevant",U34="X")),(X34/4),0)</f>
        <v>0</v>
      </c>
      <c r="DV34" s="663">
        <f>IF(AND(AND(AND(Stamoplysninger!$B$22="Ulempetillæg udbetales med 25% af nettotimelønnen.",I34="X",C34="Ikke relevant",S34="X"))),V34/4,0)</f>
        <v>0</v>
      </c>
      <c r="DW34" s="643"/>
      <c r="DZ34" s="662"/>
      <c r="EA34" s="662"/>
      <c r="EB34" s="663"/>
      <c r="EC34" s="643">
        <f>IF(AND(Stamoplysninger!$B$22="Ulempetillæg afspadseres med 25%(Kræver en aftale imellem ledelsen og den ansatte)",H34&gt;0),R34/4,0)</f>
        <v>0</v>
      </c>
      <c r="ED34">
        <f>IF(AND(Stamoplysninger!$B$22="Ulempetillæg afspadseres med 25%(Kræver en aftale imellem ledelsen og den ansatte)",I34="X"),K34/4,0)</f>
        <v>0</v>
      </c>
      <c r="EE34">
        <f>IF(AND(Stamoplysninger!$B$22="Ulempetillæg afspadseres med 25%(Kræver en aftale imellem ledelsen og den ansatte)",U34="X"),X34/4,0)</f>
        <v>0</v>
      </c>
      <c r="EF34">
        <f>IF(AND(AND(Stamoplysninger!$B$22="Ulempetillæg afspadseres med 25%(Kræver en aftale imellem ledelsen og den ansatte)",I34="X",S34="X")),V34/4,0)</f>
        <v>0</v>
      </c>
      <c r="EG34" s="662">
        <f>IF(AND(Stamoplysninger!$B$22="Ulempetillæg afspadseres med 25%(Kræver en aftale imellem ledelsen og den ansatte)",C34="ikke relevant"),(R34)/4,0)</f>
        <v>0</v>
      </c>
      <c r="EH34" s="662">
        <f>IF(AND(AND(Stamoplysninger!$B$22="Ulempetillæg afspadseres med 25%(Kræver en aftale imellem ledelsen og den ansatte)",I34="X",C34="Ikke relevant")),K34/4,0)</f>
        <v>0</v>
      </c>
      <c r="EI34" s="662">
        <f>IF(AND(AND(Stamoplysninger!$B$22="Ulempetillæg afspadseres med 25%(Kræver en aftale imellem ledelsen og den ansatte)",U34="X",C34="Ikke relevant")),X34/4,0)</f>
        <v>0</v>
      </c>
      <c r="EJ34" s="662">
        <f>IF(AND(AND(AND(Stamoplysninger!$B$22="Ulempetillæg afspadseres med 25%(Kræver en aftale imellem ledelsen og den ansatte)",I34="X",C34="Ikke relevant",S34="X"))),V34/4,0)</f>
        <v>0</v>
      </c>
      <c r="EK34" s="279">
        <f>IF(AND(Stamoplysninger!$B$26="Weekendtimer og weekendtillæg afspadseres.",I34="X"),K34*1.5,0)</f>
        <v>0</v>
      </c>
      <c r="EL34" s="247">
        <f>IF(AND(AND(Stamoplysninger!$B$26="Weekendtimer og weekendtillæg afspadseres.",I34="X",S34="X")),V34*1.5,0)</f>
        <v>0</v>
      </c>
      <c r="EM34" s="665">
        <f>IF(AND(AND(Stamoplysninger!$B$26="Weekendtimer og weekendtillæg afspadseres.",I34="X",C34="ikke relevant")),K34*1.5,0)</f>
        <v>0</v>
      </c>
      <c r="EN34" s="666">
        <f>IF(AND(AND(AND(Stamoplysninger!$B$26="Weekendtimer og weekendtillæg afspadseres.",I34="X",C34="ikke relevant",S34="X"))),(V34*1.5),0)</f>
        <v>0</v>
      </c>
      <c r="EO34" s="279">
        <f>IF(AND(Stamoplysninger!$B$26="Weekendtimer og weekendtillæg udbetales.",I34="X"),K34*1.5,0)</f>
        <v>0</v>
      </c>
      <c r="EP34" s="247">
        <f>IF(AND(AND(Stamoplysninger!$B$26="Weekendtimer og weekendtillæg udbetales.",I34="X",S34="X")),V34*1.5,0)</f>
        <v>0</v>
      </c>
      <c r="EQ34" s="665">
        <f>IF(AND(AND(Stamoplysninger!$B$26="Weekendtimer og weekendtillæg udbetales.",I34="X",C34="ikke relevant")),K34*1.5,0)</f>
        <v>0</v>
      </c>
      <c r="ER34" s="666">
        <f>IF(AND(AND(AND(Stamoplysninger!$B$26="Weekendtimer og weekendtillæg udbetales.",I34="X",C34="ikke relevant",S34="X"))),(V34*1.5),0)</f>
        <v>0</v>
      </c>
      <c r="ES34" s="279">
        <f>IF(AND(Stamoplysninger!$B$26="Der er indgået lokalaftale omkring weekendtimer.(Kræver aftale med TR/FSL) Weekendtillæg afspadseres.",I34="X"),K34*0.5,0)</f>
        <v>0</v>
      </c>
      <c r="ET34" s="247">
        <f>IF(AND(AND(Stamoplysninger!$B$26="Der er indgået lokalaftale omkring weekendtimer.(Kræver aftale med TR/FSL) Weekendtillæg afspadseres.",I34="X",S34="X")),V34*0.5,0)</f>
        <v>0</v>
      </c>
      <c r="EU34" s="665">
        <f>IF(AND(AND(Stamoplysninger!$B$26="Der er indgået lokalaftale omkring weekendtimer.(Kræver aftale med TR/FSL) Weekendtillæg afspadseres.",I34="X",C34="ikke relevant")),K34*0.5,0)</f>
        <v>0</v>
      </c>
      <c r="EV34" s="666">
        <f>IF(AND(AND(AND(Stamoplysninger!$B$26="Der er indgået lokalaftale omkring weekendtimer.(Kræver aftale med TR/FSL) Weekendtillæg afspadseres.",I34="X",C34="ikke relevant",S34="X"))),(V34*0.5),0)</f>
        <v>0</v>
      </c>
      <c r="EW34" s="279">
        <f>IF(AND(Stamoplysninger!$B$26="Der er indgået lokalaftale omkring weekendtimer(Kræver aftale med TR/FSL). Weekendtillæg udbetales.",I34="X"),K34*0.5,0)</f>
        <v>0</v>
      </c>
      <c r="EX34" s="247">
        <f>IF(AND(AND(Stamoplysninger!$B$26="Der er indgået lokalaftale omkring weekendtimer(Kræver aftale med TR/FSL). Weekendtillæg udbetales.",I34="X",S34="X")),V34*0.5,0)</f>
        <v>0</v>
      </c>
      <c r="EY34" s="665">
        <f>IF(AND(AND(Stamoplysninger!$B$26="Der er indgået lokalaftale omkring weekendtimer(Kræver aftale med TR/FSL). Weekendtillæg udbetales.",I34="X",C34="ikke relevant")),K34*0.5,0)</f>
        <v>0</v>
      </c>
      <c r="EZ34" s="666">
        <f>IF(AND(AND(AND(Stamoplysninger!$B$26="Der er indgået lokalaftale omkring weekendtimer(Kræver aftale med TR/FSL). Weekendtillæg udbetales.",I34="X",C34="ikke relevant",S34="X"))),(V34*0.5),0)</f>
        <v>0</v>
      </c>
      <c r="FA34" s="279">
        <f>IF(AND(Stamoplysninger!$B$26="Der er indgået lokalaftale omkring weekendtillæg(Kræver aftale med TR/FSL). Weekendtimerne afspadseres.",I34="X"),K34,0)</f>
        <v>0</v>
      </c>
      <c r="FB34" s="247">
        <f>IF(AND(AND(Stamoplysninger!$B$26="Der er indgået lokalaftale omkring weekendtillæg(Kræver aftale med TR/FSL). Weekendtimerne afspadseres.",I34="X",S34="X")),V34,0)</f>
        <v>0</v>
      </c>
      <c r="FC34" s="665">
        <f>IF(AND(AND(Stamoplysninger!$B$26="Der er indgået lokalaftale omkring weekendtillæg(Kræver aftale med TR/FSL). Weekendtimerne afspadseres..",I34="X",C34="ikke relevant")),K34,0)</f>
        <v>0</v>
      </c>
      <c r="FD34" s="666">
        <f>IF(AND(AND(AND(Stamoplysninger!$B$26="Der er indgået lokalaftale omkring weekendtillæg(Kræver aftale med TR/FSL). Weekendtimerne afspadseres.",I34="X",C34="ikke relevant",S34="X"))),(V34),0)</f>
        <v>0</v>
      </c>
      <c r="FE34" s="279">
        <f>IF(AND(Stamoplysninger!$B$26="Der er indgået lokalaftale omkring weekendtillæg(Kræver aftale med TR/FSL). Weekendtimerne udbetales.",I34="X"),K34,0)</f>
        <v>0</v>
      </c>
      <c r="FF34" s="247">
        <f>IF(AND(AND(Stamoplysninger!$B$26="Der er indgået lokalaftale omkring weekendtillæg(Kræver aftale med TR/FSL). Weekendtimerne udbetales.",I34="X",S34="X")),V34,0)</f>
        <v>0</v>
      </c>
      <c r="FG34" s="665">
        <f>IF(AND(AND(Stamoplysninger!$B$26="Der er indgået lokalaftale omkring weekendtillæg(Kræver aftale med TR/FSL). Weekendtimerne udbetales.",I34="X",C34="ikke relevant")),K34,0)</f>
        <v>0</v>
      </c>
      <c r="FH34" s="666">
        <f>IF(AND(AND(AND(Stamoplysninger!$B$26="Der er indgået lokalaftale omkring weekendtillæg(Kræver aftale med TR/FSL). Weekendtimerne udbetales.",I34="X",C34="ikke relevant",S34="X"))),(V34),0)</f>
        <v>0</v>
      </c>
      <c r="FI34" s="279">
        <f>IF(AND(Stamoplysninger!$B$26="Weekendtimer og weekendtillæg afspadseres.",I34="X"),K34,0)</f>
        <v>0</v>
      </c>
      <c r="FJ34" s="247">
        <f>IF(AND(Stamoplysninger!$B$26="Weekendtimer og weekendtillæg afspadseres.",Y34="X"),(AA34+AL34)/2,0)</f>
        <v>0</v>
      </c>
      <c r="FK34" s="665">
        <f>IF(AND(AND(Stamoplysninger!$B$26="Weekendtimer og weekendtillæg afspadseres.",I34="X",C34="ikke relevant")),K34,0)</f>
        <v>0</v>
      </c>
      <c r="FL34" s="666">
        <f>IF(AND(AND(Stamoplysninger!$B$26="Weekendtimer og weekendtillæg afspadseres.",Y34="X",S34="ikke relevant")),(AA34+AL34)/2,0)</f>
        <v>0</v>
      </c>
      <c r="FM34" s="279">
        <f>IF(AND(Stamoplysninger!$B$26="Der er indgået lokalaftale omkring weekendtillæg(Kræver aftale med TR/FSL). Weekendtimerne afspadseres.",I34="X"),K34,0)</f>
        <v>0</v>
      </c>
      <c r="FN34" s="665">
        <f>IF(AND(AND(Stamoplysninger!$B$26="Der er indgået lokalaftale omkring weekendtillæg(Kræver aftale med TR/FSL). Weekendtimerne afspadseres.",I34="X",C34="ikke relevant")),K34,0)</f>
        <v>0</v>
      </c>
      <c r="FO34" s="279">
        <f>IF(AND(Stamoplysninger!$B$26="Weekendtimer og weekendtillæg udbetales.",I34="X"),K34,0)</f>
        <v>0</v>
      </c>
      <c r="FP34" s="247">
        <f>IF(AND(Stamoplysninger!$B$26="Weekendtimer og weekendtillæg udbetales.",AA34="X"),(AC34+AN34)/2,0)</f>
        <v>0</v>
      </c>
      <c r="FQ34" s="665">
        <f>IF(AND(AND(Stamoplysninger!$B$26="Weekendtimer og weekendtillæg udbetales.",I34="X",C34="ikke relevant")),K34,0)</f>
        <v>0</v>
      </c>
      <c r="FR34" s="679">
        <f>IF(AND(AND(Stamoplysninger!$B$26="Weekendtimer og weekendtillæg udbetales.",AA34="X",U34="ikke relevant")),(AC34+AN34)/2,0)</f>
        <v>0</v>
      </c>
      <c r="FS34" s="279">
        <f t="shared" si="15"/>
        <v>0</v>
      </c>
      <c r="FT34" s="649">
        <f t="shared" si="16"/>
        <v>0</v>
      </c>
      <c r="FU34">
        <f>IF(AND(C34="weekend",I34="X"),K34,0)</f>
        <v>0</v>
      </c>
      <c r="FV34" s="279">
        <f>IF(AND(Stamoplysninger!$B$26="Der er indgået lokalaftale omkring weekendtimer.(Kræver aftale med TR/FSL) Weekendtillæg afspadseres.",I34="X"),K34,0)</f>
        <v>0</v>
      </c>
      <c r="FW34" s="665">
        <f>IF(AND(AND(Stamoplysninger!$B$26="Der er indgået lokalaftale omkring weekendtimer.(Kræver aftale med TR/FSL) Weekendtillæg afspadseres.",I34="X",C34="ikke relevant")),K34,0)</f>
        <v>0</v>
      </c>
      <c r="FX34" s="279">
        <f>IF(AND(Stamoplysninger!$B$26="Der er indgået lokalaftale omkring weekendtimer(Kræver aftale med TR/FSL). Weekendtillæg udbetales.",I34="X"),K34,0)</f>
        <v>0</v>
      </c>
      <c r="FY34" s="665">
        <f>IF(AND(AND(Stamoplysninger!$B$26="Der er indgået lokalaftale omkring weekendtimer(Kræver aftale med TR/FSL). Weekendtillæg udbetales.",I34="X",C34="ikke relevant")),K34,0)</f>
        <v>0</v>
      </c>
      <c r="FZ34" s="279">
        <f>IF(AND(Stamoplysninger!$B$26="Der er indgået lokalaftale omkring weekendtillæg(Kræver aftale med TR/FSL). Weekendtimerne udbetales.",I34="X"),K34,0)</f>
        <v>0</v>
      </c>
      <c r="GA34" s="665">
        <f>IF(AND(AND(Stamoplysninger!$B$26="Der er indgået lokalaftale omkring weekendtillæg(Kræver aftale med TR/FSL). Weekendtimerne udbetales.",I34="X",C34="ikke relevant")),K34,0)</f>
        <v>0</v>
      </c>
      <c r="GB34" s="279">
        <f>IF(AND(Stamoplysninger!$B$26="Der er indgået lokalaftale omkring weekendtimer og weekendtillæg.(Kræver aftale med TR/FSL).",I34="X"),K34,0)</f>
        <v>0</v>
      </c>
      <c r="GC34" s="665">
        <f>IF(AND(AND(Stamoplysninger!$B$26="Der er indgået lokalaftale omkring weekendtimer og weekendtillæg.(Kræver aftale med TR/FSL).",I34="X",C34="ikke relevant")),K34,0)</f>
        <v>0</v>
      </c>
    </row>
    <row r="35" spans="1:185">
      <c r="A35" s="241">
        <f t="shared" si="18"/>
        <v>27</v>
      </c>
      <c r="B35" s="127" t="str">
        <f t="shared" si="0"/>
        <v>sø</v>
      </c>
      <c r="C35" s="128" t="s">
        <v>120</v>
      </c>
      <c r="D35" s="129" t="str">
        <f t="shared" si="1"/>
        <v/>
      </c>
      <c r="E35" s="932"/>
      <c r="F35" s="933"/>
      <c r="G35" s="934"/>
      <c r="H35" s="294"/>
      <c r="I35" s="407"/>
      <c r="J35" s="407"/>
      <c r="K35" s="374"/>
      <c r="L35" s="374"/>
      <c r="M35" s="374"/>
      <c r="N35" s="313">
        <f t="shared" si="19"/>
        <v>0</v>
      </c>
      <c r="O35" s="313">
        <f t="shared" si="20"/>
        <v>0</v>
      </c>
      <c r="P35" s="313">
        <f>IF(Stamoplysninger!$H$29="JA",Oktober!DG35,CX35)</f>
        <v>0</v>
      </c>
      <c r="Q35" s="313">
        <f t="shared" si="21"/>
        <v>0</v>
      </c>
      <c r="R35" s="314"/>
      <c r="S35" s="319"/>
      <c r="T35" s="320"/>
      <c r="U35" s="320"/>
      <c r="V35" s="429"/>
      <c r="W35" s="406"/>
      <c r="X35" s="633"/>
      <c r="Y35">
        <f t="shared" si="22"/>
        <v>0</v>
      </c>
      <c r="Z35">
        <f t="shared" si="2"/>
        <v>0</v>
      </c>
      <c r="AA35" s="1">
        <f t="shared" si="3"/>
        <v>0</v>
      </c>
      <c r="AB35" s="1">
        <f t="shared" si="4"/>
        <v>0</v>
      </c>
      <c r="AC35" s="1">
        <f t="shared" si="5"/>
        <v>0</v>
      </c>
      <c r="AD35" s="1">
        <f t="shared" si="6"/>
        <v>0</v>
      </c>
      <c r="AE35" s="1">
        <f t="shared" si="7"/>
        <v>0</v>
      </c>
      <c r="AF35" s="1">
        <f>IF(C35="Orlov",7.4*Stamoplysninger!$E$15,0)</f>
        <v>0</v>
      </c>
      <c r="AG35" t="str">
        <f>IF(AND(C35="Skema 1",B35="ma"),Arbejdstidsoversigt!$E$72,"")</f>
        <v/>
      </c>
      <c r="AH35" t="str">
        <f>IF(AND(C35="Skema 1",B35="ti"),Arbejdstidsoversigt!$E$73,"")</f>
        <v/>
      </c>
      <c r="AI35" t="str">
        <f>IF(AND(C35="Skema 1",B35="on"),Arbejdstidsoversigt!$E$74,"")</f>
        <v/>
      </c>
      <c r="AJ35" t="str">
        <f>IF(AND(C35="Skema 1",B35="to"),Arbejdstidsoversigt!$E$75,"")</f>
        <v/>
      </c>
      <c r="AK35" t="str">
        <f>IF(AND(C35="Skema 1",B35="fr"),Arbejdstidsoversigt!$E$76,"")</f>
        <v/>
      </c>
      <c r="AL35" t="str">
        <f>IF(AND(C35="Skema 2",B35="ma"),Arbejdstidsoversigt!$E$81,"")</f>
        <v/>
      </c>
      <c r="AM35" t="str">
        <f>IF(AND(C35="Skema 2",B35="ti"),Arbejdstidsoversigt!$E$82,"")</f>
        <v/>
      </c>
      <c r="AN35" t="str">
        <f>IF(AND(C35="Skema 2",B35="on"),Arbejdstidsoversigt!$E$83,"")</f>
        <v/>
      </c>
      <c r="AO35" t="str">
        <f>IF(AND(C35="Skema 2",B35="to"),Arbejdstidsoversigt!$E$84,"")</f>
        <v/>
      </c>
      <c r="AP35" t="str">
        <f>IF(AND(C35="Skema 2",B35="fr"),Arbejdstidsoversigt!$E$85,"")</f>
        <v/>
      </c>
      <c r="AQ35" t="str">
        <f>IF(AND(C35="Skema 3",B35="ma"),Arbejdstidsoversigt!$E$90,"")</f>
        <v/>
      </c>
      <c r="AR35" t="str">
        <f>IF(AND(C35="Skema 3",B35="ti"),Arbejdstidsoversigt!$E$91,"")</f>
        <v/>
      </c>
      <c r="AS35" t="str">
        <f>IF(AND(C35="Skema 3",B35="on"),Arbejdstidsoversigt!$E$92,"")</f>
        <v/>
      </c>
      <c r="AT35" t="str">
        <f>IF(AND(C35="Skema 3",B35="to"),Arbejdstidsoversigt!$E$93,"")</f>
        <v/>
      </c>
      <c r="AU35" t="str">
        <f>IF(AND(C35="Skema 3",B35="fr"),Arbejdstidsoversigt!$E$94,"")</f>
        <v/>
      </c>
      <c r="AV35" t="str">
        <f>IF(AND(C35="Skema 4",B35="ma"),Arbejdstidsoversigt!$E$99,"")</f>
        <v/>
      </c>
      <c r="AW35" t="str">
        <f>IF(AND(C35="Skema 4",B35="ti"),Arbejdstidsoversigt!$E$100,"")</f>
        <v/>
      </c>
      <c r="AX35" t="str">
        <f>IF(AND(C35="Skema 4",B35="on"),Arbejdstidsoversigt!$E$101,"")</f>
        <v/>
      </c>
      <c r="AY35" t="str">
        <f>IF(AND(C35="Skema 4",B35="to"),Arbejdstidsoversigt!$E$102,"")</f>
        <v/>
      </c>
      <c r="AZ35" t="str">
        <f>IF(AND(C35="Skema 4",B35="fr"),Arbejdstidsoversigt!$E$103,"")</f>
        <v/>
      </c>
      <c r="BA35" s="1">
        <f t="shared" si="23"/>
        <v>0</v>
      </c>
      <c r="BB35" s="226">
        <f t="shared" si="8"/>
        <v>0</v>
      </c>
      <c r="BC35" s="1">
        <f t="shared" si="24"/>
        <v>0</v>
      </c>
      <c r="BD35" s="1">
        <f t="shared" si="9"/>
        <v>0</v>
      </c>
      <c r="BE35" s="1">
        <f t="shared" si="10"/>
        <v>0</v>
      </c>
      <c r="BF35" s="1">
        <f t="shared" si="11"/>
        <v>0</v>
      </c>
      <c r="BG35" s="209" t="str">
        <f>IF(AND(C35="Skema 1",B35="ma"),Skemaoplysninger!$E$30,"")</f>
        <v/>
      </c>
      <c r="BH35" s="209" t="str">
        <f>IF(AND(C35="Skema 1",B35="ti"),Skemaoplysninger!$G$30,"")</f>
        <v/>
      </c>
      <c r="BI35" s="209" t="str">
        <f>IF(AND(C35="Skema 1",B35="on"),Skemaoplysninger!$I$30,"")</f>
        <v/>
      </c>
      <c r="BJ35" s="209" t="str">
        <f>IF(AND(C35="Skema 1",B35="to"),Skemaoplysninger!$K$30,"")</f>
        <v/>
      </c>
      <c r="BK35" s="209" t="str">
        <f>IF(AND(C35="Skema 1",B35="fr"),Skemaoplysninger!$M$30,"")</f>
        <v/>
      </c>
      <c r="BL35" s="209" t="str">
        <f>IF(AND(C35="Skema 2",B35="ma"),Skemaoplysninger!$S$30,"")</f>
        <v/>
      </c>
      <c r="BM35" s="209" t="str">
        <f>IF(AND(C35="Skema 2",B35="ti"),Skemaoplysninger!$U$30,"")</f>
        <v/>
      </c>
      <c r="BN35" s="209" t="str">
        <f>IF(AND(C35="Skema 2",B35="on"),Skemaoplysninger!$W$30,"")</f>
        <v/>
      </c>
      <c r="BO35" s="209" t="str">
        <f>IF(AND(C35="Skema 2",B35="to"),Skemaoplysninger!$Y$30,"")</f>
        <v/>
      </c>
      <c r="BP35" s="209" t="str">
        <f>IF(AND(C35="Skema 2",B35="fr"),Skemaoplysninger!$AA$30,"")</f>
        <v/>
      </c>
      <c r="BQ35" s="209" t="str">
        <f>IF(AND(C35="Skema 3",B35="ma"),Skemaoplysninger!$AG$30,"")</f>
        <v/>
      </c>
      <c r="BR35" s="209" t="str">
        <f>IF(AND(C35="Skema 3",B35="ti"),Skemaoplysninger!$AI$30,"")</f>
        <v/>
      </c>
      <c r="BS35" s="209" t="str">
        <f>IF(AND(C35="Skema 3",B35="on"),Skemaoplysninger!$AK$30,"")</f>
        <v/>
      </c>
      <c r="BT35" s="209" t="str">
        <f>IF(AND(C35="Skema 3",B35="to"),Skemaoplysninger!$AM$30,"")</f>
        <v/>
      </c>
      <c r="BU35" s="209" t="str">
        <f>IF(AND(C35="Skema 3",B35="fr"),Skemaoplysninger!$AO$30,"")</f>
        <v/>
      </c>
      <c r="BV35" s="209" t="str">
        <f>IF(AND(C35="Skema 4",B35="ma"),Skemaoplysninger!$AU$30,"")</f>
        <v/>
      </c>
      <c r="BW35" s="209" t="str">
        <f>IF(AND(C35="Skema 4",B35="ti"),Skemaoplysninger!$AW$30,"")</f>
        <v/>
      </c>
      <c r="BX35" s="209" t="str">
        <f>IF(AND(C35="Skema 4",B35="on"),Skemaoplysninger!$AY$30,"")</f>
        <v/>
      </c>
      <c r="BY35" s="209" t="str">
        <f>IF(AND(C35="Skema 4",B35="to"),Skemaoplysninger!$BA$30,"")</f>
        <v/>
      </c>
      <c r="BZ35" s="209" t="str">
        <f>IF(AND(C35="Skema 4",B35="fr"),Skemaoplysninger!$BC$30,"")</f>
        <v/>
      </c>
      <c r="CA35" s="1">
        <f t="shared" si="25"/>
        <v>0</v>
      </c>
      <c r="CB35" s="1">
        <f t="shared" si="12"/>
        <v>0</v>
      </c>
      <c r="CC35" s="1">
        <f t="shared" si="13"/>
        <v>0</v>
      </c>
      <c r="CD35" s="209" t="str">
        <f>IF(AND(C35="Skema 1",B35="ma"),Skemaoplysninger!$E$31,"")</f>
        <v/>
      </c>
      <c r="CE35" s="209" t="str">
        <f>IF(AND(C35="Skema 1",B35="ti"),Skemaoplysninger!$G$31,"")</f>
        <v/>
      </c>
      <c r="CF35" s="209" t="str">
        <f>IF(AND(C35="Skema 1",B35="on"),Skemaoplysninger!$I$31,"")</f>
        <v/>
      </c>
      <c r="CG35" s="209" t="str">
        <f>IF(AND(C35="Skema 1",B35="to"),Skemaoplysninger!$K$31,"")</f>
        <v/>
      </c>
      <c r="CH35" s="209" t="str">
        <f>IF(AND(C35="Skema 1",B35="fr"),Skemaoplysninger!$M$31,"")</f>
        <v/>
      </c>
      <c r="CI35" s="209" t="str">
        <f>IF(AND(C35="Skema 2",B35="ma"),Skemaoplysninger!$S$31,"")</f>
        <v/>
      </c>
      <c r="CJ35" s="209" t="str">
        <f>IF(AND(C35="Skema 2",B35="ti"),Skemaoplysninger!$U$31,"")</f>
        <v/>
      </c>
      <c r="CK35" s="209" t="str">
        <f>IF(AND(C35="Skema 2",B35="on"),Skemaoplysninger!$W$31,"")</f>
        <v/>
      </c>
      <c r="CL35" s="209" t="str">
        <f>IF(AND(C35="Skema 2",B35="to"),Skemaoplysninger!$Y$31,"")</f>
        <v/>
      </c>
      <c r="CM35" s="209" t="str">
        <f>IF(AND(C35="Skema 2",B35="fr"),Skemaoplysninger!$AA$31,"")</f>
        <v/>
      </c>
      <c r="CN35" s="209" t="str">
        <f>IF(AND(C35="Skema 3",B35="ma"),Skemaoplysninger!$AG$31,"")</f>
        <v/>
      </c>
      <c r="CO35" s="209" t="str">
        <f>IF(AND(C35="Skema 3",B35="ti"),Skemaoplysninger!$AI$31,"")</f>
        <v/>
      </c>
      <c r="CP35" s="209" t="str">
        <f>IF(AND(C35="Skema 3",B35="on"),Skemaoplysninger!$AK$31,"")</f>
        <v/>
      </c>
      <c r="CQ35" s="209" t="str">
        <f>IF(AND(C35="Skema 3",B35="to"),Skemaoplysninger!$AM$31,"")</f>
        <v/>
      </c>
      <c r="CR35" s="209" t="str">
        <f>IF(AND(C35="Skema 3",B35="fr"),Skemaoplysninger!$AO$31,"")</f>
        <v/>
      </c>
      <c r="CS35" s="209" t="str">
        <f>IF(AND(C35="Skema 4",B35="ma"),Skemaoplysninger!$AU$31,"")</f>
        <v/>
      </c>
      <c r="CT35" s="209" t="str">
        <f>IF(AND(C35="Skema 4",B35="ti"),Skemaoplysninger!$AW$31,"")</f>
        <v/>
      </c>
      <c r="CU35" s="209" t="str">
        <f>IF(AND(C35="Skema 4",B35="on"),Skemaoplysninger!$AY$31,"")</f>
        <v/>
      </c>
      <c r="CV35" s="209" t="str">
        <f>IF(AND(C35="Skema 4",B35="to"),Skemaoplysninger!$BA$31,"")</f>
        <v/>
      </c>
      <c r="CW35" s="209" t="str">
        <f>IF(AND(C35="Skema 4",B35="fr"),Skemaoplysninger!$BC$31,"")</f>
        <v/>
      </c>
      <c r="CX35" s="245">
        <f>IF(Stamoplysninger!$H$29="NEJ",SUM(CD35:CW35)*24+CB35+CC35,0)</f>
        <v>0</v>
      </c>
      <c r="CY35" s="245">
        <f>IF(C35="Skema 1",Stamoplysninger!$H$30/200,0)</f>
        <v>0</v>
      </c>
      <c r="CZ35" s="245">
        <f>IF(C35="Skema 2",Stamoplysninger!$H$30/200,0)</f>
        <v>0</v>
      </c>
      <c r="DA35" s="245">
        <f>IF(C35="Skema 3",Stamoplysninger!$H$30/200,0)</f>
        <v>0</v>
      </c>
      <c r="DB35" s="245">
        <f>IF(C35="Skema 4",Stamoplysninger!$H$30/200,0)</f>
        <v>0</v>
      </c>
      <c r="DC35" s="245">
        <f>IF(C35="fagdag",Stamoplysninger!$H$30/200,0)</f>
        <v>0</v>
      </c>
      <c r="DD35" s="245">
        <f>IF(C35="emnedag",Stamoplysninger!$H$30/200,0)</f>
        <v>0</v>
      </c>
      <c r="DE35" s="245">
        <f>IF(C35="lejrskole",Stamoplysninger!$H$30/200,0)</f>
        <v>0</v>
      </c>
      <c r="DF35" s="245">
        <f>IF(C35="ekskursion",Stamoplysninger!$H$30/200,0)</f>
        <v>0</v>
      </c>
      <c r="DG35" s="245">
        <f t="shared" si="26"/>
        <v>0</v>
      </c>
      <c r="DH35" t="str">
        <f t="shared" si="27"/>
        <v/>
      </c>
      <c r="DI35">
        <f t="shared" si="28"/>
        <v>0</v>
      </c>
      <c r="DJ35">
        <f t="shared" si="29"/>
        <v>0</v>
      </c>
      <c r="DK35" t="str">
        <f t="shared" si="14"/>
        <v/>
      </c>
      <c r="DL35" t="str">
        <f t="shared" si="14"/>
        <v/>
      </c>
      <c r="DM35" t="str">
        <f t="shared" si="14"/>
        <v/>
      </c>
      <c r="DN35" t="str">
        <f t="shared" si="30"/>
        <v/>
      </c>
      <c r="DO35" s="643">
        <f>IF(AND(Stamoplysninger!$B$22="Ulempetillæg udbetales med 25% af nettotimelønnen.",H35&gt;0),(R35/4),0)</f>
        <v>0</v>
      </c>
      <c r="DP35">
        <f>IF(AND(Stamoplysninger!$B$22="Ulempetillæg udbetales med 25% af nettotimelønnen.",I35="X"),K35/4,0)</f>
        <v>0</v>
      </c>
      <c r="DQ35">
        <f>IF(AND(Stamoplysninger!$B$22="Ulempetillæg udbetales med 25% af nettotimelønnen.",U35="X"),(X35/4),0)</f>
        <v>0</v>
      </c>
      <c r="DR35">
        <f>IF(AND(AND(Stamoplysninger!$B$22="Ulempetillæg udbetales med 25% af nettotimelønnen.",S35="X",I35="X")),V35/4,0)</f>
        <v>0</v>
      </c>
      <c r="DS35" s="662">
        <f>IF(AND(Stamoplysninger!$B$22="Ulempetillæg udbetales med 25% af nettotimelønnen.",C35="ikke relevant"),(R35)/4,0)</f>
        <v>0</v>
      </c>
      <c r="DT35" s="662">
        <f>IF(AND(AND(Stamoplysninger!$B$22="Ulempetillæg udbetales med 25% af nettotimelønnen.",I35="X",C35="Ikke relevant")),K35/4,0)</f>
        <v>0</v>
      </c>
      <c r="DU35" s="662">
        <f>IF(AND(AND(Stamoplysninger!$B$22="Ulempetillæg udbetales med 25% af nettotimelønnen.",C35="ikke relevant",U35="X")),(X35/4),0)</f>
        <v>0</v>
      </c>
      <c r="DV35" s="663">
        <f>IF(AND(AND(AND(Stamoplysninger!$B$22="Ulempetillæg udbetales med 25% af nettotimelønnen.",I35="X",C35="Ikke relevant",S35="X"))),V35/4,0)</f>
        <v>0</v>
      </c>
      <c r="DW35" s="643"/>
      <c r="DZ35" s="662"/>
      <c r="EA35" s="662"/>
      <c r="EB35" s="663"/>
      <c r="EC35" s="643">
        <f>IF(AND(Stamoplysninger!$B$22="Ulempetillæg afspadseres med 25%(Kræver en aftale imellem ledelsen og den ansatte)",H35&gt;0),R35/4,0)</f>
        <v>0</v>
      </c>
      <c r="ED35">
        <f>IF(AND(Stamoplysninger!$B$22="Ulempetillæg afspadseres med 25%(Kræver en aftale imellem ledelsen og den ansatte)",I35="X"),K35/4,0)</f>
        <v>0</v>
      </c>
      <c r="EE35">
        <f>IF(AND(Stamoplysninger!$B$22="Ulempetillæg afspadseres med 25%(Kræver en aftale imellem ledelsen og den ansatte)",U35="X"),X35/4,0)</f>
        <v>0</v>
      </c>
      <c r="EF35">
        <f>IF(AND(AND(Stamoplysninger!$B$22="Ulempetillæg afspadseres med 25%(Kræver en aftale imellem ledelsen og den ansatte)",I35="X",S35="X")),V35/4,0)</f>
        <v>0</v>
      </c>
      <c r="EG35" s="662">
        <f>IF(AND(Stamoplysninger!$B$22="Ulempetillæg afspadseres med 25%(Kræver en aftale imellem ledelsen og den ansatte)",C35="ikke relevant"),(R35)/4,0)</f>
        <v>0</v>
      </c>
      <c r="EH35" s="662">
        <f>IF(AND(AND(Stamoplysninger!$B$22="Ulempetillæg afspadseres med 25%(Kræver en aftale imellem ledelsen og den ansatte)",I35="X",C35="Ikke relevant")),K35/4,0)</f>
        <v>0</v>
      </c>
      <c r="EI35" s="662">
        <f>IF(AND(AND(Stamoplysninger!$B$22="Ulempetillæg afspadseres med 25%(Kræver en aftale imellem ledelsen og den ansatte)",U35="X",C35="Ikke relevant")),X35/4,0)</f>
        <v>0</v>
      </c>
      <c r="EJ35" s="662">
        <f>IF(AND(AND(AND(Stamoplysninger!$B$22="Ulempetillæg afspadseres med 25%(Kræver en aftale imellem ledelsen og den ansatte)",I35="X",C35="Ikke relevant",S35="X"))),V35/4,0)</f>
        <v>0</v>
      </c>
      <c r="EK35" s="279">
        <f>IF(AND(Stamoplysninger!$B$26="Weekendtimer og weekendtillæg afspadseres.",I35="X"),K35*1.5,0)</f>
        <v>0</v>
      </c>
      <c r="EL35" s="247">
        <f>IF(AND(AND(Stamoplysninger!$B$26="Weekendtimer og weekendtillæg afspadseres.",I35="X",S35="X")),V35*1.5,0)</f>
        <v>0</v>
      </c>
      <c r="EM35" s="665">
        <f>IF(AND(AND(Stamoplysninger!$B$26="Weekendtimer og weekendtillæg afspadseres.",I35="X",C35="ikke relevant")),K35*1.5,0)</f>
        <v>0</v>
      </c>
      <c r="EN35" s="666">
        <f>IF(AND(AND(AND(Stamoplysninger!$B$26="Weekendtimer og weekendtillæg afspadseres.",I35="X",C35="ikke relevant",S35="X"))),(V35*1.5),0)</f>
        <v>0</v>
      </c>
      <c r="EO35" s="279">
        <f>IF(AND(Stamoplysninger!$B$26="Weekendtimer og weekendtillæg udbetales.",I35="X"),K35*1.5,0)</f>
        <v>0</v>
      </c>
      <c r="EP35" s="247">
        <f>IF(AND(AND(Stamoplysninger!$B$26="Weekendtimer og weekendtillæg udbetales.",I35="X",S35="X")),V35*1.5,0)</f>
        <v>0</v>
      </c>
      <c r="EQ35" s="665">
        <f>IF(AND(AND(Stamoplysninger!$B$26="Weekendtimer og weekendtillæg udbetales.",I35="X",C35="ikke relevant")),K35*1.5,0)</f>
        <v>0</v>
      </c>
      <c r="ER35" s="666">
        <f>IF(AND(AND(AND(Stamoplysninger!$B$26="Weekendtimer og weekendtillæg udbetales.",I35="X",C35="ikke relevant",S35="X"))),(V35*1.5),0)</f>
        <v>0</v>
      </c>
      <c r="ES35" s="279">
        <f>IF(AND(Stamoplysninger!$B$26="Der er indgået lokalaftale omkring weekendtimer.(Kræver aftale med TR/FSL) Weekendtillæg afspadseres.",I35="X"),K35*0.5,0)</f>
        <v>0</v>
      </c>
      <c r="ET35" s="247">
        <f>IF(AND(AND(Stamoplysninger!$B$26="Der er indgået lokalaftale omkring weekendtimer.(Kræver aftale med TR/FSL) Weekendtillæg afspadseres.",I35="X",S35="X")),V35*0.5,0)</f>
        <v>0</v>
      </c>
      <c r="EU35" s="665">
        <f>IF(AND(AND(Stamoplysninger!$B$26="Der er indgået lokalaftale omkring weekendtimer.(Kræver aftale med TR/FSL) Weekendtillæg afspadseres.",I35="X",C35="ikke relevant")),K35*0.5,0)</f>
        <v>0</v>
      </c>
      <c r="EV35" s="666">
        <f>IF(AND(AND(AND(Stamoplysninger!$B$26="Der er indgået lokalaftale omkring weekendtimer.(Kræver aftale med TR/FSL) Weekendtillæg afspadseres.",I35="X",C35="ikke relevant",S35="X"))),(V35*0.5),0)</f>
        <v>0</v>
      </c>
      <c r="EW35" s="279">
        <f>IF(AND(Stamoplysninger!$B$26="Der er indgået lokalaftale omkring weekendtimer(Kræver aftale med TR/FSL). Weekendtillæg udbetales.",I35="X"),K35*0.5,0)</f>
        <v>0</v>
      </c>
      <c r="EX35" s="247">
        <f>IF(AND(AND(Stamoplysninger!$B$26="Der er indgået lokalaftale omkring weekendtimer(Kræver aftale med TR/FSL). Weekendtillæg udbetales.",I35="X",S35="X")),V35*0.5,0)</f>
        <v>0</v>
      </c>
      <c r="EY35" s="665">
        <f>IF(AND(AND(Stamoplysninger!$B$26="Der er indgået lokalaftale omkring weekendtimer(Kræver aftale med TR/FSL). Weekendtillæg udbetales.",I35="X",C35="ikke relevant")),K35*0.5,0)</f>
        <v>0</v>
      </c>
      <c r="EZ35" s="666">
        <f>IF(AND(AND(AND(Stamoplysninger!$B$26="Der er indgået lokalaftale omkring weekendtimer(Kræver aftale med TR/FSL). Weekendtillæg udbetales.",I35="X",C35="ikke relevant",S35="X"))),(V35*0.5),0)</f>
        <v>0</v>
      </c>
      <c r="FA35" s="279">
        <f>IF(AND(Stamoplysninger!$B$26="Der er indgået lokalaftale omkring weekendtillæg(Kræver aftale med TR/FSL). Weekendtimerne afspadseres.",I35="X"),K35,0)</f>
        <v>0</v>
      </c>
      <c r="FB35" s="247">
        <f>IF(AND(AND(Stamoplysninger!$B$26="Der er indgået lokalaftale omkring weekendtillæg(Kræver aftale med TR/FSL). Weekendtimerne afspadseres.",I35="X",S35="X")),V35,0)</f>
        <v>0</v>
      </c>
      <c r="FC35" s="665">
        <f>IF(AND(AND(Stamoplysninger!$B$26="Der er indgået lokalaftale omkring weekendtillæg(Kræver aftale med TR/FSL). Weekendtimerne afspadseres..",I35="X",C35="ikke relevant")),K35,0)</f>
        <v>0</v>
      </c>
      <c r="FD35" s="666">
        <f>IF(AND(AND(AND(Stamoplysninger!$B$26="Der er indgået lokalaftale omkring weekendtillæg(Kræver aftale med TR/FSL). Weekendtimerne afspadseres.",I35="X",C35="ikke relevant",S35="X"))),(V35),0)</f>
        <v>0</v>
      </c>
      <c r="FE35" s="279">
        <f>IF(AND(Stamoplysninger!$B$26="Der er indgået lokalaftale omkring weekendtillæg(Kræver aftale med TR/FSL). Weekendtimerne udbetales.",I35="X"),K35,0)</f>
        <v>0</v>
      </c>
      <c r="FF35" s="247">
        <f>IF(AND(AND(Stamoplysninger!$B$26="Der er indgået lokalaftale omkring weekendtillæg(Kræver aftale med TR/FSL). Weekendtimerne udbetales.",I35="X",S35="X")),V35,0)</f>
        <v>0</v>
      </c>
      <c r="FG35" s="665">
        <f>IF(AND(AND(Stamoplysninger!$B$26="Der er indgået lokalaftale omkring weekendtillæg(Kræver aftale med TR/FSL). Weekendtimerne udbetales.",I35="X",C35="ikke relevant")),K35,0)</f>
        <v>0</v>
      </c>
      <c r="FH35" s="666">
        <f>IF(AND(AND(AND(Stamoplysninger!$B$26="Der er indgået lokalaftale omkring weekendtillæg(Kræver aftale med TR/FSL). Weekendtimerne udbetales.",I35="X",C35="ikke relevant",S35="X"))),(V35),0)</f>
        <v>0</v>
      </c>
      <c r="FI35" s="279">
        <f>IF(AND(Stamoplysninger!$B$26="Weekendtimer og weekendtillæg afspadseres.",I35="X"),K35,0)</f>
        <v>0</v>
      </c>
      <c r="FJ35" s="247">
        <f>IF(AND(Stamoplysninger!$B$26="Weekendtimer og weekendtillæg afspadseres.",Y35="X"),(AA35+AL35)/2,0)</f>
        <v>0</v>
      </c>
      <c r="FK35" s="665">
        <f>IF(AND(AND(Stamoplysninger!$B$26="Weekendtimer og weekendtillæg afspadseres.",I35="X",C35="ikke relevant")),K35,0)</f>
        <v>0</v>
      </c>
      <c r="FL35" s="666">
        <f>IF(AND(AND(Stamoplysninger!$B$26="Weekendtimer og weekendtillæg afspadseres.",Y35="X",S35="ikke relevant")),(AA35+AL35)/2,0)</f>
        <v>0</v>
      </c>
      <c r="FM35" s="279">
        <f>IF(AND(Stamoplysninger!$B$26="Der er indgået lokalaftale omkring weekendtillæg(Kræver aftale med TR/FSL). Weekendtimerne afspadseres.",I35="X"),K35,0)</f>
        <v>0</v>
      </c>
      <c r="FN35" s="665">
        <f>IF(AND(AND(Stamoplysninger!$B$26="Der er indgået lokalaftale omkring weekendtillæg(Kræver aftale med TR/FSL). Weekendtimerne afspadseres.",I35="X",C35="ikke relevant")),K35,0)</f>
        <v>0</v>
      </c>
      <c r="FO35" s="279">
        <f>IF(AND(Stamoplysninger!$B$26="Weekendtimer og weekendtillæg udbetales.",I35="X"),K35,0)</f>
        <v>0</v>
      </c>
      <c r="FP35" s="247">
        <f>IF(AND(Stamoplysninger!$B$26="Weekendtimer og weekendtillæg udbetales.",AA35="X"),(AC35+AN35)/2,0)</f>
        <v>0</v>
      </c>
      <c r="FQ35" s="665">
        <f>IF(AND(AND(Stamoplysninger!$B$26="Weekendtimer og weekendtillæg udbetales.",I35="X",C35="ikke relevant")),K35,0)</f>
        <v>0</v>
      </c>
      <c r="FR35" s="679">
        <f>IF(AND(AND(Stamoplysninger!$B$26="Weekendtimer og weekendtillæg udbetales.",AA35="X",U35="ikke relevant")),(AC35+AN35)/2,0)</f>
        <v>0</v>
      </c>
      <c r="FS35" s="279">
        <f t="shared" si="15"/>
        <v>0</v>
      </c>
      <c r="FT35" s="649">
        <f t="shared" si="16"/>
        <v>0</v>
      </c>
      <c r="FU35">
        <f t="shared" si="31"/>
        <v>0</v>
      </c>
      <c r="FV35" s="279">
        <f>IF(AND(Stamoplysninger!$B$26="Der er indgået lokalaftale omkring weekendtimer.(Kræver aftale med TR/FSL) Weekendtillæg afspadseres.",I35="X"),K35,0)</f>
        <v>0</v>
      </c>
      <c r="FW35" s="665">
        <f>IF(AND(AND(Stamoplysninger!$B$26="Der er indgået lokalaftale omkring weekendtimer.(Kræver aftale med TR/FSL) Weekendtillæg afspadseres.",I35="X",C35="ikke relevant")),K35,0)</f>
        <v>0</v>
      </c>
      <c r="FX35" s="279">
        <f>IF(AND(Stamoplysninger!$B$26="Der er indgået lokalaftale omkring weekendtimer(Kræver aftale med TR/FSL). Weekendtillæg udbetales.",I35="X"),K35,0)</f>
        <v>0</v>
      </c>
      <c r="FY35" s="665">
        <f>IF(AND(AND(Stamoplysninger!$B$26="Der er indgået lokalaftale omkring weekendtimer(Kræver aftale med TR/FSL). Weekendtillæg udbetales.",I35="X",C35="ikke relevant")),K35,0)</f>
        <v>0</v>
      </c>
      <c r="FZ35" s="279">
        <f>IF(AND(Stamoplysninger!$B$26="Der er indgået lokalaftale omkring weekendtillæg(Kræver aftale med TR/FSL). Weekendtimerne udbetales.",I35="X"),K35,0)</f>
        <v>0</v>
      </c>
      <c r="GA35" s="665">
        <f>IF(AND(AND(Stamoplysninger!$B$26="Der er indgået lokalaftale omkring weekendtillæg(Kræver aftale med TR/FSL). Weekendtimerne udbetales.",I35="X",C35="ikke relevant")),K35,0)</f>
        <v>0</v>
      </c>
      <c r="GB35" s="279">
        <f>IF(AND(Stamoplysninger!$B$26="Der er indgået lokalaftale omkring weekendtimer og weekendtillæg.(Kræver aftale med TR/FSL).",I35="X"),K35,0)</f>
        <v>0</v>
      </c>
      <c r="GC35" s="665">
        <f>IF(AND(AND(Stamoplysninger!$B$26="Der er indgået lokalaftale omkring weekendtimer og weekendtillæg.(Kræver aftale med TR/FSL).",I35="X",C35="ikke relevant")),K35,0)</f>
        <v>0</v>
      </c>
    </row>
    <row r="36" spans="1:185">
      <c r="A36" s="241">
        <f t="shared" si="18"/>
        <v>28</v>
      </c>
      <c r="B36" s="127" t="str">
        <f t="shared" si="0"/>
        <v>ma</v>
      </c>
      <c r="C36" s="128" t="s">
        <v>206</v>
      </c>
      <c r="D36" s="129">
        <f t="shared" si="1"/>
        <v>44</v>
      </c>
      <c r="E36" s="932"/>
      <c r="F36" s="933"/>
      <c r="G36" s="934"/>
      <c r="H36" s="294"/>
      <c r="I36" s="519"/>
      <c r="J36" s="407"/>
      <c r="K36" s="374"/>
      <c r="L36" s="374"/>
      <c r="M36" s="374"/>
      <c r="N36" s="313">
        <f t="shared" si="19"/>
        <v>0</v>
      </c>
      <c r="O36" s="313">
        <f t="shared" si="20"/>
        <v>0</v>
      </c>
      <c r="P36" s="313">
        <f>IF(Stamoplysninger!$H$29="JA",Oktober!DG36,CX36)</f>
        <v>0</v>
      </c>
      <c r="Q36" s="313">
        <f t="shared" si="21"/>
        <v>0</v>
      </c>
      <c r="R36" s="314"/>
      <c r="S36" s="319"/>
      <c r="T36" s="320"/>
      <c r="U36" s="320"/>
      <c r="V36" s="429"/>
      <c r="W36" s="406"/>
      <c r="X36" s="633"/>
      <c r="Y36">
        <f t="shared" si="22"/>
        <v>0</v>
      </c>
      <c r="Z36">
        <f t="shared" si="2"/>
        <v>0</v>
      </c>
      <c r="AA36" s="1">
        <f t="shared" si="3"/>
        <v>0</v>
      </c>
      <c r="AB36" s="1">
        <f t="shared" si="4"/>
        <v>0</v>
      </c>
      <c r="AC36" s="1">
        <f t="shared" si="5"/>
        <v>0</v>
      </c>
      <c r="AD36" s="1">
        <f t="shared" si="6"/>
        <v>0</v>
      </c>
      <c r="AE36" s="1">
        <f t="shared" si="7"/>
        <v>0</v>
      </c>
      <c r="AF36" s="1">
        <f>IF(C36="Orlov",7.4*Stamoplysninger!$E$15,0)</f>
        <v>0</v>
      </c>
      <c r="AG36">
        <f>IF(AND(C36="Skema 1",B36="ma"),Arbejdstidsoversigt!$E$72,"")</f>
        <v>0</v>
      </c>
      <c r="AH36" t="str">
        <f>IF(AND(C36="Skema 1",B36="ti"),Arbejdstidsoversigt!$E$73,"")</f>
        <v/>
      </c>
      <c r="AI36" t="str">
        <f>IF(AND(C36="Skema 1",B36="on"),Arbejdstidsoversigt!$E$74,"")</f>
        <v/>
      </c>
      <c r="AJ36" t="str">
        <f>IF(AND(C36="Skema 1",B36="to"),Arbejdstidsoversigt!$E$75,"")</f>
        <v/>
      </c>
      <c r="AK36" t="str">
        <f>IF(AND(C36="Skema 1",B36="fr"),Arbejdstidsoversigt!$E$76,"")</f>
        <v/>
      </c>
      <c r="AL36" t="str">
        <f>IF(AND(C36="Skema 2",B36="ma"),Arbejdstidsoversigt!$E$81,"")</f>
        <v/>
      </c>
      <c r="AM36" t="str">
        <f>IF(AND(C36="Skema 2",B36="ti"),Arbejdstidsoversigt!$E$82,"")</f>
        <v/>
      </c>
      <c r="AN36" t="str">
        <f>IF(AND(C36="Skema 2",B36="on"),Arbejdstidsoversigt!$E$83,"")</f>
        <v/>
      </c>
      <c r="AO36" t="str">
        <f>IF(AND(C36="Skema 2",B36="to"),Arbejdstidsoversigt!$E$84,"")</f>
        <v/>
      </c>
      <c r="AP36" t="str">
        <f>IF(AND(C36="Skema 2",B36="fr"),Arbejdstidsoversigt!$E$85,"")</f>
        <v/>
      </c>
      <c r="AQ36" t="str">
        <f>IF(AND(C36="Skema 3",B36="ma"),Arbejdstidsoversigt!$E$90,"")</f>
        <v/>
      </c>
      <c r="AR36" t="str">
        <f>IF(AND(C36="Skema 3",B36="ti"),Arbejdstidsoversigt!$E$91,"")</f>
        <v/>
      </c>
      <c r="AS36" t="str">
        <f>IF(AND(C36="Skema 3",B36="on"),Arbejdstidsoversigt!$E$92,"")</f>
        <v/>
      </c>
      <c r="AT36" t="str">
        <f>IF(AND(C36="Skema 3",B36="to"),Arbejdstidsoversigt!$E$93,"")</f>
        <v/>
      </c>
      <c r="AU36" t="str">
        <f>IF(AND(C36="Skema 3",B36="fr"),Arbejdstidsoversigt!$E$94,"")</f>
        <v/>
      </c>
      <c r="AV36" t="str">
        <f>IF(AND(C36="Skema 4",B36="ma"),Arbejdstidsoversigt!$E$99,"")</f>
        <v/>
      </c>
      <c r="AW36" t="str">
        <f>IF(AND(C36="Skema 4",B36="ti"),Arbejdstidsoversigt!$E$100,"")</f>
        <v/>
      </c>
      <c r="AX36" t="str">
        <f>IF(AND(C36="Skema 4",B36="on"),Arbejdstidsoversigt!$E$101,"")</f>
        <v/>
      </c>
      <c r="AY36" t="str">
        <f>IF(AND(C36="Skema 4",B36="to"),Arbejdstidsoversigt!$E$102,"")</f>
        <v/>
      </c>
      <c r="AZ36" t="str">
        <f>IF(AND(C36="Skema 4",B36="fr"),Arbejdstidsoversigt!$E$103,"")</f>
        <v/>
      </c>
      <c r="BA36" s="1">
        <f t="shared" si="23"/>
        <v>0</v>
      </c>
      <c r="BB36" s="226">
        <f t="shared" si="8"/>
        <v>0</v>
      </c>
      <c r="BC36" s="1">
        <f t="shared" si="24"/>
        <v>0</v>
      </c>
      <c r="BD36" s="1">
        <f t="shared" si="9"/>
        <v>0</v>
      </c>
      <c r="BE36" s="1">
        <f t="shared" si="10"/>
        <v>0</v>
      </c>
      <c r="BF36" s="1">
        <f t="shared" si="11"/>
        <v>0</v>
      </c>
      <c r="BG36" s="209">
        <f>IF(AND(C36="Skema 1",B36="ma"),Skemaoplysninger!$E$30,"")</f>
        <v>0</v>
      </c>
      <c r="BH36" s="209" t="str">
        <f>IF(AND(C36="Skema 1",B36="ti"),Skemaoplysninger!$G$30,"")</f>
        <v/>
      </c>
      <c r="BI36" s="209" t="str">
        <f>IF(AND(C36="Skema 1",B36="on"),Skemaoplysninger!$I$30,"")</f>
        <v/>
      </c>
      <c r="BJ36" s="209" t="str">
        <f>IF(AND(C36="Skema 1",B36="to"),Skemaoplysninger!$K$30,"")</f>
        <v/>
      </c>
      <c r="BK36" s="209" t="str">
        <f>IF(AND(C36="Skema 1",B36="fr"),Skemaoplysninger!$M$30,"")</f>
        <v/>
      </c>
      <c r="BL36" s="209" t="str">
        <f>IF(AND(C36="Skema 2",B36="ma"),Skemaoplysninger!$S$30,"")</f>
        <v/>
      </c>
      <c r="BM36" s="209" t="str">
        <f>IF(AND(C36="Skema 2",B36="ti"),Skemaoplysninger!$U$30,"")</f>
        <v/>
      </c>
      <c r="BN36" s="209" t="str">
        <f>IF(AND(C36="Skema 2",B36="on"),Skemaoplysninger!$W$30,"")</f>
        <v/>
      </c>
      <c r="BO36" s="209" t="str">
        <f>IF(AND(C36="Skema 2",B36="to"),Skemaoplysninger!$Y$30,"")</f>
        <v/>
      </c>
      <c r="BP36" s="209" t="str">
        <f>IF(AND(C36="Skema 2",B36="fr"),Skemaoplysninger!$AA$30,"")</f>
        <v/>
      </c>
      <c r="BQ36" s="209" t="str">
        <f>IF(AND(C36="Skema 3",B36="ma"),Skemaoplysninger!$AG$30,"")</f>
        <v/>
      </c>
      <c r="BR36" s="209" t="str">
        <f>IF(AND(C36="Skema 3",B36="ti"),Skemaoplysninger!$AI$30,"")</f>
        <v/>
      </c>
      <c r="BS36" s="209" t="str">
        <f>IF(AND(C36="Skema 3",B36="on"),Skemaoplysninger!$AK$30,"")</f>
        <v/>
      </c>
      <c r="BT36" s="209" t="str">
        <f>IF(AND(C36="Skema 3",B36="to"),Skemaoplysninger!$AM$30,"")</f>
        <v/>
      </c>
      <c r="BU36" s="209" t="str">
        <f>IF(AND(C36="Skema 3",B36="fr"),Skemaoplysninger!$AO$30,"")</f>
        <v/>
      </c>
      <c r="BV36" s="209" t="str">
        <f>IF(AND(C36="Skema 4",B36="ma"),Skemaoplysninger!$AU$30,"")</f>
        <v/>
      </c>
      <c r="BW36" s="209" t="str">
        <f>IF(AND(C36="Skema 4",B36="ti"),Skemaoplysninger!$AW$30,"")</f>
        <v/>
      </c>
      <c r="BX36" s="209" t="str">
        <f>IF(AND(C36="Skema 4",B36="on"),Skemaoplysninger!$AY$30,"")</f>
        <v/>
      </c>
      <c r="BY36" s="209" t="str">
        <f>IF(AND(C36="Skema 4",B36="to"),Skemaoplysninger!$BA$30,"")</f>
        <v/>
      </c>
      <c r="BZ36" s="209" t="str">
        <f>IF(AND(C36="Skema 4",B36="fr"),Skemaoplysninger!$BC$30,"")</f>
        <v/>
      </c>
      <c r="CA36" s="1">
        <f t="shared" si="25"/>
        <v>0</v>
      </c>
      <c r="CB36" s="1">
        <f t="shared" si="12"/>
        <v>0</v>
      </c>
      <c r="CC36" s="1">
        <f t="shared" si="13"/>
        <v>0</v>
      </c>
      <c r="CD36" s="209">
        <f>IF(AND(C36="Skema 1",B36="ma"),Skemaoplysninger!$E$31,"")</f>
        <v>0</v>
      </c>
      <c r="CE36" s="209" t="str">
        <f>IF(AND(C36="Skema 1",B36="ti"),Skemaoplysninger!$G$31,"")</f>
        <v/>
      </c>
      <c r="CF36" s="209" t="str">
        <f>IF(AND(C36="Skema 1",B36="on"),Skemaoplysninger!$I$31,"")</f>
        <v/>
      </c>
      <c r="CG36" s="209" t="str">
        <f>IF(AND(C36="Skema 1",B36="to"),Skemaoplysninger!$K$31,"")</f>
        <v/>
      </c>
      <c r="CH36" s="209" t="str">
        <f>IF(AND(C36="Skema 1",B36="fr"),Skemaoplysninger!$M$31,"")</f>
        <v/>
      </c>
      <c r="CI36" s="209" t="str">
        <f>IF(AND(C36="Skema 2",B36="ma"),Skemaoplysninger!$S$31,"")</f>
        <v/>
      </c>
      <c r="CJ36" s="209" t="str">
        <f>IF(AND(C36="Skema 2",B36="ti"),Skemaoplysninger!$U$31,"")</f>
        <v/>
      </c>
      <c r="CK36" s="209" t="str">
        <f>IF(AND(C36="Skema 2",B36="on"),Skemaoplysninger!$W$31,"")</f>
        <v/>
      </c>
      <c r="CL36" s="209" t="str">
        <f>IF(AND(C36="Skema 2",B36="to"),Skemaoplysninger!$Y$31,"")</f>
        <v/>
      </c>
      <c r="CM36" s="209" t="str">
        <f>IF(AND(C36="Skema 2",B36="fr"),Skemaoplysninger!$AA$31,"")</f>
        <v/>
      </c>
      <c r="CN36" s="209" t="str">
        <f>IF(AND(C36="Skema 3",B36="ma"),Skemaoplysninger!$AG$31,"")</f>
        <v/>
      </c>
      <c r="CO36" s="209" t="str">
        <f>IF(AND(C36="Skema 3",B36="ti"),Skemaoplysninger!$AI$31,"")</f>
        <v/>
      </c>
      <c r="CP36" s="209" t="str">
        <f>IF(AND(C36="Skema 3",B36="on"),Skemaoplysninger!$AK$31,"")</f>
        <v/>
      </c>
      <c r="CQ36" s="209" t="str">
        <f>IF(AND(C36="Skema 3",B36="to"),Skemaoplysninger!$AM$31,"")</f>
        <v/>
      </c>
      <c r="CR36" s="209" t="str">
        <f>IF(AND(C36="Skema 3",B36="fr"),Skemaoplysninger!$AO$31,"")</f>
        <v/>
      </c>
      <c r="CS36" s="209" t="str">
        <f>IF(AND(C36="Skema 4",B36="ma"),Skemaoplysninger!$AU$31,"")</f>
        <v/>
      </c>
      <c r="CT36" s="209" t="str">
        <f>IF(AND(C36="Skema 4",B36="ti"),Skemaoplysninger!$AW$31,"")</f>
        <v/>
      </c>
      <c r="CU36" s="209" t="str">
        <f>IF(AND(C36="Skema 4",B36="on"),Skemaoplysninger!$AY$31,"")</f>
        <v/>
      </c>
      <c r="CV36" s="209" t="str">
        <f>IF(AND(C36="Skema 4",B36="to"),Skemaoplysninger!$BA$31,"")</f>
        <v/>
      </c>
      <c r="CW36" s="209" t="str">
        <f>IF(AND(C36="Skema 4",B36="fr"),Skemaoplysninger!$BC$31,"")</f>
        <v/>
      </c>
      <c r="CX36" s="245">
        <f>IF(Stamoplysninger!$H$29="NEJ",SUM(CD36:CW36)*24+CB36+CC36,0)</f>
        <v>0</v>
      </c>
      <c r="CY36" s="245">
        <f>IF(C36="Skema 1",Stamoplysninger!$H$30/200,0)</f>
        <v>0</v>
      </c>
      <c r="CZ36" s="245">
        <f>IF(C36="Skema 2",Stamoplysninger!$H$30/200,0)</f>
        <v>0</v>
      </c>
      <c r="DA36" s="245">
        <f>IF(C36="Skema 3",Stamoplysninger!$H$30/200,0)</f>
        <v>0</v>
      </c>
      <c r="DB36" s="245">
        <f>IF(C36="Skema 4",Stamoplysninger!$H$30/200,0)</f>
        <v>0</v>
      </c>
      <c r="DC36" s="245">
        <f>IF(C36="fagdag",Stamoplysninger!$H$30/200,0)</f>
        <v>0</v>
      </c>
      <c r="DD36" s="245">
        <f>IF(C36="emnedag",Stamoplysninger!$H$30/200,0)</f>
        <v>0</v>
      </c>
      <c r="DE36" s="245">
        <f>IF(C36="lejrskole",Stamoplysninger!$H$30/200,0)</f>
        <v>0</v>
      </c>
      <c r="DF36" s="245">
        <f>IF(C36="ekskursion",Stamoplysninger!$H$30/200,0)</f>
        <v>0</v>
      </c>
      <c r="DG36" s="245">
        <f t="shared" si="26"/>
        <v>0</v>
      </c>
      <c r="DH36" t="str">
        <f t="shared" si="27"/>
        <v/>
      </c>
      <c r="DI36">
        <f t="shared" si="28"/>
        <v>0</v>
      </c>
      <c r="DJ36">
        <f t="shared" si="29"/>
        <v>0</v>
      </c>
      <c r="DK36" t="str">
        <f t="shared" si="14"/>
        <v/>
      </c>
      <c r="DL36" t="str">
        <f t="shared" si="14"/>
        <v/>
      </c>
      <c r="DM36" t="str">
        <f t="shared" si="14"/>
        <v/>
      </c>
      <c r="DN36" t="str">
        <f t="shared" si="30"/>
        <v/>
      </c>
      <c r="DO36" s="643">
        <f>IF(AND(Stamoplysninger!$B$22="Ulempetillæg udbetales med 25% af nettotimelønnen.",H36&gt;0),(R36/4),0)</f>
        <v>0</v>
      </c>
      <c r="DP36">
        <f>IF(AND(Stamoplysninger!$B$22="Ulempetillæg udbetales med 25% af nettotimelønnen.",I36="X"),K36/4,0)</f>
        <v>0</v>
      </c>
      <c r="DQ36">
        <f>IF(AND(Stamoplysninger!$B$22="Ulempetillæg udbetales med 25% af nettotimelønnen.",U36="X"),(X36/4),0)</f>
        <v>0</v>
      </c>
      <c r="DR36">
        <f>IF(AND(AND(Stamoplysninger!$B$22="Ulempetillæg udbetales med 25% af nettotimelønnen.",S36="X",I36="X")),V36/4,0)</f>
        <v>0</v>
      </c>
      <c r="DS36" s="662">
        <f>IF(AND(Stamoplysninger!$B$22="Ulempetillæg udbetales med 25% af nettotimelønnen.",C36="ikke relevant"),(R36)/4,0)</f>
        <v>0</v>
      </c>
      <c r="DT36" s="662">
        <f>IF(AND(AND(Stamoplysninger!$B$22="Ulempetillæg udbetales med 25% af nettotimelønnen.",I36="X",C36="Ikke relevant")),K36/4,0)</f>
        <v>0</v>
      </c>
      <c r="DU36" s="662">
        <f>IF(AND(AND(Stamoplysninger!$B$22="Ulempetillæg udbetales med 25% af nettotimelønnen.",C36="ikke relevant",U36="X")),(X36/4),0)</f>
        <v>0</v>
      </c>
      <c r="DV36" s="663">
        <f>IF(AND(AND(AND(Stamoplysninger!$B$22="Ulempetillæg udbetales med 25% af nettotimelønnen.",I36="X",C36="Ikke relevant",S36="X"))),V36/4,0)</f>
        <v>0</v>
      </c>
      <c r="DW36" s="643"/>
      <c r="DZ36" s="662"/>
      <c r="EA36" s="662"/>
      <c r="EB36" s="663"/>
      <c r="EC36" s="643">
        <f>IF(AND(Stamoplysninger!$B$22="Ulempetillæg afspadseres med 25%(Kræver en aftale imellem ledelsen og den ansatte)",H36&gt;0),R36/4,0)</f>
        <v>0</v>
      </c>
      <c r="ED36">
        <f>IF(AND(Stamoplysninger!$B$22="Ulempetillæg afspadseres med 25%(Kræver en aftale imellem ledelsen og den ansatte)",I36="X"),K36/4,0)</f>
        <v>0</v>
      </c>
      <c r="EE36">
        <f>IF(AND(Stamoplysninger!$B$22="Ulempetillæg afspadseres med 25%(Kræver en aftale imellem ledelsen og den ansatte)",U36="X"),X36/4,0)</f>
        <v>0</v>
      </c>
      <c r="EF36">
        <f>IF(AND(AND(Stamoplysninger!$B$22="Ulempetillæg afspadseres med 25%(Kræver en aftale imellem ledelsen og den ansatte)",I36="X",S36="X")),V36/4,0)</f>
        <v>0</v>
      </c>
      <c r="EG36" s="662">
        <f>IF(AND(Stamoplysninger!$B$22="Ulempetillæg afspadseres med 25%(Kræver en aftale imellem ledelsen og den ansatte)",C36="ikke relevant"),(R36)/4,0)</f>
        <v>0</v>
      </c>
      <c r="EH36" s="662">
        <f>IF(AND(AND(Stamoplysninger!$B$22="Ulempetillæg afspadseres med 25%(Kræver en aftale imellem ledelsen og den ansatte)",I36="X",C36="Ikke relevant")),K36/4,0)</f>
        <v>0</v>
      </c>
      <c r="EI36" s="662">
        <f>IF(AND(AND(Stamoplysninger!$B$22="Ulempetillæg afspadseres med 25%(Kræver en aftale imellem ledelsen og den ansatte)",U36="X",C36="Ikke relevant")),X36/4,0)</f>
        <v>0</v>
      </c>
      <c r="EJ36" s="662">
        <f>IF(AND(AND(AND(Stamoplysninger!$B$22="Ulempetillæg afspadseres med 25%(Kræver en aftale imellem ledelsen og den ansatte)",I36="X",C36="Ikke relevant",S36="X"))),V36/4,0)</f>
        <v>0</v>
      </c>
      <c r="EK36" s="279">
        <f>IF(AND(Stamoplysninger!$B$26="Weekendtimer og weekendtillæg afspadseres.",I36="X"),K36*1.5,0)</f>
        <v>0</v>
      </c>
      <c r="EL36" s="247">
        <f>IF(AND(AND(Stamoplysninger!$B$26="Weekendtimer og weekendtillæg afspadseres.",I36="X",S36="X")),V36*1.5,0)</f>
        <v>0</v>
      </c>
      <c r="EM36" s="665">
        <f>IF(AND(AND(Stamoplysninger!$B$26="Weekendtimer og weekendtillæg afspadseres.",I36="X",C36="ikke relevant")),K36*1.5,0)</f>
        <v>0</v>
      </c>
      <c r="EN36" s="666">
        <f>IF(AND(AND(AND(Stamoplysninger!$B$26="Weekendtimer og weekendtillæg afspadseres.",I36="X",C36="ikke relevant",S36="X"))),(V36*1.5),0)</f>
        <v>0</v>
      </c>
      <c r="EO36" s="279">
        <f>IF(AND(Stamoplysninger!$B$26="Weekendtimer og weekendtillæg udbetales.",I36="X"),K36*1.5,0)</f>
        <v>0</v>
      </c>
      <c r="EP36" s="247">
        <f>IF(AND(AND(Stamoplysninger!$B$26="Weekendtimer og weekendtillæg udbetales.",I36="X",S36="X")),V36*1.5,0)</f>
        <v>0</v>
      </c>
      <c r="EQ36" s="665">
        <f>IF(AND(AND(Stamoplysninger!$B$26="Weekendtimer og weekendtillæg udbetales.",I36="X",C36="ikke relevant")),K36*1.5,0)</f>
        <v>0</v>
      </c>
      <c r="ER36" s="666">
        <f>IF(AND(AND(AND(Stamoplysninger!$B$26="Weekendtimer og weekendtillæg udbetales.",I36="X",C36="ikke relevant",S36="X"))),(V36*1.5),0)</f>
        <v>0</v>
      </c>
      <c r="ES36" s="279">
        <f>IF(AND(Stamoplysninger!$B$26="Der er indgået lokalaftale omkring weekendtimer.(Kræver aftale med TR/FSL) Weekendtillæg afspadseres.",I36="X"),K36*0.5,0)</f>
        <v>0</v>
      </c>
      <c r="ET36" s="247">
        <f>IF(AND(AND(Stamoplysninger!$B$26="Der er indgået lokalaftale omkring weekendtimer.(Kræver aftale med TR/FSL) Weekendtillæg afspadseres.",I36="X",S36="X")),V36*0.5,0)</f>
        <v>0</v>
      </c>
      <c r="EU36" s="665">
        <f>IF(AND(AND(Stamoplysninger!$B$26="Der er indgået lokalaftale omkring weekendtimer.(Kræver aftale med TR/FSL) Weekendtillæg afspadseres.",I36="X",C36="ikke relevant")),K36*0.5,0)</f>
        <v>0</v>
      </c>
      <c r="EV36" s="666">
        <f>IF(AND(AND(AND(Stamoplysninger!$B$26="Der er indgået lokalaftale omkring weekendtimer.(Kræver aftale med TR/FSL) Weekendtillæg afspadseres.",I36="X",C36="ikke relevant",S36="X"))),(V36*0.5),0)</f>
        <v>0</v>
      </c>
      <c r="EW36" s="279">
        <f>IF(AND(Stamoplysninger!$B$26="Der er indgået lokalaftale omkring weekendtimer(Kræver aftale med TR/FSL). Weekendtillæg udbetales.",I36="X"),K36*0.5,0)</f>
        <v>0</v>
      </c>
      <c r="EX36" s="247">
        <f>IF(AND(AND(Stamoplysninger!$B$26="Der er indgået lokalaftale omkring weekendtimer(Kræver aftale med TR/FSL). Weekendtillæg udbetales.",I36="X",S36="X")),V36*0.5,0)</f>
        <v>0</v>
      </c>
      <c r="EY36" s="665">
        <f>IF(AND(AND(Stamoplysninger!$B$26="Der er indgået lokalaftale omkring weekendtimer(Kræver aftale med TR/FSL). Weekendtillæg udbetales.",I36="X",C36="ikke relevant")),K36*0.5,0)</f>
        <v>0</v>
      </c>
      <c r="EZ36" s="666">
        <f>IF(AND(AND(AND(Stamoplysninger!$B$26="Der er indgået lokalaftale omkring weekendtimer(Kræver aftale med TR/FSL). Weekendtillæg udbetales.",I36="X",C36="ikke relevant",S36="X"))),(V36*0.5),0)</f>
        <v>0</v>
      </c>
      <c r="FA36" s="279">
        <f>IF(AND(Stamoplysninger!$B$26="Der er indgået lokalaftale omkring weekendtillæg(Kræver aftale med TR/FSL). Weekendtimerne afspadseres.",I36="X"),K36,0)</f>
        <v>0</v>
      </c>
      <c r="FB36" s="247">
        <f>IF(AND(AND(Stamoplysninger!$B$26="Der er indgået lokalaftale omkring weekendtillæg(Kræver aftale med TR/FSL). Weekendtimerne afspadseres.",I36="X",S36="X")),V36,0)</f>
        <v>0</v>
      </c>
      <c r="FC36" s="665">
        <f>IF(AND(AND(Stamoplysninger!$B$26="Der er indgået lokalaftale omkring weekendtillæg(Kræver aftale med TR/FSL). Weekendtimerne afspadseres..",I36="X",C36="ikke relevant")),K36,0)</f>
        <v>0</v>
      </c>
      <c r="FD36" s="666">
        <f>IF(AND(AND(AND(Stamoplysninger!$B$26="Der er indgået lokalaftale omkring weekendtillæg(Kræver aftale med TR/FSL). Weekendtimerne afspadseres.",I36="X",C36="ikke relevant",S36="X"))),(V36),0)</f>
        <v>0</v>
      </c>
      <c r="FE36" s="279">
        <f>IF(AND(Stamoplysninger!$B$26="Der er indgået lokalaftale omkring weekendtillæg(Kræver aftale med TR/FSL). Weekendtimerne udbetales.",I36="X"),K36,0)</f>
        <v>0</v>
      </c>
      <c r="FF36" s="247">
        <f>IF(AND(AND(Stamoplysninger!$B$26="Der er indgået lokalaftale omkring weekendtillæg(Kræver aftale med TR/FSL). Weekendtimerne udbetales.",I36="X",S36="X")),V36,0)</f>
        <v>0</v>
      </c>
      <c r="FG36" s="665">
        <f>IF(AND(AND(Stamoplysninger!$B$26="Der er indgået lokalaftale omkring weekendtillæg(Kræver aftale med TR/FSL). Weekendtimerne udbetales.",I36="X",C36="ikke relevant")),K36,0)</f>
        <v>0</v>
      </c>
      <c r="FH36" s="666">
        <f>IF(AND(AND(AND(Stamoplysninger!$B$26="Der er indgået lokalaftale omkring weekendtillæg(Kræver aftale med TR/FSL). Weekendtimerne udbetales.",I36="X",C36="ikke relevant",S36="X"))),(V36),0)</f>
        <v>0</v>
      </c>
      <c r="FI36" s="279">
        <f>IF(AND(Stamoplysninger!$B$26="Weekendtimer og weekendtillæg afspadseres.",I36="X"),K36,0)</f>
        <v>0</v>
      </c>
      <c r="FJ36" s="247">
        <f>IF(AND(Stamoplysninger!$B$26="Weekendtimer og weekendtillæg afspadseres.",Y36="X"),(AA36+AL36)/2,0)</f>
        <v>0</v>
      </c>
      <c r="FK36" s="665">
        <f>IF(AND(AND(Stamoplysninger!$B$26="Weekendtimer og weekendtillæg afspadseres.",I36="X",C36="ikke relevant")),K36,0)</f>
        <v>0</v>
      </c>
      <c r="FL36" s="666">
        <f>IF(AND(AND(Stamoplysninger!$B$26="Weekendtimer og weekendtillæg afspadseres.",Y36="X",S36="ikke relevant")),(AA36+AL36)/2,0)</f>
        <v>0</v>
      </c>
      <c r="FM36" s="279">
        <f>IF(AND(Stamoplysninger!$B$26="Der er indgået lokalaftale omkring weekendtillæg(Kræver aftale med TR/FSL). Weekendtimerne afspadseres.",I36="X"),K36,0)</f>
        <v>0</v>
      </c>
      <c r="FN36" s="665">
        <f>IF(AND(AND(Stamoplysninger!$B$26="Der er indgået lokalaftale omkring weekendtillæg(Kræver aftale med TR/FSL). Weekendtimerne afspadseres.",I36="X",C36="ikke relevant")),K36,0)</f>
        <v>0</v>
      </c>
      <c r="FO36" s="279">
        <f>IF(AND(Stamoplysninger!$B$26="Weekendtimer og weekendtillæg udbetales.",I36="X"),K36,0)</f>
        <v>0</v>
      </c>
      <c r="FP36" s="247">
        <f>IF(AND(Stamoplysninger!$B$26="Weekendtimer og weekendtillæg udbetales.",AA36="X"),(AC36+AN36)/2,0)</f>
        <v>0</v>
      </c>
      <c r="FQ36" s="665">
        <f>IF(AND(AND(Stamoplysninger!$B$26="Weekendtimer og weekendtillæg udbetales.",I36="X",C36="ikke relevant")),K36,0)</f>
        <v>0</v>
      </c>
      <c r="FR36" s="679">
        <f>IF(AND(AND(Stamoplysninger!$B$26="Weekendtimer og weekendtillæg udbetales.",AA36="X",U36="ikke relevant")),(AC36+AN36)/2,0)</f>
        <v>0</v>
      </c>
      <c r="FS36" s="279">
        <f t="shared" si="15"/>
        <v>0</v>
      </c>
      <c r="FT36" s="649">
        <f t="shared" si="16"/>
        <v>0</v>
      </c>
      <c r="FU36">
        <f t="shared" si="31"/>
        <v>0</v>
      </c>
      <c r="FV36" s="279">
        <f>IF(AND(Stamoplysninger!$B$26="Der er indgået lokalaftale omkring weekendtimer.(Kræver aftale med TR/FSL) Weekendtillæg afspadseres.",I36="X"),K36,0)</f>
        <v>0</v>
      </c>
      <c r="FW36" s="665">
        <f>IF(AND(AND(Stamoplysninger!$B$26="Der er indgået lokalaftale omkring weekendtimer.(Kræver aftale med TR/FSL) Weekendtillæg afspadseres.",I36="X",C36="ikke relevant")),K36,0)</f>
        <v>0</v>
      </c>
      <c r="FX36" s="279">
        <f>IF(AND(Stamoplysninger!$B$26="Der er indgået lokalaftale omkring weekendtimer(Kræver aftale med TR/FSL). Weekendtillæg udbetales.",I36="X"),K36,0)</f>
        <v>0</v>
      </c>
      <c r="FY36" s="665">
        <f>IF(AND(AND(Stamoplysninger!$B$26="Der er indgået lokalaftale omkring weekendtimer(Kræver aftale med TR/FSL). Weekendtillæg udbetales.",I36="X",C36="ikke relevant")),K36,0)</f>
        <v>0</v>
      </c>
      <c r="FZ36" s="279">
        <f>IF(AND(Stamoplysninger!$B$26="Der er indgået lokalaftale omkring weekendtillæg(Kræver aftale med TR/FSL). Weekendtimerne udbetales.",I36="X"),K36,0)</f>
        <v>0</v>
      </c>
      <c r="GA36" s="665">
        <f>IF(AND(AND(Stamoplysninger!$B$26="Der er indgået lokalaftale omkring weekendtillæg(Kræver aftale med TR/FSL). Weekendtimerne udbetales.",I36="X",C36="ikke relevant")),K36,0)</f>
        <v>0</v>
      </c>
      <c r="GB36" s="279">
        <f>IF(AND(Stamoplysninger!$B$26="Der er indgået lokalaftale omkring weekendtimer og weekendtillæg.(Kræver aftale med TR/FSL).",I36="X"),K36,0)</f>
        <v>0</v>
      </c>
      <c r="GC36" s="665">
        <f>IF(AND(AND(Stamoplysninger!$B$26="Der er indgået lokalaftale omkring weekendtimer og weekendtillæg.(Kræver aftale med TR/FSL).",I36="X",C36="ikke relevant")),K36,0)</f>
        <v>0</v>
      </c>
    </row>
    <row r="37" spans="1:185">
      <c r="A37" s="241">
        <f>IF(ISNUMBER(A36),A36+1,1)</f>
        <v>29</v>
      </c>
      <c r="B37" s="127" t="str">
        <f t="shared" si="0"/>
        <v>ti</v>
      </c>
      <c r="C37" s="128" t="s">
        <v>206</v>
      </c>
      <c r="D37" s="129" t="str">
        <f t="shared" si="1"/>
        <v/>
      </c>
      <c r="E37" s="932"/>
      <c r="F37" s="933"/>
      <c r="G37" s="934"/>
      <c r="H37" s="294"/>
      <c r="I37" s="519"/>
      <c r="J37" s="407"/>
      <c r="K37" s="374"/>
      <c r="L37" s="374"/>
      <c r="M37" s="374"/>
      <c r="N37" s="313">
        <f t="shared" si="19"/>
        <v>0</v>
      </c>
      <c r="O37" s="313">
        <f t="shared" si="20"/>
        <v>0</v>
      </c>
      <c r="P37" s="313">
        <f>IF(Stamoplysninger!$H$29="JA",Oktober!DG37,CX37)</f>
        <v>0</v>
      </c>
      <c r="Q37" s="313">
        <f t="shared" si="21"/>
        <v>0</v>
      </c>
      <c r="R37" s="314"/>
      <c r="S37" s="319"/>
      <c r="T37" s="320"/>
      <c r="U37" s="320"/>
      <c r="V37" s="429"/>
      <c r="W37" s="406"/>
      <c r="X37" s="633"/>
      <c r="Y37">
        <f t="shared" ref="Y37:Y39" si="32">IF(S37="x",V37-N38,0)</f>
        <v>0</v>
      </c>
      <c r="Z37">
        <f t="shared" ref="Z37:Z39" si="33">IF(T37="x",W37-O38,0)</f>
        <v>0</v>
      </c>
      <c r="AA37" s="1">
        <f t="shared" ref="AA37:AA39" si="34">IF(C37="emnedag",K37,0)</f>
        <v>0</v>
      </c>
      <c r="AB37" s="1">
        <f t="shared" ref="AB37:AB39" si="35">IF(C37="fagdag",K37,0)</f>
        <v>0</v>
      </c>
      <c r="AC37" s="1">
        <f t="shared" ref="AC37:AC39" si="36">IF(C37="Pæd.dag",K37,0)</f>
        <v>0</v>
      </c>
      <c r="AD37" s="1">
        <f t="shared" ref="AD37:AD39" si="37">IF(C37="Ekskursion",K37,0)</f>
        <v>0</v>
      </c>
      <c r="AE37" s="1">
        <f t="shared" ref="AE37:AE39" si="38">IF(C37="Lejrskole",K37,0)</f>
        <v>0</v>
      </c>
      <c r="AF37" s="1">
        <f>IF(C37="Orlov",7.4*Stamoplysninger!$E$15,0)</f>
        <v>0</v>
      </c>
      <c r="AG37" t="str">
        <f>IF(AND(C37="Skema 1",B37="ma"),Arbejdstidsoversigt!$E$72,"")</f>
        <v/>
      </c>
      <c r="AH37">
        <f>IF(AND(C37="Skema 1",B37="ti"),Arbejdstidsoversigt!$E$73,"")</f>
        <v>0</v>
      </c>
      <c r="AI37" t="str">
        <f>IF(AND(C37="Skema 1",B37="on"),Arbejdstidsoversigt!$E$74,"")</f>
        <v/>
      </c>
      <c r="AJ37" t="str">
        <f>IF(AND(C37="Skema 1",B37="to"),Arbejdstidsoversigt!$E$75,"")</f>
        <v/>
      </c>
      <c r="AK37" t="str">
        <f>IF(AND(C37="Skema 1",B37="fr"),Arbejdstidsoversigt!$E$76,"")</f>
        <v/>
      </c>
      <c r="AL37" t="str">
        <f>IF(AND(C37="Skema 2",B37="ma"),Arbejdstidsoversigt!$E$81,"")</f>
        <v/>
      </c>
      <c r="AM37" t="str">
        <f>IF(AND(C37="Skema 2",B37="ti"),Arbejdstidsoversigt!$E$82,"")</f>
        <v/>
      </c>
      <c r="AN37" t="str">
        <f>IF(AND(C37="Skema 2",B37="on"),Arbejdstidsoversigt!$E$83,"")</f>
        <v/>
      </c>
      <c r="AO37" t="str">
        <f>IF(AND(C37="Skema 2",B37="to"),Arbejdstidsoversigt!$E$84,"")</f>
        <v/>
      </c>
      <c r="AP37" t="str">
        <f>IF(AND(C37="Skema 2",B37="fr"),Arbejdstidsoversigt!$E$85,"")</f>
        <v/>
      </c>
      <c r="AQ37" t="str">
        <f>IF(AND(C37="Skema 3",B37="ma"),Arbejdstidsoversigt!$E$90,"")</f>
        <v/>
      </c>
      <c r="AR37" t="str">
        <f>IF(AND(C37="Skema 3",B37="ti"),Arbejdstidsoversigt!$E$91,"")</f>
        <v/>
      </c>
      <c r="AS37" t="str">
        <f>IF(AND(C37="Skema 3",B37="on"),Arbejdstidsoversigt!$E$92,"")</f>
        <v/>
      </c>
      <c r="AT37" t="str">
        <f>IF(AND(C37="Skema 3",B37="to"),Arbejdstidsoversigt!$E$93,"")</f>
        <v/>
      </c>
      <c r="AU37" t="str">
        <f>IF(AND(C37="Skema 3",B37="fr"),Arbejdstidsoversigt!$E$94,"")</f>
        <v/>
      </c>
      <c r="AV37" t="str">
        <f>IF(AND(C37="Skema 4",B37="ma"),Arbejdstidsoversigt!$E$99,"")</f>
        <v/>
      </c>
      <c r="AW37" t="str">
        <f>IF(AND(C37="Skema 4",B37="ti"),Arbejdstidsoversigt!$E$100,"")</f>
        <v/>
      </c>
      <c r="AX37" t="str">
        <f>IF(AND(C37="Skema 4",B37="on"),Arbejdstidsoversigt!$E$101,"")</f>
        <v/>
      </c>
      <c r="AY37" t="str">
        <f>IF(AND(C37="Skema 4",B37="to"),Arbejdstidsoversigt!$E$102,"")</f>
        <v/>
      </c>
      <c r="AZ37" t="str">
        <f>IF(AND(C37="Skema 4",B37="fr"),Arbejdstidsoversigt!$E$103,"")</f>
        <v/>
      </c>
      <c r="BA37" s="1">
        <f t="shared" ref="BA37:BA39" si="39">SUM(AA37:AZ37)</f>
        <v>0</v>
      </c>
      <c r="BB37" s="226">
        <f t="shared" ref="BB37:BB39" si="40">SUM(AG37:AK37)*24</f>
        <v>0</v>
      </c>
      <c r="BC37" s="1">
        <f t="shared" ref="BC37:BC39" si="41">IF(C37="Lejrskole",L37,0)</f>
        <v>0</v>
      </c>
      <c r="BD37" s="1">
        <f t="shared" ref="BD37:BD39" si="42">IF(C37="Ekskursion",L37,0)</f>
        <v>0</v>
      </c>
      <c r="BE37" s="1">
        <f t="shared" ref="BE37:BE39" si="43">IF(C37="fagdag",L37,0)</f>
        <v>0</v>
      </c>
      <c r="BF37" s="1">
        <f t="shared" ref="BF37:BF39" si="44">IF(C37="emnedag",L37,0)</f>
        <v>0</v>
      </c>
      <c r="BG37" s="209" t="str">
        <f>IF(AND(C37="Skema 1",B37="ma"),Skemaoplysninger!$E$30,"")</f>
        <v/>
      </c>
      <c r="BH37" s="209">
        <f>IF(AND(C37="Skema 1",B37="ti"),Skemaoplysninger!$G$30,"")</f>
        <v>0</v>
      </c>
      <c r="BI37" s="209" t="str">
        <f>IF(AND(C37="Skema 1",B37="on"),Skemaoplysninger!$I$30,"")</f>
        <v/>
      </c>
      <c r="BJ37" s="209" t="str">
        <f>IF(AND(C37="Skema 1",B37="to"),Skemaoplysninger!$K$30,"")</f>
        <v/>
      </c>
      <c r="BK37" s="209" t="str">
        <f>IF(AND(C37="Skema 1",B37="fr"),Skemaoplysninger!$M$30,"")</f>
        <v/>
      </c>
      <c r="BL37" s="209" t="str">
        <f>IF(AND(C37="Skema 2",B37="ma"),Skemaoplysninger!$S$30,"")</f>
        <v/>
      </c>
      <c r="BM37" s="209" t="str">
        <f>IF(AND(C37="Skema 2",B37="ti"),Skemaoplysninger!$U$30,"")</f>
        <v/>
      </c>
      <c r="BN37" s="209" t="str">
        <f>IF(AND(C37="Skema 2",B37="on"),Skemaoplysninger!$W$30,"")</f>
        <v/>
      </c>
      <c r="BO37" s="209" t="str">
        <f>IF(AND(C37="Skema 2",B37="to"),Skemaoplysninger!$Y$30,"")</f>
        <v/>
      </c>
      <c r="BP37" s="209" t="str">
        <f>IF(AND(C37="Skema 2",B37="fr"),Skemaoplysninger!$AA$30,"")</f>
        <v/>
      </c>
      <c r="BQ37" s="209" t="str">
        <f>IF(AND(C37="Skema 3",B37="ma"),Skemaoplysninger!$AG$30,"")</f>
        <v/>
      </c>
      <c r="BR37" s="209" t="str">
        <f>IF(AND(C37="Skema 3",B37="ti"),Skemaoplysninger!$AI$30,"")</f>
        <v/>
      </c>
      <c r="BS37" s="209" t="str">
        <f>IF(AND(C37="Skema 3",B37="on"),Skemaoplysninger!$AK$30,"")</f>
        <v/>
      </c>
      <c r="BT37" s="209" t="str">
        <f>IF(AND(C37="Skema 3",B37="to"),Skemaoplysninger!$AM$30,"")</f>
        <v/>
      </c>
      <c r="BU37" s="209" t="str">
        <f>IF(AND(C37="Skema 3",B37="fr"),Skemaoplysninger!$AO$30,"")</f>
        <v/>
      </c>
      <c r="BV37" s="209" t="str">
        <f>IF(AND(C37="Skema 4",B37="ma"),Skemaoplysninger!$AU$30,"")</f>
        <v/>
      </c>
      <c r="BW37" s="209" t="str">
        <f>IF(AND(C37="Skema 4",B37="ti"),Skemaoplysninger!$AW$30,"")</f>
        <v/>
      </c>
      <c r="BX37" s="209" t="str">
        <f>IF(AND(C37="Skema 4",B37="on"),Skemaoplysninger!$AY$30,"")</f>
        <v/>
      </c>
      <c r="BY37" s="209" t="str">
        <f>IF(AND(C37="Skema 4",B37="to"),Skemaoplysninger!$BA$30,"")</f>
        <v/>
      </c>
      <c r="BZ37" s="209" t="str">
        <f>IF(AND(C37="Skema 4",B37="fr"),Skemaoplysninger!$BC$30,"")</f>
        <v/>
      </c>
      <c r="CA37" s="1">
        <f t="shared" ref="CA37:CA39" si="45">SUM(BG37:BZ37)*24+SUM(BC37:BF37)</f>
        <v>0</v>
      </c>
      <c r="CB37" s="1">
        <f t="shared" ref="CB37:CB39" si="46">IF(C37="fagdag",M37,0)</f>
        <v>0</v>
      </c>
      <c r="CC37" s="1">
        <f t="shared" ref="CC37:CC39" si="47">IF(C37="emnedag",M37,0)</f>
        <v>0</v>
      </c>
      <c r="CD37" s="209" t="str">
        <f>IF(AND(C37="Skema 1",B37="ma"),Skemaoplysninger!$E$31,"")</f>
        <v/>
      </c>
      <c r="CE37" s="209">
        <f>IF(AND(C37="Skema 1",B37="ti"),Skemaoplysninger!$G$31,"")</f>
        <v>0</v>
      </c>
      <c r="CF37" s="209" t="str">
        <f>IF(AND(C37="Skema 1",B37="on"),Skemaoplysninger!$I$31,"")</f>
        <v/>
      </c>
      <c r="CG37" s="209" t="str">
        <f>IF(AND(C37="Skema 1",B37="to"),Skemaoplysninger!$K$31,"")</f>
        <v/>
      </c>
      <c r="CH37" s="209" t="str">
        <f>IF(AND(C37="Skema 1",B37="fr"),Skemaoplysninger!$M$31,"")</f>
        <v/>
      </c>
      <c r="CI37" s="209" t="str">
        <f>IF(AND(C37="Skema 2",B37="ma"),Skemaoplysninger!$S$31,"")</f>
        <v/>
      </c>
      <c r="CJ37" s="209" t="str">
        <f>IF(AND(C37="Skema 2",B37="ti"),Skemaoplysninger!$U$31,"")</f>
        <v/>
      </c>
      <c r="CK37" s="209" t="str">
        <f>IF(AND(C37="Skema 2",B37="on"),Skemaoplysninger!$W$31,"")</f>
        <v/>
      </c>
      <c r="CL37" s="209" t="str">
        <f>IF(AND(C37="Skema 2",B37="to"),Skemaoplysninger!$Y$31,"")</f>
        <v/>
      </c>
      <c r="CM37" s="209" t="str">
        <f>IF(AND(C37="Skema 2",B37="fr"),Skemaoplysninger!$AA$31,"")</f>
        <v/>
      </c>
      <c r="CN37" s="209" t="str">
        <f>IF(AND(C37="Skema 3",B37="ma"),Skemaoplysninger!$AG$31,"")</f>
        <v/>
      </c>
      <c r="CO37" s="209" t="str">
        <f>IF(AND(C37="Skema 3",B37="ti"),Skemaoplysninger!$AI$31,"")</f>
        <v/>
      </c>
      <c r="CP37" s="209" t="str">
        <f>IF(AND(C37="Skema 3",B37="on"),Skemaoplysninger!$AK$31,"")</f>
        <v/>
      </c>
      <c r="CQ37" s="209" t="str">
        <f>IF(AND(C37="Skema 3",B37="to"),Skemaoplysninger!$AM$31,"")</f>
        <v/>
      </c>
      <c r="CR37" s="209" t="str">
        <f>IF(AND(C37="Skema 3",B37="fr"),Skemaoplysninger!$AO$31,"")</f>
        <v/>
      </c>
      <c r="CS37" s="209" t="str">
        <f>IF(AND(C37="Skema 4",B37="ma"),Skemaoplysninger!$AU$31,"")</f>
        <v/>
      </c>
      <c r="CT37" s="209" t="str">
        <f>IF(AND(C37="Skema 4",B37="ti"),Skemaoplysninger!$AW$31,"")</f>
        <v/>
      </c>
      <c r="CU37" s="209" t="str">
        <f>IF(AND(C37="Skema 4",B37="on"),Skemaoplysninger!$AY$31,"")</f>
        <v/>
      </c>
      <c r="CV37" s="209" t="str">
        <f>IF(AND(C37="Skema 4",B37="to"),Skemaoplysninger!$BA$31,"")</f>
        <v/>
      </c>
      <c r="CW37" s="209" t="str">
        <f>IF(AND(C37="Skema 4",B37="fr"),Skemaoplysninger!$BC$31,"")</f>
        <v/>
      </c>
      <c r="CX37" s="245">
        <f>IF(Stamoplysninger!$H$29="NEJ",SUM(CD37:CW37)*24+CB37+CC37,0)</f>
        <v>0</v>
      </c>
      <c r="CY37" s="245">
        <f>IF(C37="Skema 1",Stamoplysninger!$H$30/200,0)</f>
        <v>0</v>
      </c>
      <c r="CZ37" s="245">
        <f>IF(C37="Skema 2",Stamoplysninger!$H$30/200,0)</f>
        <v>0</v>
      </c>
      <c r="DA37" s="245">
        <f>IF(C37="Skema 3",Stamoplysninger!$H$30/200,0)</f>
        <v>0</v>
      </c>
      <c r="DB37" s="245">
        <f>IF(C37="Skema 4",Stamoplysninger!$H$30/200,0)</f>
        <v>0</v>
      </c>
      <c r="DC37" s="245">
        <f>IF(C37="fagdag",Stamoplysninger!$H$30/200,0)</f>
        <v>0</v>
      </c>
      <c r="DD37" s="245">
        <f>IF(C37="emnedag",Stamoplysninger!$H$30/200,0)</f>
        <v>0</v>
      </c>
      <c r="DE37" s="245">
        <f>IF(C37="lejrskole",Stamoplysninger!$H$30/200,0)</f>
        <v>0</v>
      </c>
      <c r="DF37" s="245">
        <f>IF(C37="ekskursion",Stamoplysninger!$H$30/200,0)</f>
        <v>0</v>
      </c>
      <c r="DG37" s="245">
        <f t="shared" ref="DG37:DG39" si="48">SUM(CY37:DF37)</f>
        <v>0</v>
      </c>
      <c r="DH37" t="str">
        <f t="shared" ref="DH37:DH39" si="49">IF(AND(E37&gt;0,H37&gt;0),""&amp;E37&amp;" og "&amp;H37&amp;"","")</f>
        <v/>
      </c>
      <c r="DI37">
        <f t="shared" ref="DI37:DI39" si="50">IF(H37="",E37,"")</f>
        <v>0</v>
      </c>
      <c r="DJ37">
        <f t="shared" ref="DJ37:DJ39" si="51">IF(E37="",H37,"")</f>
        <v>0</v>
      </c>
      <c r="DK37" t="str">
        <f t="shared" ref="DK37:DK39" si="52">IF(DH37=0,"",DH37)</f>
        <v/>
      </c>
      <c r="DL37" t="str">
        <f t="shared" ref="DL37:DL39" si="53">IF(DI37=0,"",DI37)</f>
        <v/>
      </c>
      <c r="DM37" t="str">
        <f t="shared" ref="DM37:DM39" si="54">IF(DJ37=0,"",DJ37)</f>
        <v/>
      </c>
      <c r="DN37" t="str">
        <f t="shared" ref="DN37:DN39" si="55">DK37&amp;""&amp;DL37&amp;""&amp;DM37</f>
        <v/>
      </c>
      <c r="DO37" s="643">
        <f>IF(AND(Stamoplysninger!$B$22="Ulempetillæg udbetales med 25% af nettotimelønnen.",H37&gt;0),(R37/4),0)</f>
        <v>0</v>
      </c>
      <c r="DP37">
        <f>IF(AND(Stamoplysninger!$B$22="Ulempetillæg udbetales med 25% af nettotimelønnen.",I37="X"),K37/4,0)</f>
        <v>0</v>
      </c>
      <c r="DQ37">
        <f>IF(AND(Stamoplysninger!$B$22="Ulempetillæg udbetales med 25% af nettotimelønnen.",U37="X"),(X37/4),0)</f>
        <v>0</v>
      </c>
      <c r="DR37">
        <f>IF(AND(AND(Stamoplysninger!$B$22="Ulempetillæg udbetales med 25% af nettotimelønnen.",S37="X",I37="X")),V37/4,0)</f>
        <v>0</v>
      </c>
      <c r="DS37" s="662">
        <f>IF(AND(Stamoplysninger!$B$22="Ulempetillæg udbetales med 25% af nettotimelønnen.",C37="ikke relevant"),(R37)/4,0)</f>
        <v>0</v>
      </c>
      <c r="DT37" s="662">
        <f>IF(AND(AND(Stamoplysninger!$B$22="Ulempetillæg udbetales med 25% af nettotimelønnen.",I37="X",C37="Ikke relevant")),K37/4,0)</f>
        <v>0</v>
      </c>
      <c r="DU37" s="662">
        <f>IF(AND(AND(Stamoplysninger!$B$22="Ulempetillæg udbetales med 25% af nettotimelønnen.",C37="ikke relevant",U37="X")),(X37/4),0)</f>
        <v>0</v>
      </c>
      <c r="DV37" s="663">
        <f>IF(AND(AND(AND(Stamoplysninger!$B$22="Ulempetillæg udbetales med 25% af nettotimelønnen.",I37="X",C37="Ikke relevant",S37="X"))),V37/4,0)</f>
        <v>0</v>
      </c>
      <c r="DW37" s="643"/>
      <c r="DZ37" s="662"/>
      <c r="EA37" s="662"/>
      <c r="EB37" s="663"/>
      <c r="EC37" s="643">
        <f>IF(AND(Stamoplysninger!$B$22="Ulempetillæg afspadseres med 25%(Kræver en aftale imellem ledelsen og den ansatte)",H37&gt;0),R37/4,0)</f>
        <v>0</v>
      </c>
      <c r="ED37">
        <f>IF(AND(Stamoplysninger!$B$22="Ulempetillæg afspadseres med 25%(Kræver en aftale imellem ledelsen og den ansatte)",I37="X"),K37/4,0)</f>
        <v>0</v>
      </c>
      <c r="EE37">
        <f>IF(AND(Stamoplysninger!$B$22="Ulempetillæg afspadseres med 25%(Kræver en aftale imellem ledelsen og den ansatte)",U37="X"),X37/4,0)</f>
        <v>0</v>
      </c>
      <c r="EF37">
        <f>IF(AND(AND(Stamoplysninger!$B$22="Ulempetillæg afspadseres med 25%(Kræver en aftale imellem ledelsen og den ansatte)",I37="X",S37="X")),V37/4,0)</f>
        <v>0</v>
      </c>
      <c r="EG37" s="662">
        <f>IF(AND(Stamoplysninger!$B$22="Ulempetillæg afspadseres med 25%(Kræver en aftale imellem ledelsen og den ansatte)",C37="ikke relevant"),(R37)/4,0)</f>
        <v>0</v>
      </c>
      <c r="EH37" s="662">
        <f>IF(AND(AND(Stamoplysninger!$B$22="Ulempetillæg afspadseres med 25%(Kræver en aftale imellem ledelsen og den ansatte)",I37="X",C37="Ikke relevant")),K37/4,0)</f>
        <v>0</v>
      </c>
      <c r="EI37" s="662">
        <f>IF(AND(AND(Stamoplysninger!$B$22="Ulempetillæg afspadseres med 25%(Kræver en aftale imellem ledelsen og den ansatte)",U37="X",C37="Ikke relevant")),X37/4,0)</f>
        <v>0</v>
      </c>
      <c r="EJ37" s="662">
        <f>IF(AND(AND(AND(Stamoplysninger!$B$22="Ulempetillæg afspadseres med 25%(Kræver en aftale imellem ledelsen og den ansatte)",I37="X",C37="Ikke relevant",S37="X"))),V37/4,0)</f>
        <v>0</v>
      </c>
      <c r="EK37" s="279">
        <f>IF(AND(Stamoplysninger!$B$26="Weekendtimer og weekendtillæg afspadseres.",I37="X"),K37*1.5,0)</f>
        <v>0</v>
      </c>
      <c r="EL37" s="247">
        <f>IF(AND(AND(Stamoplysninger!$B$26="Weekendtimer og weekendtillæg afspadseres.",I37="X",S37="X")),V37*1.5,0)</f>
        <v>0</v>
      </c>
      <c r="EM37" s="665">
        <f>IF(AND(AND(Stamoplysninger!$B$26="Weekendtimer og weekendtillæg afspadseres.",I37="X",C37="ikke relevant")),K37*1.5,0)</f>
        <v>0</v>
      </c>
      <c r="EN37" s="666">
        <f>IF(AND(AND(AND(Stamoplysninger!$B$26="Weekendtimer og weekendtillæg afspadseres.",I37="X",C37="ikke relevant",S37="X"))),(V37*1.5),0)</f>
        <v>0</v>
      </c>
      <c r="EO37" s="279">
        <f>IF(AND(Stamoplysninger!$B$26="Weekendtimer og weekendtillæg udbetales.",I37="X"),K37*1.5,0)</f>
        <v>0</v>
      </c>
      <c r="EP37" s="247">
        <f>IF(AND(AND(Stamoplysninger!$B$26="Weekendtimer og weekendtillæg udbetales.",I37="X",S37="X")),V37*1.5,0)</f>
        <v>0</v>
      </c>
      <c r="EQ37" s="665">
        <f>IF(AND(AND(Stamoplysninger!$B$26="Weekendtimer og weekendtillæg udbetales.",I37="X",C37="ikke relevant")),K37*1.5,0)</f>
        <v>0</v>
      </c>
      <c r="ER37" s="666">
        <f>IF(AND(AND(AND(Stamoplysninger!$B$26="Weekendtimer og weekendtillæg udbetales.",I37="X",C37="ikke relevant",S37="X"))),(V37*1.5),0)</f>
        <v>0</v>
      </c>
      <c r="ES37" s="279">
        <f>IF(AND(Stamoplysninger!$B$26="Der er indgået lokalaftale omkring weekendtimer.(Kræver aftale med TR/FSL) Weekendtillæg afspadseres.",I37="X"),K37*0.5,0)</f>
        <v>0</v>
      </c>
      <c r="ET37" s="247">
        <f>IF(AND(AND(Stamoplysninger!$B$26="Der er indgået lokalaftale omkring weekendtimer.(Kræver aftale med TR/FSL) Weekendtillæg afspadseres.",I37="X",S37="X")),V37*0.5,0)</f>
        <v>0</v>
      </c>
      <c r="EU37" s="665">
        <f>IF(AND(AND(Stamoplysninger!$B$26="Der er indgået lokalaftale omkring weekendtimer.(Kræver aftale med TR/FSL) Weekendtillæg afspadseres.",I37="X",C37="ikke relevant")),K37*0.5,0)</f>
        <v>0</v>
      </c>
      <c r="EV37" s="666">
        <f>IF(AND(AND(AND(Stamoplysninger!$B$26="Der er indgået lokalaftale omkring weekendtimer.(Kræver aftale med TR/FSL) Weekendtillæg afspadseres.",I37="X",C37="ikke relevant",S37="X"))),(V37*0.5),0)</f>
        <v>0</v>
      </c>
      <c r="EW37" s="279">
        <f>IF(AND(Stamoplysninger!$B$26="Der er indgået lokalaftale omkring weekendtimer(Kræver aftale med TR/FSL). Weekendtillæg udbetales.",I37="X"),K37*0.5,0)</f>
        <v>0</v>
      </c>
      <c r="EX37" s="247">
        <f>IF(AND(AND(Stamoplysninger!$B$26="Der er indgået lokalaftale omkring weekendtimer(Kræver aftale med TR/FSL). Weekendtillæg udbetales.",I37="X",S37="X")),V37*0.5,0)</f>
        <v>0</v>
      </c>
      <c r="EY37" s="665">
        <f>IF(AND(AND(Stamoplysninger!$B$26="Der er indgået lokalaftale omkring weekendtimer(Kræver aftale med TR/FSL). Weekendtillæg udbetales.",I37="X",C37="ikke relevant")),K37*0.5,0)</f>
        <v>0</v>
      </c>
      <c r="EZ37" s="666">
        <f>IF(AND(AND(AND(Stamoplysninger!$B$26="Der er indgået lokalaftale omkring weekendtimer(Kræver aftale med TR/FSL). Weekendtillæg udbetales.",I37="X",C37="ikke relevant",S37="X"))),(V37*0.5),0)</f>
        <v>0</v>
      </c>
      <c r="FA37" s="279">
        <f>IF(AND(Stamoplysninger!$B$26="Der er indgået lokalaftale omkring weekendtillæg(Kræver aftale med TR/FSL). Weekendtimerne afspadseres.",I37="X"),K37,0)</f>
        <v>0</v>
      </c>
      <c r="FB37" s="247">
        <f>IF(AND(AND(Stamoplysninger!$B$26="Der er indgået lokalaftale omkring weekendtillæg(Kræver aftale med TR/FSL). Weekendtimerne afspadseres.",I37="X",S37="X")),V37,0)</f>
        <v>0</v>
      </c>
      <c r="FC37" s="665">
        <f>IF(AND(AND(Stamoplysninger!$B$26="Der er indgået lokalaftale omkring weekendtillæg(Kræver aftale med TR/FSL). Weekendtimerne afspadseres..",I37="X",C37="ikke relevant")),K37,0)</f>
        <v>0</v>
      </c>
      <c r="FD37" s="666">
        <f>IF(AND(AND(AND(Stamoplysninger!$B$26="Der er indgået lokalaftale omkring weekendtillæg(Kræver aftale med TR/FSL). Weekendtimerne afspadseres.",I37="X",C37="ikke relevant",S37="X"))),(V37),0)</f>
        <v>0</v>
      </c>
      <c r="FE37" s="279">
        <f>IF(AND(Stamoplysninger!$B$26="Der er indgået lokalaftale omkring weekendtillæg(Kræver aftale med TR/FSL). Weekendtimerne udbetales.",I37="X"),K37,0)</f>
        <v>0</v>
      </c>
      <c r="FF37" s="247">
        <f>IF(AND(AND(Stamoplysninger!$B$26="Der er indgået lokalaftale omkring weekendtillæg(Kræver aftale med TR/FSL). Weekendtimerne udbetales.",I37="X",S37="X")),V37,0)</f>
        <v>0</v>
      </c>
      <c r="FG37" s="665">
        <f>IF(AND(AND(Stamoplysninger!$B$26="Der er indgået lokalaftale omkring weekendtillæg(Kræver aftale med TR/FSL). Weekendtimerne udbetales.",I37="X",C37="ikke relevant")),K37,0)</f>
        <v>0</v>
      </c>
      <c r="FH37" s="666">
        <f>IF(AND(AND(AND(Stamoplysninger!$B$26="Der er indgået lokalaftale omkring weekendtillæg(Kræver aftale med TR/FSL). Weekendtimerne udbetales.",I37="X",C37="ikke relevant",S37="X"))),(V37),0)</f>
        <v>0</v>
      </c>
      <c r="FI37" s="279">
        <f>IF(AND(Stamoplysninger!$B$26="Weekendtimer og weekendtillæg afspadseres.",I37="X"),K37,0)</f>
        <v>0</v>
      </c>
      <c r="FJ37" s="247">
        <f>IF(AND(Stamoplysninger!$B$26="Weekendtimer og weekendtillæg afspadseres.",Y37="X"),(AA37+AL37)/2,0)</f>
        <v>0</v>
      </c>
      <c r="FK37" s="665">
        <f>IF(AND(AND(Stamoplysninger!$B$26="Weekendtimer og weekendtillæg afspadseres.",I37="X",C37="ikke relevant")),K37,0)</f>
        <v>0</v>
      </c>
      <c r="FL37" s="666">
        <f>IF(AND(AND(Stamoplysninger!$B$26="Weekendtimer og weekendtillæg afspadseres.",Y37="X",S37="ikke relevant")),(AA37+AL37)/2,0)</f>
        <v>0</v>
      </c>
      <c r="FM37" s="279">
        <f>IF(AND(Stamoplysninger!$B$26="Der er indgået lokalaftale omkring weekendtillæg(Kræver aftale med TR/FSL). Weekendtimerne afspadseres.",I37="X"),K37,0)</f>
        <v>0</v>
      </c>
      <c r="FN37" s="665">
        <f>IF(AND(AND(Stamoplysninger!$B$26="Der er indgået lokalaftale omkring weekendtillæg(Kræver aftale med TR/FSL). Weekendtimerne afspadseres.",I37="X",C37="ikke relevant")),K37,0)</f>
        <v>0</v>
      </c>
      <c r="FO37" s="279">
        <f>IF(AND(Stamoplysninger!$B$26="Weekendtimer og weekendtillæg udbetales.",I37="X"),K37,0)</f>
        <v>0</v>
      </c>
      <c r="FP37" s="247">
        <f>IF(AND(Stamoplysninger!$B$26="Weekendtimer og weekendtillæg udbetales.",AA37="X"),(AC37+AN37)/2,0)</f>
        <v>0</v>
      </c>
      <c r="FQ37" s="665">
        <f>IF(AND(AND(Stamoplysninger!$B$26="Weekendtimer og weekendtillæg udbetales.",I37="X",C37="ikke relevant")),K37,0)</f>
        <v>0</v>
      </c>
      <c r="FR37" s="679">
        <f>IF(AND(AND(Stamoplysninger!$B$26="Weekendtimer og weekendtillæg udbetales.",AA37="X",U37="ikke relevant")),(AC37+AN37)/2,0)</f>
        <v>0</v>
      </c>
      <c r="FS37" s="279">
        <f t="shared" ref="FS37:FS39" si="56">IF(AND(I37="X",S37="X"),V37,0)</f>
        <v>0</v>
      </c>
      <c r="FT37" s="649">
        <f t="shared" ref="FT37:FT39" si="57">IF(AND(AND(C37="ikke relevant",I37="X",S37="X")),V37,0)</f>
        <v>0</v>
      </c>
      <c r="FU37">
        <f t="shared" ref="FU37:FU39" si="58">IF(AND(C37="weekend",I37="X"),K37,0)</f>
        <v>0</v>
      </c>
      <c r="FV37" s="279">
        <f>IF(AND(Stamoplysninger!$B$26="Der er indgået lokalaftale omkring weekendtimer.(Kræver aftale med TR/FSL) Weekendtillæg afspadseres.",I37="X"),K37,0)</f>
        <v>0</v>
      </c>
      <c r="FW37" s="665">
        <f>IF(AND(AND(Stamoplysninger!$B$26="Der er indgået lokalaftale omkring weekendtimer.(Kræver aftale med TR/FSL) Weekendtillæg afspadseres.",I37="X",C37="ikke relevant")),K37,0)</f>
        <v>0</v>
      </c>
      <c r="FX37" s="279">
        <f>IF(AND(Stamoplysninger!$B$26="Der er indgået lokalaftale omkring weekendtimer(Kræver aftale med TR/FSL). Weekendtillæg udbetales.",I37="X"),K37,0)</f>
        <v>0</v>
      </c>
      <c r="FY37" s="665">
        <f>IF(AND(AND(Stamoplysninger!$B$26="Der er indgået lokalaftale omkring weekendtimer(Kræver aftale med TR/FSL). Weekendtillæg udbetales.",I37="X",C37="ikke relevant")),K37,0)</f>
        <v>0</v>
      </c>
      <c r="FZ37" s="279">
        <f>IF(AND(Stamoplysninger!$B$26="Der er indgået lokalaftale omkring weekendtillæg(Kræver aftale med TR/FSL). Weekendtimerne udbetales.",I37="X"),K37,0)</f>
        <v>0</v>
      </c>
      <c r="GA37" s="665">
        <f>IF(AND(AND(Stamoplysninger!$B$26="Der er indgået lokalaftale omkring weekendtillæg(Kræver aftale med TR/FSL). Weekendtimerne udbetales.",I37="X",C37="ikke relevant")),K37,0)</f>
        <v>0</v>
      </c>
      <c r="GB37" s="279">
        <f>IF(AND(Stamoplysninger!$B$26="Der er indgået lokalaftale omkring weekendtimer og weekendtillæg.(Kræver aftale med TR/FSL).",I37="X"),K37,0)</f>
        <v>0</v>
      </c>
      <c r="GC37" s="665">
        <f>IF(AND(AND(Stamoplysninger!$B$26="Der er indgået lokalaftale omkring weekendtimer og weekendtillæg.(Kræver aftale med TR/FSL).",I37="X",C37="ikke relevant")),K37,0)</f>
        <v>0</v>
      </c>
    </row>
    <row r="38" spans="1:185">
      <c r="A38" s="241">
        <f t="shared" si="18"/>
        <v>30</v>
      </c>
      <c r="B38" s="127" t="str">
        <f t="shared" si="0"/>
        <v>on</v>
      </c>
      <c r="C38" s="128" t="s">
        <v>206</v>
      </c>
      <c r="D38" s="129" t="str">
        <f t="shared" si="1"/>
        <v/>
      </c>
      <c r="E38" s="932"/>
      <c r="F38" s="933"/>
      <c r="G38" s="934"/>
      <c r="H38" s="294"/>
      <c r="I38" s="519"/>
      <c r="J38" s="407"/>
      <c r="K38" s="374"/>
      <c r="L38" s="374"/>
      <c r="M38" s="374"/>
      <c r="N38" s="313">
        <f t="shared" si="19"/>
        <v>0</v>
      </c>
      <c r="O38" s="313">
        <f t="shared" si="20"/>
        <v>0</v>
      </c>
      <c r="P38" s="313">
        <f>IF(Stamoplysninger!$H$29="JA",Oktober!DG38,CX38)</f>
        <v>0</v>
      </c>
      <c r="Q38" s="313">
        <f t="shared" si="21"/>
        <v>0</v>
      </c>
      <c r="R38" s="314"/>
      <c r="S38" s="319"/>
      <c r="T38" s="320"/>
      <c r="U38" s="435"/>
      <c r="V38" s="429"/>
      <c r="W38" s="406"/>
      <c r="X38" s="633"/>
      <c r="Y38">
        <f t="shared" si="32"/>
        <v>0</v>
      </c>
      <c r="Z38">
        <f t="shared" si="33"/>
        <v>0</v>
      </c>
      <c r="AA38" s="1">
        <f t="shared" si="34"/>
        <v>0</v>
      </c>
      <c r="AB38" s="1">
        <f t="shared" si="35"/>
        <v>0</v>
      </c>
      <c r="AC38" s="1">
        <f t="shared" si="36"/>
        <v>0</v>
      </c>
      <c r="AD38" s="1">
        <f t="shared" si="37"/>
        <v>0</v>
      </c>
      <c r="AE38" s="1">
        <f t="shared" si="38"/>
        <v>0</v>
      </c>
      <c r="AF38" s="1">
        <f>IF(C38="Orlov",7.4*Stamoplysninger!$E$15,0)</f>
        <v>0</v>
      </c>
      <c r="AG38" t="str">
        <f>IF(AND(C38="Skema 1",B38="ma"),Arbejdstidsoversigt!$E$72,"")</f>
        <v/>
      </c>
      <c r="AH38" t="str">
        <f>IF(AND(C38="Skema 1",B38="ti"),Arbejdstidsoversigt!$E$73,"")</f>
        <v/>
      </c>
      <c r="AI38">
        <f>IF(AND(C38="Skema 1",B38="on"),Arbejdstidsoversigt!$E$74,"")</f>
        <v>0</v>
      </c>
      <c r="AJ38" t="str">
        <f>IF(AND(C38="Skema 1",B38="to"),Arbejdstidsoversigt!$E$75,"")</f>
        <v/>
      </c>
      <c r="AK38" t="str">
        <f>IF(AND(C38="Skema 1",B38="fr"),Arbejdstidsoversigt!$E$76,"")</f>
        <v/>
      </c>
      <c r="AL38" t="str">
        <f>IF(AND(C38="Skema 2",B38="ma"),Arbejdstidsoversigt!$E$81,"")</f>
        <v/>
      </c>
      <c r="AM38" t="str">
        <f>IF(AND(C38="Skema 2",B38="ti"),Arbejdstidsoversigt!$E$82,"")</f>
        <v/>
      </c>
      <c r="AN38" t="str">
        <f>IF(AND(C38="Skema 2",B38="on"),Arbejdstidsoversigt!$E$83,"")</f>
        <v/>
      </c>
      <c r="AO38" t="str">
        <f>IF(AND(C38="Skema 2",B38="to"),Arbejdstidsoversigt!$E$84,"")</f>
        <v/>
      </c>
      <c r="AP38" t="str">
        <f>IF(AND(C38="Skema 2",B38="fr"),Arbejdstidsoversigt!$E$85,"")</f>
        <v/>
      </c>
      <c r="AQ38" t="str">
        <f>IF(AND(C38="Skema 3",B38="ma"),Arbejdstidsoversigt!$E$90,"")</f>
        <v/>
      </c>
      <c r="AR38" t="str">
        <f>IF(AND(C38="Skema 3",B38="ti"),Arbejdstidsoversigt!$E$91,"")</f>
        <v/>
      </c>
      <c r="AS38" t="str">
        <f>IF(AND(C38="Skema 3",B38="on"),Arbejdstidsoversigt!$E$92,"")</f>
        <v/>
      </c>
      <c r="AT38" t="str">
        <f>IF(AND(C38="Skema 3",B38="to"),Arbejdstidsoversigt!$E$93,"")</f>
        <v/>
      </c>
      <c r="AU38" t="str">
        <f>IF(AND(C38="Skema 3",B38="fr"),Arbejdstidsoversigt!$E$94,"")</f>
        <v/>
      </c>
      <c r="AV38" t="str">
        <f>IF(AND(C38="Skema 4",B38="ma"),Arbejdstidsoversigt!$E$99,"")</f>
        <v/>
      </c>
      <c r="AW38" t="str">
        <f>IF(AND(C38="Skema 4",B38="ti"),Arbejdstidsoversigt!$E$100,"")</f>
        <v/>
      </c>
      <c r="AX38" t="str">
        <f>IF(AND(C38="Skema 4",B38="on"),Arbejdstidsoversigt!$E$101,"")</f>
        <v/>
      </c>
      <c r="AY38" t="str">
        <f>IF(AND(C38="Skema 4",B38="to"),Arbejdstidsoversigt!$E$102,"")</f>
        <v/>
      </c>
      <c r="AZ38" t="str">
        <f>IF(AND(C38="Skema 4",B38="fr"),Arbejdstidsoversigt!$E$103,"")</f>
        <v/>
      </c>
      <c r="BA38" s="1">
        <f t="shared" si="39"/>
        <v>0</v>
      </c>
      <c r="BB38" s="226">
        <f t="shared" si="40"/>
        <v>0</v>
      </c>
      <c r="BC38" s="1">
        <f t="shared" si="41"/>
        <v>0</v>
      </c>
      <c r="BD38" s="1">
        <f t="shared" si="42"/>
        <v>0</v>
      </c>
      <c r="BE38" s="1">
        <f t="shared" si="43"/>
        <v>0</v>
      </c>
      <c r="BF38" s="1">
        <f t="shared" si="44"/>
        <v>0</v>
      </c>
      <c r="BG38" s="209" t="str">
        <f>IF(AND(C38="Skema 1",B38="ma"),Skemaoplysninger!$E$30,"")</f>
        <v/>
      </c>
      <c r="BH38" s="209" t="str">
        <f>IF(AND(C38="Skema 1",B38="ti"),Skemaoplysninger!$G$30,"")</f>
        <v/>
      </c>
      <c r="BI38" s="209">
        <f>IF(AND(C38="Skema 1",B38="on"),Skemaoplysninger!$I$30,"")</f>
        <v>0</v>
      </c>
      <c r="BJ38" s="209" t="str">
        <f>IF(AND(C38="Skema 1",B38="to"),Skemaoplysninger!$K$30,"")</f>
        <v/>
      </c>
      <c r="BK38" s="209" t="str">
        <f>IF(AND(C38="Skema 1",B38="fr"),Skemaoplysninger!$M$30,"")</f>
        <v/>
      </c>
      <c r="BL38" s="209" t="str">
        <f>IF(AND(C38="Skema 2",B38="ma"),Skemaoplysninger!$S$30,"")</f>
        <v/>
      </c>
      <c r="BM38" s="209" t="str">
        <f>IF(AND(C38="Skema 2",B38="ti"),Skemaoplysninger!$U$30,"")</f>
        <v/>
      </c>
      <c r="BN38" s="209" t="str">
        <f>IF(AND(C38="Skema 2",B38="on"),Skemaoplysninger!$W$30,"")</f>
        <v/>
      </c>
      <c r="BO38" s="209" t="str">
        <f>IF(AND(C38="Skema 2",B38="to"),Skemaoplysninger!$Y$30,"")</f>
        <v/>
      </c>
      <c r="BP38" s="209" t="str">
        <f>IF(AND(C38="Skema 2",B38="fr"),Skemaoplysninger!$AA$30,"")</f>
        <v/>
      </c>
      <c r="BQ38" s="209" t="str">
        <f>IF(AND(C38="Skema 3",B38="ma"),Skemaoplysninger!$AG$30,"")</f>
        <v/>
      </c>
      <c r="BR38" s="209" t="str">
        <f>IF(AND(C38="Skema 3",B38="ti"),Skemaoplysninger!$AI$30,"")</f>
        <v/>
      </c>
      <c r="BS38" s="209" t="str">
        <f>IF(AND(C38="Skema 3",B38="on"),Skemaoplysninger!$AK$30,"")</f>
        <v/>
      </c>
      <c r="BT38" s="209" t="str">
        <f>IF(AND(C38="Skema 3",B38="to"),Skemaoplysninger!$AM$30,"")</f>
        <v/>
      </c>
      <c r="BU38" s="209" t="str">
        <f>IF(AND(C38="Skema 3",B38="fr"),Skemaoplysninger!$AO$30,"")</f>
        <v/>
      </c>
      <c r="BV38" s="209" t="str">
        <f>IF(AND(C38="Skema 4",B38="ma"),Skemaoplysninger!$AU$30,"")</f>
        <v/>
      </c>
      <c r="BW38" s="209" t="str">
        <f>IF(AND(C38="Skema 4",B38="ti"),Skemaoplysninger!$AW$30,"")</f>
        <v/>
      </c>
      <c r="BX38" s="209" t="str">
        <f>IF(AND(C38="Skema 4",B38="on"),Skemaoplysninger!$AY$30,"")</f>
        <v/>
      </c>
      <c r="BY38" s="209" t="str">
        <f>IF(AND(C38="Skema 4",B38="to"),Skemaoplysninger!$BA$30,"")</f>
        <v/>
      </c>
      <c r="BZ38" s="209" t="str">
        <f>IF(AND(C38="Skema 4",B38="fr"),Skemaoplysninger!$BC$30,"")</f>
        <v/>
      </c>
      <c r="CA38" s="1">
        <f t="shared" si="45"/>
        <v>0</v>
      </c>
      <c r="CB38" s="1">
        <f t="shared" si="46"/>
        <v>0</v>
      </c>
      <c r="CC38" s="1">
        <f t="shared" si="47"/>
        <v>0</v>
      </c>
      <c r="CD38" s="209" t="str">
        <f>IF(AND(C38="Skema 1",B38="ma"),Skemaoplysninger!$E$31,"")</f>
        <v/>
      </c>
      <c r="CE38" s="209" t="str">
        <f>IF(AND(C38="Skema 1",B38="ti"),Skemaoplysninger!$G$31,"")</f>
        <v/>
      </c>
      <c r="CF38" s="209">
        <f>IF(AND(C38="Skema 1",B38="on"),Skemaoplysninger!$I$31,"")</f>
        <v>0</v>
      </c>
      <c r="CG38" s="209" t="str">
        <f>IF(AND(C38="Skema 1",B38="to"),Skemaoplysninger!$K$31,"")</f>
        <v/>
      </c>
      <c r="CH38" s="209" t="str">
        <f>IF(AND(C38="Skema 1",B38="fr"),Skemaoplysninger!$M$31,"")</f>
        <v/>
      </c>
      <c r="CI38" s="209" t="str">
        <f>IF(AND(C38="Skema 2",B38="ma"),Skemaoplysninger!$S$31,"")</f>
        <v/>
      </c>
      <c r="CJ38" s="209" t="str">
        <f>IF(AND(C38="Skema 2",B38="ti"),Skemaoplysninger!$U$31,"")</f>
        <v/>
      </c>
      <c r="CK38" s="209" t="str">
        <f>IF(AND(C38="Skema 2",B38="on"),Skemaoplysninger!$W$31,"")</f>
        <v/>
      </c>
      <c r="CL38" s="209" t="str">
        <f>IF(AND(C38="Skema 2",B38="to"),Skemaoplysninger!$Y$31,"")</f>
        <v/>
      </c>
      <c r="CM38" s="209" t="str">
        <f>IF(AND(C38="Skema 2",B38="fr"),Skemaoplysninger!$AA$31,"")</f>
        <v/>
      </c>
      <c r="CN38" s="209" t="str">
        <f>IF(AND(C38="Skema 3",B38="ma"),Skemaoplysninger!$AG$31,"")</f>
        <v/>
      </c>
      <c r="CO38" s="209" t="str">
        <f>IF(AND(C38="Skema 3",B38="ti"),Skemaoplysninger!$AI$31,"")</f>
        <v/>
      </c>
      <c r="CP38" s="209" t="str">
        <f>IF(AND(C38="Skema 3",B38="on"),Skemaoplysninger!$AK$31,"")</f>
        <v/>
      </c>
      <c r="CQ38" s="209" t="str">
        <f>IF(AND(C38="Skema 3",B38="to"),Skemaoplysninger!$AM$31,"")</f>
        <v/>
      </c>
      <c r="CR38" s="209" t="str">
        <f>IF(AND(C38="Skema 3",B38="fr"),Skemaoplysninger!$AO$31,"")</f>
        <v/>
      </c>
      <c r="CS38" s="209" t="str">
        <f>IF(AND(C38="Skema 4",B38="ma"),Skemaoplysninger!$AU$31,"")</f>
        <v/>
      </c>
      <c r="CT38" s="209" t="str">
        <f>IF(AND(C38="Skema 4",B38="ti"),Skemaoplysninger!$AW$31,"")</f>
        <v/>
      </c>
      <c r="CU38" s="209" t="str">
        <f>IF(AND(C38="Skema 4",B38="on"),Skemaoplysninger!$AY$31,"")</f>
        <v/>
      </c>
      <c r="CV38" s="209" t="str">
        <f>IF(AND(C38="Skema 4",B38="to"),Skemaoplysninger!$BA$31,"")</f>
        <v/>
      </c>
      <c r="CW38" s="209" t="str">
        <f>IF(AND(C38="Skema 4",B38="fr"),Skemaoplysninger!$BC$31,"")</f>
        <v/>
      </c>
      <c r="CX38" s="245">
        <f>IF(Stamoplysninger!$H$29="NEJ",SUM(CD38:CW38)*24+CB38+CC38,0)</f>
        <v>0</v>
      </c>
      <c r="CY38" s="245">
        <f>IF(C38="Skema 1",Stamoplysninger!$H$30/200,0)</f>
        <v>0</v>
      </c>
      <c r="CZ38" s="245">
        <f>IF(C38="Skema 2",Stamoplysninger!$H$30/200,0)</f>
        <v>0</v>
      </c>
      <c r="DA38" s="245">
        <f>IF(C38="Skema 3",Stamoplysninger!$H$30/200,0)</f>
        <v>0</v>
      </c>
      <c r="DB38" s="245">
        <f>IF(C38="Skema 4",Stamoplysninger!$H$30/200,0)</f>
        <v>0</v>
      </c>
      <c r="DC38" s="245">
        <f>IF(C38="fagdag",Stamoplysninger!$H$30/200,0)</f>
        <v>0</v>
      </c>
      <c r="DD38" s="245">
        <f>IF(C38="emnedag",Stamoplysninger!$H$30/200,0)</f>
        <v>0</v>
      </c>
      <c r="DE38" s="245">
        <f>IF(C38="lejrskole",Stamoplysninger!$H$30/200,0)</f>
        <v>0</v>
      </c>
      <c r="DF38" s="245">
        <f>IF(C38="ekskursion",Stamoplysninger!$H$30/200,0)</f>
        <v>0</v>
      </c>
      <c r="DG38" s="245">
        <f t="shared" si="48"/>
        <v>0</v>
      </c>
      <c r="DH38" t="str">
        <f t="shared" si="49"/>
        <v/>
      </c>
      <c r="DI38">
        <f t="shared" si="50"/>
        <v>0</v>
      </c>
      <c r="DJ38">
        <f t="shared" si="51"/>
        <v>0</v>
      </c>
      <c r="DK38" t="str">
        <f t="shared" si="52"/>
        <v/>
      </c>
      <c r="DL38" t="str">
        <f t="shared" si="53"/>
        <v/>
      </c>
      <c r="DM38" t="str">
        <f t="shared" si="54"/>
        <v/>
      </c>
      <c r="DN38" t="str">
        <f t="shared" si="55"/>
        <v/>
      </c>
      <c r="DO38" s="643">
        <f>IF(AND(Stamoplysninger!$B$22="Ulempetillæg udbetales med 25% af nettotimelønnen.",H38&gt;0),(R38/4),0)</f>
        <v>0</v>
      </c>
      <c r="DP38">
        <f>IF(AND(Stamoplysninger!$B$22="Ulempetillæg udbetales med 25% af nettotimelønnen.",I38="X"),K38/4,0)</f>
        <v>0</v>
      </c>
      <c r="DQ38">
        <f>IF(AND(Stamoplysninger!$B$22="Ulempetillæg udbetales med 25% af nettotimelønnen.",U38="X"),(X38/4),0)</f>
        <v>0</v>
      </c>
      <c r="DR38">
        <f>IF(AND(AND(Stamoplysninger!$B$22="Ulempetillæg udbetales med 25% af nettotimelønnen.",S38="X",I38="X")),V38/4,0)</f>
        <v>0</v>
      </c>
      <c r="DS38" s="662">
        <f>IF(AND(Stamoplysninger!$B$22="Ulempetillæg udbetales med 25% af nettotimelønnen.",C38="ikke relevant"),(R38)/4,0)</f>
        <v>0</v>
      </c>
      <c r="DT38" s="662">
        <f>IF(AND(AND(Stamoplysninger!$B$22="Ulempetillæg udbetales med 25% af nettotimelønnen.",I38="X",C38="Ikke relevant")),K38/4,0)</f>
        <v>0</v>
      </c>
      <c r="DU38" s="662">
        <f>IF(AND(AND(Stamoplysninger!$B$22="Ulempetillæg udbetales med 25% af nettotimelønnen.",C38="ikke relevant",U38="X")),(X38/4),0)</f>
        <v>0</v>
      </c>
      <c r="DV38" s="663">
        <f>IF(AND(AND(AND(Stamoplysninger!$B$22="Ulempetillæg udbetales med 25% af nettotimelønnen.",I38="X",C38="Ikke relevant",S38="X"))),V38/4,0)</f>
        <v>0</v>
      </c>
      <c r="DW38" s="643"/>
      <c r="DZ38" s="662"/>
      <c r="EA38" s="662"/>
      <c r="EB38" s="663"/>
      <c r="EC38" s="643">
        <f>IF(AND(Stamoplysninger!$B$22="Ulempetillæg afspadseres med 25%(Kræver en aftale imellem ledelsen og den ansatte)",H38&gt;0),R38/4,0)</f>
        <v>0</v>
      </c>
      <c r="ED38">
        <f>IF(AND(Stamoplysninger!$B$22="Ulempetillæg afspadseres med 25%(Kræver en aftale imellem ledelsen og den ansatte)",I38="X"),K38/4,0)</f>
        <v>0</v>
      </c>
      <c r="EE38">
        <f>IF(AND(Stamoplysninger!$B$22="Ulempetillæg afspadseres med 25%(Kræver en aftale imellem ledelsen og den ansatte)",U38="X"),X38/4,0)</f>
        <v>0</v>
      </c>
      <c r="EF38">
        <f>IF(AND(AND(Stamoplysninger!$B$22="Ulempetillæg afspadseres med 25%(Kræver en aftale imellem ledelsen og den ansatte)",I38="X",S38="X")),V38/4,0)</f>
        <v>0</v>
      </c>
      <c r="EG38" s="662">
        <f>IF(AND(Stamoplysninger!$B$22="Ulempetillæg afspadseres med 25%(Kræver en aftale imellem ledelsen og den ansatte)",C38="ikke relevant"),(R38)/4,0)</f>
        <v>0</v>
      </c>
      <c r="EH38" s="662">
        <f>IF(AND(AND(Stamoplysninger!$B$22="Ulempetillæg afspadseres med 25%(Kræver en aftale imellem ledelsen og den ansatte)",I38="X",C38="Ikke relevant")),K38/4,0)</f>
        <v>0</v>
      </c>
      <c r="EI38" s="662">
        <f>IF(AND(AND(Stamoplysninger!$B$22="Ulempetillæg afspadseres med 25%(Kræver en aftale imellem ledelsen og den ansatte)",U38="X",C38="Ikke relevant")),X38/4,0)</f>
        <v>0</v>
      </c>
      <c r="EJ38" s="662">
        <f>IF(AND(AND(AND(Stamoplysninger!$B$22="Ulempetillæg afspadseres med 25%(Kræver en aftale imellem ledelsen og den ansatte)",I38="X",C38="Ikke relevant",S38="X"))),V38/4,0)</f>
        <v>0</v>
      </c>
      <c r="EK38" s="279">
        <f>IF(AND(Stamoplysninger!$B$26="Weekendtimer og weekendtillæg afspadseres.",I38="X"),K38*1.5,0)</f>
        <v>0</v>
      </c>
      <c r="EL38" s="247">
        <f>IF(AND(AND(Stamoplysninger!$B$26="Weekendtimer og weekendtillæg afspadseres.",I38="X",S38="X")),V38*1.5,0)</f>
        <v>0</v>
      </c>
      <c r="EM38" s="665">
        <f>IF(AND(AND(Stamoplysninger!$B$26="Weekendtimer og weekendtillæg afspadseres.",I38="X",C38="ikke relevant")),K38*1.5,0)</f>
        <v>0</v>
      </c>
      <c r="EN38" s="666">
        <f>IF(AND(AND(AND(Stamoplysninger!$B$26="Weekendtimer og weekendtillæg afspadseres.",I38="X",C38="ikke relevant",S38="X"))),(V38*1.5),0)</f>
        <v>0</v>
      </c>
      <c r="EO38" s="279">
        <f>IF(AND(Stamoplysninger!$B$26="Weekendtimer og weekendtillæg udbetales.",I38="X"),K38*1.5,0)</f>
        <v>0</v>
      </c>
      <c r="EP38" s="247">
        <f>IF(AND(AND(Stamoplysninger!$B$26="Weekendtimer og weekendtillæg udbetales.",I38="X",S38="X")),V38*1.5,0)</f>
        <v>0</v>
      </c>
      <c r="EQ38" s="665">
        <f>IF(AND(AND(Stamoplysninger!$B$26="Weekendtimer og weekendtillæg udbetales.",I38="X",C38="ikke relevant")),K38*1.5,0)</f>
        <v>0</v>
      </c>
      <c r="ER38" s="666">
        <f>IF(AND(AND(AND(Stamoplysninger!$B$26="Weekendtimer og weekendtillæg udbetales.",I38="X",C38="ikke relevant",S38="X"))),(V38*1.5),0)</f>
        <v>0</v>
      </c>
      <c r="ES38" s="279">
        <f>IF(AND(Stamoplysninger!$B$26="Der er indgået lokalaftale omkring weekendtimer.(Kræver aftale med TR/FSL) Weekendtillæg afspadseres.",I38="X"),K38*0.5,0)</f>
        <v>0</v>
      </c>
      <c r="ET38" s="247">
        <f>IF(AND(AND(Stamoplysninger!$B$26="Der er indgået lokalaftale omkring weekendtimer.(Kræver aftale med TR/FSL) Weekendtillæg afspadseres.",I38="X",S38="X")),V38*0.5,0)</f>
        <v>0</v>
      </c>
      <c r="EU38" s="665">
        <f>IF(AND(AND(Stamoplysninger!$B$26="Der er indgået lokalaftale omkring weekendtimer.(Kræver aftale med TR/FSL) Weekendtillæg afspadseres.",I38="X",C38="ikke relevant")),K38*0.5,0)</f>
        <v>0</v>
      </c>
      <c r="EV38" s="666">
        <f>IF(AND(AND(AND(Stamoplysninger!$B$26="Der er indgået lokalaftale omkring weekendtimer.(Kræver aftale med TR/FSL) Weekendtillæg afspadseres.",I38="X",C38="ikke relevant",S38="X"))),(V38*0.5),0)</f>
        <v>0</v>
      </c>
      <c r="EW38" s="279">
        <f>IF(AND(Stamoplysninger!$B$26="Der er indgået lokalaftale omkring weekendtimer(Kræver aftale med TR/FSL). Weekendtillæg udbetales.",I38="X"),K38*0.5,0)</f>
        <v>0</v>
      </c>
      <c r="EX38" s="247">
        <f>IF(AND(AND(Stamoplysninger!$B$26="Der er indgået lokalaftale omkring weekendtimer(Kræver aftale med TR/FSL). Weekendtillæg udbetales.",I38="X",S38="X")),V38*0.5,0)</f>
        <v>0</v>
      </c>
      <c r="EY38" s="665">
        <f>IF(AND(AND(Stamoplysninger!$B$26="Der er indgået lokalaftale omkring weekendtimer(Kræver aftale med TR/FSL). Weekendtillæg udbetales.",I38="X",C38="ikke relevant")),K38*0.5,0)</f>
        <v>0</v>
      </c>
      <c r="EZ38" s="666">
        <f>IF(AND(AND(AND(Stamoplysninger!$B$26="Der er indgået lokalaftale omkring weekendtimer(Kræver aftale med TR/FSL). Weekendtillæg udbetales.",I38="X",C38="ikke relevant",S38="X"))),(V38*0.5),0)</f>
        <v>0</v>
      </c>
      <c r="FA38" s="279">
        <f>IF(AND(Stamoplysninger!$B$26="Der er indgået lokalaftale omkring weekendtillæg(Kræver aftale med TR/FSL). Weekendtimerne afspadseres.",I38="X"),K38,0)</f>
        <v>0</v>
      </c>
      <c r="FB38" s="247">
        <f>IF(AND(AND(Stamoplysninger!$B$26="Der er indgået lokalaftale omkring weekendtillæg(Kræver aftale med TR/FSL). Weekendtimerne afspadseres.",I38="X",S38="X")),V38,0)</f>
        <v>0</v>
      </c>
      <c r="FC38" s="665">
        <f>IF(AND(AND(Stamoplysninger!$B$26="Der er indgået lokalaftale omkring weekendtillæg(Kræver aftale med TR/FSL). Weekendtimerne afspadseres..",I38="X",C38="ikke relevant")),K38,0)</f>
        <v>0</v>
      </c>
      <c r="FD38" s="666">
        <f>IF(AND(AND(AND(Stamoplysninger!$B$26="Der er indgået lokalaftale omkring weekendtillæg(Kræver aftale med TR/FSL). Weekendtimerne afspadseres.",I38="X",C38="ikke relevant",S38="X"))),(V38),0)</f>
        <v>0</v>
      </c>
      <c r="FE38" s="279">
        <f>IF(AND(Stamoplysninger!$B$26="Der er indgået lokalaftale omkring weekendtillæg(Kræver aftale med TR/FSL). Weekendtimerne udbetales.",I38="X"),K38,0)</f>
        <v>0</v>
      </c>
      <c r="FF38" s="247">
        <f>IF(AND(AND(Stamoplysninger!$B$26="Der er indgået lokalaftale omkring weekendtillæg(Kræver aftale med TR/FSL). Weekendtimerne udbetales.",I38="X",S38="X")),V38,0)</f>
        <v>0</v>
      </c>
      <c r="FG38" s="665">
        <f>IF(AND(AND(Stamoplysninger!$B$26="Der er indgået lokalaftale omkring weekendtillæg(Kræver aftale med TR/FSL). Weekendtimerne udbetales.",I38="X",C38="ikke relevant")),K38,0)</f>
        <v>0</v>
      </c>
      <c r="FH38" s="666">
        <f>IF(AND(AND(AND(Stamoplysninger!$B$26="Der er indgået lokalaftale omkring weekendtillæg(Kræver aftale med TR/FSL). Weekendtimerne udbetales.",I38="X",C38="ikke relevant",S38="X"))),(V38),0)</f>
        <v>0</v>
      </c>
      <c r="FI38" s="279">
        <f>IF(AND(Stamoplysninger!$B$26="Weekendtimer og weekendtillæg afspadseres.",I38="X"),K38,0)</f>
        <v>0</v>
      </c>
      <c r="FJ38" s="247">
        <f>IF(AND(Stamoplysninger!$B$26="Weekendtimer og weekendtillæg afspadseres.",Y38="X"),(AA38+AL38)/2,0)</f>
        <v>0</v>
      </c>
      <c r="FK38" s="665">
        <f>IF(AND(AND(Stamoplysninger!$B$26="Weekendtimer og weekendtillæg afspadseres.",I38="X",C38="ikke relevant")),K38,0)</f>
        <v>0</v>
      </c>
      <c r="FL38" s="666">
        <f>IF(AND(AND(Stamoplysninger!$B$26="Weekendtimer og weekendtillæg afspadseres.",Y38="X",S38="ikke relevant")),(AA38+AL38)/2,0)</f>
        <v>0</v>
      </c>
      <c r="FM38" s="279">
        <f>IF(AND(Stamoplysninger!$B$26="Der er indgået lokalaftale omkring weekendtillæg(Kræver aftale med TR/FSL). Weekendtimerne afspadseres.",I38="X"),K38,0)</f>
        <v>0</v>
      </c>
      <c r="FN38" s="665">
        <f>IF(AND(AND(Stamoplysninger!$B$26="Der er indgået lokalaftale omkring weekendtillæg(Kræver aftale med TR/FSL). Weekendtimerne afspadseres.",I38="X",C38="ikke relevant")),K38,0)</f>
        <v>0</v>
      </c>
      <c r="FO38" s="279">
        <f>IF(AND(Stamoplysninger!$B$26="Weekendtimer og weekendtillæg udbetales.",I38="X"),K38,0)</f>
        <v>0</v>
      </c>
      <c r="FP38" s="247">
        <f>IF(AND(Stamoplysninger!$B$26="Weekendtimer og weekendtillæg udbetales.",AA38="X"),(AC38+AN38)/2,0)</f>
        <v>0</v>
      </c>
      <c r="FQ38" s="665">
        <f>IF(AND(AND(Stamoplysninger!$B$26="Weekendtimer og weekendtillæg udbetales.",I38="X",C38="ikke relevant")),K38,0)</f>
        <v>0</v>
      </c>
      <c r="FR38" s="679">
        <f>IF(AND(AND(Stamoplysninger!$B$26="Weekendtimer og weekendtillæg udbetales.",AA38="X",U38="ikke relevant")),(AC38+AN38)/2,0)</f>
        <v>0</v>
      </c>
      <c r="FS38" s="279">
        <f t="shared" si="56"/>
        <v>0</v>
      </c>
      <c r="FT38" s="649">
        <f t="shared" si="57"/>
        <v>0</v>
      </c>
      <c r="FU38">
        <f t="shared" si="58"/>
        <v>0</v>
      </c>
      <c r="FV38" s="279">
        <f>IF(AND(Stamoplysninger!$B$26="Der er indgået lokalaftale omkring weekendtimer.(Kræver aftale med TR/FSL) Weekendtillæg afspadseres.",I38="X"),K38,0)</f>
        <v>0</v>
      </c>
      <c r="FW38" s="665">
        <f>IF(AND(AND(Stamoplysninger!$B$26="Der er indgået lokalaftale omkring weekendtimer.(Kræver aftale med TR/FSL) Weekendtillæg afspadseres.",I38="X",C38="ikke relevant")),K38,0)</f>
        <v>0</v>
      </c>
      <c r="FX38" s="279">
        <f>IF(AND(Stamoplysninger!$B$26="Der er indgået lokalaftale omkring weekendtimer(Kræver aftale med TR/FSL). Weekendtillæg udbetales.",I38="X"),K38,0)</f>
        <v>0</v>
      </c>
      <c r="FY38" s="665">
        <f>IF(AND(AND(Stamoplysninger!$B$26="Der er indgået lokalaftale omkring weekendtimer(Kræver aftale med TR/FSL). Weekendtillæg udbetales.",I38="X",C38="ikke relevant")),K38,0)</f>
        <v>0</v>
      </c>
      <c r="FZ38" s="279">
        <f>IF(AND(Stamoplysninger!$B$26="Der er indgået lokalaftale omkring weekendtillæg(Kræver aftale med TR/FSL). Weekendtimerne udbetales.",I38="X"),K38,0)</f>
        <v>0</v>
      </c>
      <c r="GA38" s="665">
        <f>IF(AND(AND(Stamoplysninger!$B$26="Der er indgået lokalaftale omkring weekendtillæg(Kræver aftale med TR/FSL). Weekendtimerne udbetales.",I38="X",C38="ikke relevant")),K38,0)</f>
        <v>0</v>
      </c>
      <c r="GB38" s="279">
        <f>IF(AND(Stamoplysninger!$B$26="Der er indgået lokalaftale omkring weekendtimer og weekendtillæg.(Kræver aftale med TR/FSL).",I38="X"),K38,0)</f>
        <v>0</v>
      </c>
      <c r="GC38" s="665">
        <f>IF(AND(AND(Stamoplysninger!$B$26="Der er indgået lokalaftale omkring weekendtimer og weekendtillæg.(Kræver aftale med TR/FSL).",I38="X",C38="ikke relevant")),K38,0)</f>
        <v>0</v>
      </c>
    </row>
    <row r="39" spans="1:185" ht="17" thickBot="1">
      <c r="A39" s="241">
        <f>IF(ISNUMBER(A38),A38+1,1)</f>
        <v>31</v>
      </c>
      <c r="B39" s="127" t="str">
        <f t="shared" si="0"/>
        <v>to</v>
      </c>
      <c r="C39" s="128" t="s">
        <v>206</v>
      </c>
      <c r="D39" s="129" t="str">
        <f t="shared" si="1"/>
        <v/>
      </c>
      <c r="E39" s="964"/>
      <c r="F39" s="965"/>
      <c r="G39" s="966"/>
      <c r="H39" s="293"/>
      <c r="I39" s="519"/>
      <c r="J39" s="407"/>
      <c r="K39" s="374"/>
      <c r="L39" s="374"/>
      <c r="M39" s="374"/>
      <c r="N39" s="313">
        <f t="shared" si="19"/>
        <v>0</v>
      </c>
      <c r="O39" s="313">
        <f t="shared" si="20"/>
        <v>0</v>
      </c>
      <c r="P39" s="313">
        <f>IF(Stamoplysninger!$H$29="JA",Oktober!DG39,CX39)</f>
        <v>0</v>
      </c>
      <c r="Q39" s="313">
        <f t="shared" si="21"/>
        <v>0</v>
      </c>
      <c r="R39" s="314"/>
      <c r="S39" s="319"/>
      <c r="T39" s="320"/>
      <c r="U39" s="213"/>
      <c r="V39" s="429"/>
      <c r="W39" s="406"/>
      <c r="X39" s="634"/>
      <c r="Y39">
        <f t="shared" si="32"/>
        <v>0</v>
      </c>
      <c r="Z39">
        <f t="shared" si="33"/>
        <v>0</v>
      </c>
      <c r="AA39" s="1">
        <f t="shared" si="34"/>
        <v>0</v>
      </c>
      <c r="AB39" s="1">
        <f t="shared" si="35"/>
        <v>0</v>
      </c>
      <c r="AC39" s="1">
        <f t="shared" si="36"/>
        <v>0</v>
      </c>
      <c r="AD39" s="1">
        <f t="shared" si="37"/>
        <v>0</v>
      </c>
      <c r="AE39" s="1">
        <f t="shared" si="38"/>
        <v>0</v>
      </c>
      <c r="AF39" s="1">
        <f>IF(C39="Orlov",7.4*Stamoplysninger!$E$15,0)</f>
        <v>0</v>
      </c>
      <c r="AG39" t="str">
        <f>IF(AND(C39="Skema 1",B39="ma"),Arbejdstidsoversigt!$E$72,"")</f>
        <v/>
      </c>
      <c r="AH39" t="str">
        <f>IF(AND(C39="Skema 1",B39="ti"),Arbejdstidsoversigt!$E$73,"")</f>
        <v/>
      </c>
      <c r="AI39" t="str">
        <f>IF(AND(C39="Skema 1",B39="on"),Arbejdstidsoversigt!$E$74,"")</f>
        <v/>
      </c>
      <c r="AJ39">
        <f>IF(AND(C39="Skema 1",B39="to"),Arbejdstidsoversigt!$E$75,"")</f>
        <v>0</v>
      </c>
      <c r="AK39" t="str">
        <f>IF(AND(C39="Skema 1",B39="fr"),Arbejdstidsoversigt!$E$76,"")</f>
        <v/>
      </c>
      <c r="AL39" t="str">
        <f>IF(AND(C39="Skema 2",B39="ma"),Arbejdstidsoversigt!$E$81,"")</f>
        <v/>
      </c>
      <c r="AM39" t="str">
        <f>IF(AND(C39="Skema 2",B39="ti"),Arbejdstidsoversigt!$E$82,"")</f>
        <v/>
      </c>
      <c r="AN39" t="str">
        <f>IF(AND(C39="Skema 2",B39="on"),Arbejdstidsoversigt!$E$83,"")</f>
        <v/>
      </c>
      <c r="AO39" t="str">
        <f>IF(AND(C39="Skema 2",B39="to"),Arbejdstidsoversigt!$E$84,"")</f>
        <v/>
      </c>
      <c r="AP39" t="str">
        <f>IF(AND(C39="Skema 2",B39="fr"),Arbejdstidsoversigt!$E$85,"")</f>
        <v/>
      </c>
      <c r="AQ39" t="str">
        <f>IF(AND(C39="Skema 3",B39="ma"),Arbejdstidsoversigt!$E$90,"")</f>
        <v/>
      </c>
      <c r="AR39" t="str">
        <f>IF(AND(C39="Skema 3",B39="ti"),Arbejdstidsoversigt!$E$91,"")</f>
        <v/>
      </c>
      <c r="AS39" t="str">
        <f>IF(AND(C39="Skema 3",B39="on"),Arbejdstidsoversigt!$E$92,"")</f>
        <v/>
      </c>
      <c r="AT39" t="str">
        <f>IF(AND(C39="Skema 3",B39="to"),Arbejdstidsoversigt!$E$93,"")</f>
        <v/>
      </c>
      <c r="AU39" t="str">
        <f>IF(AND(C39="Skema 3",B39="fr"),Arbejdstidsoversigt!$E$94,"")</f>
        <v/>
      </c>
      <c r="AV39" t="str">
        <f>IF(AND(C39="Skema 4",B39="ma"),Arbejdstidsoversigt!$E$99,"")</f>
        <v/>
      </c>
      <c r="AW39" t="str">
        <f>IF(AND(C39="Skema 4",B39="ti"),Arbejdstidsoversigt!$E$100,"")</f>
        <v/>
      </c>
      <c r="AX39" t="str">
        <f>IF(AND(C39="Skema 4",B39="on"),Arbejdstidsoversigt!$E$101,"")</f>
        <v/>
      </c>
      <c r="AY39" t="str">
        <f>IF(AND(C39="Skema 4",B39="to"),Arbejdstidsoversigt!$E$102,"")</f>
        <v/>
      </c>
      <c r="AZ39" t="str">
        <f>IF(AND(C39="Skema 4",B39="fr"),Arbejdstidsoversigt!$E$103,"")</f>
        <v/>
      </c>
      <c r="BA39" s="1">
        <f t="shared" si="39"/>
        <v>0</v>
      </c>
      <c r="BB39" s="226">
        <f t="shared" si="40"/>
        <v>0</v>
      </c>
      <c r="BC39" s="1">
        <f t="shared" si="41"/>
        <v>0</v>
      </c>
      <c r="BD39" s="1">
        <f t="shared" si="42"/>
        <v>0</v>
      </c>
      <c r="BE39" s="1">
        <f t="shared" si="43"/>
        <v>0</v>
      </c>
      <c r="BF39" s="1">
        <f t="shared" si="44"/>
        <v>0</v>
      </c>
      <c r="BG39" s="209" t="str">
        <f>IF(AND(C39="Skema 1",B39="ma"),Skemaoplysninger!$E$30,"")</f>
        <v/>
      </c>
      <c r="BH39" s="209" t="str">
        <f>IF(AND(C39="Skema 1",B39="ti"),Skemaoplysninger!$G$30,"")</f>
        <v/>
      </c>
      <c r="BI39" s="209" t="str">
        <f>IF(AND(C39="Skema 1",B39="on"),Skemaoplysninger!$I$30,"")</f>
        <v/>
      </c>
      <c r="BJ39" s="209">
        <f>IF(AND(C39="Skema 1",B39="to"),Skemaoplysninger!$K$30,"")</f>
        <v>0</v>
      </c>
      <c r="BK39" s="209" t="str">
        <f>IF(AND(C39="Skema 1",B39="fr"),Skemaoplysninger!$M$30,"")</f>
        <v/>
      </c>
      <c r="BL39" s="209" t="str">
        <f>IF(AND(C39="Skema 2",B39="ma"),Skemaoplysninger!$S$30,"")</f>
        <v/>
      </c>
      <c r="BM39" s="209" t="str">
        <f>IF(AND(C39="Skema 2",B39="ti"),Skemaoplysninger!$U$30,"")</f>
        <v/>
      </c>
      <c r="BN39" s="209" t="str">
        <f>IF(AND(C39="Skema 2",B39="on"),Skemaoplysninger!$W$30,"")</f>
        <v/>
      </c>
      <c r="BO39" s="209" t="str">
        <f>IF(AND(C39="Skema 2",B39="to"),Skemaoplysninger!$Y$30,"")</f>
        <v/>
      </c>
      <c r="BP39" s="209" t="str">
        <f>IF(AND(C39="Skema 2",B39="fr"),Skemaoplysninger!$AA$30,"")</f>
        <v/>
      </c>
      <c r="BQ39" s="209" t="str">
        <f>IF(AND(C39="Skema 3",B39="ma"),Skemaoplysninger!$AG$30,"")</f>
        <v/>
      </c>
      <c r="BR39" s="209" t="str">
        <f>IF(AND(C39="Skema 3",B39="ti"),Skemaoplysninger!$AI$30,"")</f>
        <v/>
      </c>
      <c r="BS39" s="209" t="str">
        <f>IF(AND(C39="Skema 3",B39="on"),Skemaoplysninger!$AK$30,"")</f>
        <v/>
      </c>
      <c r="BT39" s="209" t="str">
        <f>IF(AND(C39="Skema 3",B39="to"),Skemaoplysninger!$AM$30,"")</f>
        <v/>
      </c>
      <c r="BU39" s="209" t="str">
        <f>IF(AND(C39="Skema 3",B39="fr"),Skemaoplysninger!$AO$30,"")</f>
        <v/>
      </c>
      <c r="BV39" s="209" t="str">
        <f>IF(AND(C39="Skema 4",B39="ma"),Skemaoplysninger!$AU$30,"")</f>
        <v/>
      </c>
      <c r="BW39" s="209" t="str">
        <f>IF(AND(C39="Skema 4",B39="ti"),Skemaoplysninger!$AW$30,"")</f>
        <v/>
      </c>
      <c r="BX39" s="209" t="str">
        <f>IF(AND(C39="Skema 4",B39="on"),Skemaoplysninger!$AY$30,"")</f>
        <v/>
      </c>
      <c r="BY39" s="209" t="str">
        <f>IF(AND(C39="Skema 4",B39="to"),Skemaoplysninger!$BA$30,"")</f>
        <v/>
      </c>
      <c r="BZ39" s="209" t="str">
        <f>IF(AND(C39="Skema 4",B39="fr"),Skemaoplysninger!$BC$30,"")</f>
        <v/>
      </c>
      <c r="CA39" s="1">
        <f t="shared" si="45"/>
        <v>0</v>
      </c>
      <c r="CB39" s="1">
        <f t="shared" si="46"/>
        <v>0</v>
      </c>
      <c r="CC39" s="1">
        <f t="shared" si="47"/>
        <v>0</v>
      </c>
      <c r="CD39" s="209" t="str">
        <f>IF(AND(C39="Skema 1",B39="ma"),Skemaoplysninger!$E$31,"")</f>
        <v/>
      </c>
      <c r="CE39" s="209" t="str">
        <f>IF(AND(C39="Skema 1",B39="ti"),Skemaoplysninger!$G$31,"")</f>
        <v/>
      </c>
      <c r="CF39" s="209" t="str">
        <f>IF(AND(C39="Skema 1",B39="on"),Skemaoplysninger!$I$31,"")</f>
        <v/>
      </c>
      <c r="CG39" s="209">
        <f>IF(AND(C39="Skema 1",B39="to"),Skemaoplysninger!$K$31,"")</f>
        <v>0</v>
      </c>
      <c r="CH39" s="209" t="str">
        <f>IF(AND(C39="Skema 1",B39="fr"),Skemaoplysninger!$M$31,"")</f>
        <v/>
      </c>
      <c r="CI39" s="209" t="str">
        <f>IF(AND(C39="Skema 2",B39="ma"),Skemaoplysninger!$S$31,"")</f>
        <v/>
      </c>
      <c r="CJ39" s="209" t="str">
        <f>IF(AND(C39="Skema 2",B39="ti"),Skemaoplysninger!$U$31,"")</f>
        <v/>
      </c>
      <c r="CK39" s="209" t="str">
        <f>IF(AND(C39="Skema 2",B39="on"),Skemaoplysninger!$W$31,"")</f>
        <v/>
      </c>
      <c r="CL39" s="209" t="str">
        <f>IF(AND(C39="Skema 2",B39="to"),Skemaoplysninger!$Y$31,"")</f>
        <v/>
      </c>
      <c r="CM39" s="209" t="str">
        <f>IF(AND(C39="Skema 2",B39="fr"),Skemaoplysninger!$AA$31,"")</f>
        <v/>
      </c>
      <c r="CN39" s="209" t="str">
        <f>IF(AND(C39="Skema 3",B39="ma"),Skemaoplysninger!$AG$31,"")</f>
        <v/>
      </c>
      <c r="CO39" s="209" t="str">
        <f>IF(AND(C39="Skema 3",B39="ti"),Skemaoplysninger!$AI$31,"")</f>
        <v/>
      </c>
      <c r="CP39" s="209" t="str">
        <f>IF(AND(C39="Skema 3",B39="on"),Skemaoplysninger!$AK$31,"")</f>
        <v/>
      </c>
      <c r="CQ39" s="209" t="str">
        <f>IF(AND(C39="Skema 3",B39="to"),Skemaoplysninger!$AM$31,"")</f>
        <v/>
      </c>
      <c r="CR39" s="209" t="str">
        <f>IF(AND(C39="Skema 3",B39="fr"),Skemaoplysninger!$AO$31,"")</f>
        <v/>
      </c>
      <c r="CS39" s="209" t="str">
        <f>IF(AND(C39="Skema 4",B39="ma"),Skemaoplysninger!$AU$31,"")</f>
        <v/>
      </c>
      <c r="CT39" s="209" t="str">
        <f>IF(AND(C39="Skema 4",B39="ti"),Skemaoplysninger!$AW$31,"")</f>
        <v/>
      </c>
      <c r="CU39" s="209" t="str">
        <f>IF(AND(C39="Skema 4",B39="on"),Skemaoplysninger!$AY$31,"")</f>
        <v/>
      </c>
      <c r="CV39" s="209" t="str">
        <f>IF(AND(C39="Skema 4",B39="to"),Skemaoplysninger!$BA$31,"")</f>
        <v/>
      </c>
      <c r="CW39" s="209" t="str">
        <f>IF(AND(C39="Skema 4",B39="fr"),Skemaoplysninger!$BC$31,"")</f>
        <v/>
      </c>
      <c r="CX39" s="245">
        <f>IF(Stamoplysninger!$H$29="NEJ",SUM(CD39:CW39)*24+CB39+CC39,0)</f>
        <v>0</v>
      </c>
      <c r="CY39" s="245">
        <f>IF(C39="Skema 1",Stamoplysninger!$H$30/200,0)</f>
        <v>0</v>
      </c>
      <c r="CZ39" s="245">
        <f>IF(C39="Skema 2",Stamoplysninger!$H$30/200,0)</f>
        <v>0</v>
      </c>
      <c r="DA39" s="245">
        <f>IF(C39="Skema 3",Stamoplysninger!$H$30/200,0)</f>
        <v>0</v>
      </c>
      <c r="DB39" s="245">
        <f>IF(C39="Skema 4",Stamoplysninger!$H$30/200,0)</f>
        <v>0</v>
      </c>
      <c r="DC39" s="245">
        <f>IF(C39="fagdag",Stamoplysninger!$H$30/200,0)</f>
        <v>0</v>
      </c>
      <c r="DD39" s="245">
        <f>IF(C39="emnedag",Stamoplysninger!$H$30/200,0)</f>
        <v>0</v>
      </c>
      <c r="DE39" s="245">
        <f>IF(C39="lejrskole",Stamoplysninger!$H$30/200,0)</f>
        <v>0</v>
      </c>
      <c r="DF39" s="245">
        <f>IF(C39="ekskursion",Stamoplysninger!$H$30/200,0)</f>
        <v>0</v>
      </c>
      <c r="DG39" s="245">
        <f t="shared" si="48"/>
        <v>0</v>
      </c>
      <c r="DH39" t="str">
        <f t="shared" si="49"/>
        <v/>
      </c>
      <c r="DI39">
        <f t="shared" si="50"/>
        <v>0</v>
      </c>
      <c r="DJ39">
        <f t="shared" si="51"/>
        <v>0</v>
      </c>
      <c r="DK39" t="str">
        <f t="shared" si="52"/>
        <v/>
      </c>
      <c r="DL39" t="str">
        <f t="shared" si="53"/>
        <v/>
      </c>
      <c r="DM39" t="str">
        <f t="shared" si="54"/>
        <v/>
      </c>
      <c r="DN39" t="str">
        <f t="shared" si="55"/>
        <v/>
      </c>
      <c r="DO39" s="643">
        <f>IF(AND(Stamoplysninger!$B$22="Ulempetillæg udbetales med 25% af nettotimelønnen.",H39&gt;0),(R39/4),0)</f>
        <v>0</v>
      </c>
      <c r="DP39">
        <f>IF(AND(Stamoplysninger!$B$22="Ulempetillæg udbetales med 25% af nettotimelønnen.",I39="X"),K39/4,0)</f>
        <v>0</v>
      </c>
      <c r="DQ39">
        <f>IF(AND(Stamoplysninger!$B$22="Ulempetillæg udbetales med 25% af nettotimelønnen.",U39="X"),(X39/4),0)</f>
        <v>0</v>
      </c>
      <c r="DR39">
        <f>IF(AND(AND(Stamoplysninger!$B$22="Ulempetillæg udbetales med 25% af nettotimelønnen.",S39="X",I39="X")),V39/4,0)</f>
        <v>0</v>
      </c>
      <c r="DS39" s="662">
        <f>IF(AND(Stamoplysninger!$B$22="Ulempetillæg udbetales med 25% af nettotimelønnen.",C39="ikke relevant"),(R39)/4,0)</f>
        <v>0</v>
      </c>
      <c r="DT39" s="662">
        <f>IF(AND(AND(Stamoplysninger!$B$22="Ulempetillæg udbetales med 25% af nettotimelønnen.",I39="X",C39="Ikke relevant")),K39/4,0)</f>
        <v>0</v>
      </c>
      <c r="DU39" s="662">
        <f>IF(AND(AND(Stamoplysninger!$B$22="Ulempetillæg udbetales med 25% af nettotimelønnen.",C39="ikke relevant",U39="X")),(X39/4),0)</f>
        <v>0</v>
      </c>
      <c r="DV39" s="663">
        <f>IF(AND(AND(AND(Stamoplysninger!$B$22="Ulempetillæg udbetales med 25% af nettotimelønnen.",I39="X",C39="Ikke relevant",S39="X"))),V39/4,0)</f>
        <v>0</v>
      </c>
      <c r="DW39" s="643"/>
      <c r="DZ39" s="662"/>
      <c r="EA39" s="662"/>
      <c r="EB39" s="663"/>
      <c r="EC39" s="643">
        <f>IF(AND(Stamoplysninger!$B$22="Ulempetillæg afspadseres med 25%(Kræver en aftale imellem ledelsen og den ansatte)",H39&gt;0),R39/4,0)</f>
        <v>0</v>
      </c>
      <c r="ED39">
        <f>IF(AND(Stamoplysninger!$B$22="Ulempetillæg afspadseres med 25%(Kræver en aftale imellem ledelsen og den ansatte)",I39="X"),K39/4,0)</f>
        <v>0</v>
      </c>
      <c r="EE39">
        <f>IF(AND(Stamoplysninger!$B$22="Ulempetillæg afspadseres med 25%(Kræver en aftale imellem ledelsen og den ansatte)",U39="X"),X39/4,0)</f>
        <v>0</v>
      </c>
      <c r="EF39">
        <f>IF(AND(AND(Stamoplysninger!$B$22="Ulempetillæg afspadseres med 25%(Kræver en aftale imellem ledelsen og den ansatte)",I39="X",S39="X")),V39/4,0)</f>
        <v>0</v>
      </c>
      <c r="EG39" s="662">
        <f>IF(AND(Stamoplysninger!$B$22="Ulempetillæg afspadseres med 25%(Kræver en aftale imellem ledelsen og den ansatte)",C39="ikke relevant"),(R39)/4,0)</f>
        <v>0</v>
      </c>
      <c r="EH39" s="662">
        <f>IF(AND(AND(Stamoplysninger!$B$22="Ulempetillæg afspadseres med 25%(Kræver en aftale imellem ledelsen og den ansatte)",I39="X",C39="Ikke relevant")),K39/4,0)</f>
        <v>0</v>
      </c>
      <c r="EI39" s="662">
        <f>IF(AND(AND(Stamoplysninger!$B$22="Ulempetillæg afspadseres med 25%(Kræver en aftale imellem ledelsen og den ansatte)",U39="X",C39="Ikke relevant")),X39/4,0)</f>
        <v>0</v>
      </c>
      <c r="EJ39" s="662">
        <f>IF(AND(AND(AND(Stamoplysninger!$B$22="Ulempetillæg afspadseres med 25%(Kræver en aftale imellem ledelsen og den ansatte)",I39="X",C39="Ikke relevant",S39="X"))),V39/4,0)</f>
        <v>0</v>
      </c>
      <c r="EK39" s="279">
        <f>IF(AND(Stamoplysninger!$B$26="Weekendtimer og weekendtillæg afspadseres.",I39="X"),K39*1.5,0)</f>
        <v>0</v>
      </c>
      <c r="EL39" s="247">
        <f>IF(AND(AND(Stamoplysninger!$B$26="Weekendtimer og weekendtillæg afspadseres.",I39="X",S39="X")),V39*1.5,0)</f>
        <v>0</v>
      </c>
      <c r="EM39" s="665">
        <f>IF(AND(AND(Stamoplysninger!$B$26="Weekendtimer og weekendtillæg afspadseres.",I39="X",C39="ikke relevant")),K39*1.5,0)</f>
        <v>0</v>
      </c>
      <c r="EN39" s="666">
        <f>IF(AND(AND(AND(Stamoplysninger!$B$26="Weekendtimer og weekendtillæg afspadseres.",I39="X",C39="ikke relevant",S39="X"))),(V39*1.5),0)</f>
        <v>0</v>
      </c>
      <c r="EO39" s="279">
        <f>IF(AND(Stamoplysninger!$B$26="Weekendtimer og weekendtillæg udbetales.",I39="X"),K39*1.5,0)</f>
        <v>0</v>
      </c>
      <c r="EP39" s="247">
        <f>IF(AND(AND(Stamoplysninger!$B$26="Weekendtimer og weekendtillæg udbetales.",I39="X",S39="X")),V39*1.5,0)</f>
        <v>0</v>
      </c>
      <c r="EQ39" s="665">
        <f>IF(AND(AND(Stamoplysninger!$B$26="Weekendtimer og weekendtillæg udbetales.",I39="X",C39="ikke relevant")),K39*1.5,0)</f>
        <v>0</v>
      </c>
      <c r="ER39" s="666">
        <f>IF(AND(AND(AND(Stamoplysninger!$B$26="Weekendtimer og weekendtillæg udbetales.",I39="X",C39="ikke relevant",S39="X"))),(V39*1.5),0)</f>
        <v>0</v>
      </c>
      <c r="ES39" s="279">
        <f>IF(AND(Stamoplysninger!$B$26="Der er indgået lokalaftale omkring weekendtimer.(Kræver aftale med TR/FSL) Weekendtillæg afspadseres.",I39="X"),K39*0.5,0)</f>
        <v>0</v>
      </c>
      <c r="ET39" s="247">
        <f>IF(AND(AND(Stamoplysninger!$B$26="Der er indgået lokalaftale omkring weekendtimer.(Kræver aftale med TR/FSL) Weekendtillæg afspadseres.",I39="X",S39="X")),V39*0.5,0)</f>
        <v>0</v>
      </c>
      <c r="EU39" s="665">
        <f>IF(AND(AND(Stamoplysninger!$B$26="Der er indgået lokalaftale omkring weekendtimer.(Kræver aftale med TR/FSL) Weekendtillæg afspadseres.",I39="X",C39="ikke relevant")),K39*0.5,0)</f>
        <v>0</v>
      </c>
      <c r="EV39" s="666">
        <f>IF(AND(AND(AND(Stamoplysninger!$B$26="Der er indgået lokalaftale omkring weekendtimer.(Kræver aftale med TR/FSL) Weekendtillæg afspadseres.",I39="X",C39="ikke relevant",S39="X"))),(V39*0.5),0)</f>
        <v>0</v>
      </c>
      <c r="EW39" s="279">
        <f>IF(AND(Stamoplysninger!$B$26="Der er indgået lokalaftale omkring weekendtimer(Kræver aftale med TR/FSL). Weekendtillæg udbetales.",I39="X"),K39*0.5,0)</f>
        <v>0</v>
      </c>
      <c r="EX39" s="247">
        <f>IF(AND(AND(Stamoplysninger!$B$26="Der er indgået lokalaftale omkring weekendtimer(Kræver aftale med TR/FSL). Weekendtillæg udbetales.",I39="X",S39="X")),V39*0.5,0)</f>
        <v>0</v>
      </c>
      <c r="EY39" s="665">
        <f>IF(AND(AND(Stamoplysninger!$B$26="Der er indgået lokalaftale omkring weekendtimer(Kræver aftale med TR/FSL). Weekendtillæg udbetales.",I39="X",C39="ikke relevant")),K39*0.5,0)</f>
        <v>0</v>
      </c>
      <c r="EZ39" s="666">
        <f>IF(AND(AND(AND(Stamoplysninger!$B$26="Der er indgået lokalaftale omkring weekendtimer(Kræver aftale med TR/FSL). Weekendtillæg udbetales.",I39="X",C39="ikke relevant",S39="X"))),(V39*0.5),0)</f>
        <v>0</v>
      </c>
      <c r="FA39" s="279">
        <f>IF(AND(Stamoplysninger!$B$26="Der er indgået lokalaftale omkring weekendtillæg(Kræver aftale med TR/FSL). Weekendtimerne afspadseres.",I39="X"),K39,0)</f>
        <v>0</v>
      </c>
      <c r="FB39" s="247">
        <f>IF(AND(AND(Stamoplysninger!$B$26="Der er indgået lokalaftale omkring weekendtillæg(Kræver aftale med TR/FSL). Weekendtimerne afspadseres.",I39="X",S39="X")),V39,0)</f>
        <v>0</v>
      </c>
      <c r="FC39" s="665">
        <f>IF(AND(AND(Stamoplysninger!$B$26="Der er indgået lokalaftale omkring weekendtillæg(Kræver aftale med TR/FSL). Weekendtimerne afspadseres..",I39="X",C39="ikke relevant")),K39,0)</f>
        <v>0</v>
      </c>
      <c r="FD39" s="666">
        <f>IF(AND(AND(AND(Stamoplysninger!$B$26="Der er indgået lokalaftale omkring weekendtillæg(Kræver aftale med TR/FSL). Weekendtimerne afspadseres.",I39="X",C39="ikke relevant",S39="X"))),(V39),0)</f>
        <v>0</v>
      </c>
      <c r="FE39" s="279">
        <f>IF(AND(Stamoplysninger!$B$26="Der er indgået lokalaftale omkring weekendtillæg(Kræver aftale med TR/FSL). Weekendtimerne udbetales.",I39="X"),K39,0)</f>
        <v>0</v>
      </c>
      <c r="FF39" s="247">
        <f>IF(AND(AND(Stamoplysninger!$B$26="Der er indgået lokalaftale omkring weekendtillæg(Kræver aftale med TR/FSL). Weekendtimerne udbetales.",I39="X",S39="X")),V39,0)</f>
        <v>0</v>
      </c>
      <c r="FG39" s="665">
        <f>IF(AND(AND(Stamoplysninger!$B$26="Der er indgået lokalaftale omkring weekendtillæg(Kræver aftale med TR/FSL). Weekendtimerne udbetales.",I39="X",C39="ikke relevant")),K39,0)</f>
        <v>0</v>
      </c>
      <c r="FH39" s="666">
        <f>IF(AND(AND(AND(Stamoplysninger!$B$26="Der er indgået lokalaftale omkring weekendtillæg(Kræver aftale med TR/FSL). Weekendtimerne udbetales.",I39="X",C39="ikke relevant",S39="X"))),(V39),0)</f>
        <v>0</v>
      </c>
      <c r="FI39" s="279">
        <f>IF(AND(Stamoplysninger!$B$26="Weekendtimer og weekendtillæg afspadseres.",I39="X"),K39,0)</f>
        <v>0</v>
      </c>
      <c r="FJ39" s="247">
        <f>IF(AND(Stamoplysninger!$B$26="Weekendtimer og weekendtillæg afspadseres.",Y39="X"),(AA39+AL39)/2,0)</f>
        <v>0</v>
      </c>
      <c r="FK39" s="665">
        <f>IF(AND(AND(Stamoplysninger!$B$26="Weekendtimer og weekendtillæg afspadseres.",I39="X",C39="ikke relevant")),K39,0)</f>
        <v>0</v>
      </c>
      <c r="FL39" s="666">
        <f>IF(AND(AND(Stamoplysninger!$B$26="Weekendtimer og weekendtillæg afspadseres.",Y39="X",S39="ikke relevant")),(AA39+AL39)/2,0)</f>
        <v>0</v>
      </c>
      <c r="FM39" s="279">
        <f>IF(AND(Stamoplysninger!$B$26="Der er indgået lokalaftale omkring weekendtillæg(Kræver aftale med TR/FSL). Weekendtimerne afspadseres.",I39="X"),K39,0)</f>
        <v>0</v>
      </c>
      <c r="FN39" s="665">
        <f>IF(AND(AND(Stamoplysninger!$B$26="Der er indgået lokalaftale omkring weekendtillæg(Kræver aftale med TR/FSL). Weekendtimerne afspadseres.",I39="X",C39="ikke relevant")),K39,0)</f>
        <v>0</v>
      </c>
      <c r="FO39" s="279">
        <f>IF(AND(Stamoplysninger!$B$26="Weekendtimer og weekendtillæg udbetales.",I39="X"),K39,0)</f>
        <v>0</v>
      </c>
      <c r="FP39" s="247">
        <f>IF(AND(Stamoplysninger!$B$26="Weekendtimer og weekendtillæg udbetales.",AA39="X"),(AC39+AN39)/2,0)</f>
        <v>0</v>
      </c>
      <c r="FQ39" s="665">
        <f>IF(AND(AND(Stamoplysninger!$B$26="Weekendtimer og weekendtillæg udbetales.",I39="X",C39="ikke relevant")),K39,0)</f>
        <v>0</v>
      </c>
      <c r="FR39" s="679">
        <f>IF(AND(AND(Stamoplysninger!$B$26="Weekendtimer og weekendtillæg udbetales.",AA39="X",U39="ikke relevant")),(AC39+AN39)/2,0)</f>
        <v>0</v>
      </c>
      <c r="FS39" s="279">
        <f t="shared" si="56"/>
        <v>0</v>
      </c>
      <c r="FT39" s="649">
        <f t="shared" si="57"/>
        <v>0</v>
      </c>
      <c r="FU39">
        <f t="shared" si="58"/>
        <v>0</v>
      </c>
      <c r="FV39" s="279">
        <f>IF(AND(Stamoplysninger!$B$26="Der er indgået lokalaftale omkring weekendtimer.(Kræver aftale med TR/FSL) Weekendtillæg afspadseres.",I39="X"),K39,0)</f>
        <v>0</v>
      </c>
      <c r="FW39" s="665">
        <f>IF(AND(AND(Stamoplysninger!$B$26="Der er indgået lokalaftale omkring weekendtimer.(Kræver aftale med TR/FSL) Weekendtillæg afspadseres.",I39="X",C39="ikke relevant")),K39,0)</f>
        <v>0</v>
      </c>
      <c r="FX39" s="279">
        <f>IF(AND(Stamoplysninger!$B$26="Der er indgået lokalaftale omkring weekendtimer(Kræver aftale med TR/FSL). Weekendtillæg udbetales.",I39="X"),K39,0)</f>
        <v>0</v>
      </c>
      <c r="FY39" s="665">
        <f>IF(AND(AND(Stamoplysninger!$B$26="Der er indgået lokalaftale omkring weekendtimer(Kræver aftale med TR/FSL). Weekendtillæg udbetales.",I39="X",C39="ikke relevant")),K39,0)</f>
        <v>0</v>
      </c>
      <c r="FZ39" s="279">
        <f>IF(AND(Stamoplysninger!$B$26="Der er indgået lokalaftale omkring weekendtillæg(Kræver aftale med TR/FSL). Weekendtimerne udbetales.",I39="X"),K39,0)</f>
        <v>0</v>
      </c>
      <c r="GA39" s="665">
        <f>IF(AND(AND(Stamoplysninger!$B$26="Der er indgået lokalaftale omkring weekendtillæg(Kræver aftale med TR/FSL). Weekendtimerne udbetales.",I39="X",C39="ikke relevant")),K39,0)</f>
        <v>0</v>
      </c>
      <c r="GB39" s="279">
        <f>IF(AND(Stamoplysninger!$B$26="Der er indgået lokalaftale omkring weekendtimer og weekendtillæg.(Kræver aftale med TR/FSL).",I39="X"),K39,0)</f>
        <v>0</v>
      </c>
      <c r="GC39" s="665">
        <f>IF(AND(AND(Stamoplysninger!$B$26="Der er indgået lokalaftale omkring weekendtimer og weekendtillæg.(Kræver aftale med TR/FSL).",I39="X",C39="ikke relevant")),K39,0)</f>
        <v>0</v>
      </c>
    </row>
    <row r="40" spans="1:185" ht="17" thickBot="1">
      <c r="A40" s="987" t="s">
        <v>260</v>
      </c>
      <c r="B40" s="988"/>
      <c r="C40" s="988"/>
      <c r="D40" s="988"/>
      <c r="E40" s="988"/>
      <c r="F40" s="988"/>
      <c r="G40" s="988"/>
      <c r="H40" s="988"/>
      <c r="I40" s="989"/>
      <c r="J40" s="308"/>
      <c r="K40" s="317"/>
      <c r="L40" s="317"/>
      <c r="M40" s="317"/>
      <c r="N40" s="317">
        <f>SUM(N9:N39)</f>
        <v>0</v>
      </c>
      <c r="O40" s="317">
        <f>SUM(O9:O39)</f>
        <v>0</v>
      </c>
      <c r="P40" s="317">
        <f>SUM(P9:P39)</f>
        <v>0</v>
      </c>
      <c r="Q40" s="317">
        <f>SUM(Q9:Q39)</f>
        <v>0</v>
      </c>
      <c r="R40" s="331">
        <f>IF(H9&gt;0,R9,0)+IF(H10&gt;0,R10,0)+IF(H11&gt;0,R11,0)+IF(H12&gt;0,R12,0)+IF(H13&gt;0,R13,0)+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f>
        <v>0</v>
      </c>
      <c r="S40" s="426"/>
      <c r="T40" s="427"/>
      <c r="U40" s="427"/>
      <c r="V40" s="427">
        <f>IF(S9="x",V9,0)+IF(S10="x",V10,0)+IF(S11="x",V11,0)+IF(S12="x",V12,0)+IF(S13="x",V13,0)+IF(S14="x",V14,0)+IF(S15="x",V15,0)+IF(S16="x",V16,0)+IF(S17="x",V17,0)+IF(S18="x",V18,0)+IF(S19="x",V19,0)+IF(S20="x",V20,0)+IF(S21="x",V21,0)+IF(S22="x",V22,0)+IF(S23="x",V23,0)+IF(S24="x",V24,0)+IF(S25="x",V25,0)+IF(S26="x",V26,0)+IF(S27="x",V27,0)+IF(S28="x",V28,0)+IF(S29="x",V29,0)+IF(S30="x",V30,0)+IF(S31="x",V31,0)+IF(S32="x",V32,0)+IF(S33="x",V33,0)+IF(S34="x",V34,0)+IF(S35="x",V35,0)+IF(S36="x",V36,0)+IF(S37="x",V37,0)+IF(S38="x",V38,0)+IF(S39="x",V39,0)</f>
        <v>0</v>
      </c>
      <c r="W40" s="427">
        <f>IF(T9="x",W9,0)+IF(T10="x",W10,0)+IF(T11="x",W11,0)+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f>
        <v>0</v>
      </c>
      <c r="X40" s="428">
        <f>IF(U9="x",X9,0)+IF(U10="x",X10,0)+IF(U11="x",X11,0)+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f>
        <v>0</v>
      </c>
      <c r="Y40" s="210">
        <f>SUM(Y9:Y39)</f>
        <v>0</v>
      </c>
      <c r="Z40" s="392">
        <f>Z9+Z10+Z11+Z12+Z13+Z14+Z15+Z16+Z17+Z18+Z19+Z20+Z21+Z22+Z23+Z24+Z25+Z26+Z27+Z28+Z29+Z30+Z31+Z32+Z33+Z34+Z35+Z36+Z37+Z38+Z39</f>
        <v>0</v>
      </c>
      <c r="AA40" s="231">
        <f t="shared" ref="AA40:AF40" si="59">SUM(AA9:AA39)</f>
        <v>0</v>
      </c>
      <c r="AB40" s="231">
        <f t="shared" si="59"/>
        <v>0</v>
      </c>
      <c r="AC40" s="231">
        <f t="shared" si="59"/>
        <v>0</v>
      </c>
      <c r="AD40" s="231">
        <f t="shared" si="59"/>
        <v>0</v>
      </c>
      <c r="AE40" s="231">
        <f t="shared" si="59"/>
        <v>0</v>
      </c>
      <c r="AF40" s="231">
        <f t="shared" si="59"/>
        <v>0</v>
      </c>
      <c r="BA40" s="1">
        <f>SUM(BA9:BA39)</f>
        <v>0</v>
      </c>
      <c r="BB40" s="111"/>
      <c r="BC40" s="231">
        <f>SUM(BC9:BC39)</f>
        <v>0</v>
      </c>
      <c r="BD40" s="231">
        <f>SUM(BD9:BD39)</f>
        <v>0</v>
      </c>
      <c r="BE40" s="231">
        <f>SUM(BE9:BE39)</f>
        <v>0</v>
      </c>
      <c r="BF40" s="231">
        <f>SUM(BF9:BF39)</f>
        <v>0</v>
      </c>
      <c r="CA40" s="231">
        <f>SUM(CA9:CA39)</f>
        <v>0</v>
      </c>
      <c r="CB40" s="231">
        <f>SUM(CB9:CB39)</f>
        <v>0</v>
      </c>
      <c r="CC40" s="231">
        <f>SUM(CC9:CC39)</f>
        <v>0</v>
      </c>
      <c r="CX40" s="245"/>
      <c r="CY40" s="245">
        <f>SUM(CY9:CY39)</f>
        <v>0</v>
      </c>
      <c r="CZ40" s="245">
        <f>SUM(CZ9:CZ39)</f>
        <v>0</v>
      </c>
      <c r="DA40" s="245">
        <f t="shared" ref="DA40:DG40" si="60">SUM(DA9:DA39)</f>
        <v>0</v>
      </c>
      <c r="DB40" s="245">
        <f t="shared" si="60"/>
        <v>0</v>
      </c>
      <c r="DC40" s="245">
        <f t="shared" si="60"/>
        <v>0</v>
      </c>
      <c r="DD40" s="245">
        <f t="shared" si="60"/>
        <v>0</v>
      </c>
      <c r="DE40" s="245">
        <f t="shared" si="60"/>
        <v>0</v>
      </c>
      <c r="DF40" s="245">
        <f t="shared" si="60"/>
        <v>0</v>
      </c>
      <c r="DG40" s="245">
        <f t="shared" si="60"/>
        <v>0</v>
      </c>
      <c r="DO40" s="660">
        <f>SUM(DO9:DO39)</f>
        <v>0</v>
      </c>
      <c r="DP40" s="661">
        <f t="shared" ref="DP40:GC40" si="61">SUM(DP9:DP39)</f>
        <v>0</v>
      </c>
      <c r="DQ40" s="661">
        <f t="shared" si="61"/>
        <v>0</v>
      </c>
      <c r="DR40" s="661">
        <f t="shared" si="61"/>
        <v>0</v>
      </c>
      <c r="DS40" s="664">
        <f t="shared" si="61"/>
        <v>0</v>
      </c>
      <c r="DT40" s="664">
        <f t="shared" si="61"/>
        <v>0</v>
      </c>
      <c r="DU40" s="661">
        <f t="shared" si="61"/>
        <v>0</v>
      </c>
      <c r="DV40" s="664">
        <f t="shared" si="61"/>
        <v>0</v>
      </c>
      <c r="DW40" s="660">
        <f t="shared" ref="DW40:EB40" si="62">SUM(DW9:DW39)</f>
        <v>0</v>
      </c>
      <c r="DX40" s="661">
        <f t="shared" si="62"/>
        <v>0</v>
      </c>
      <c r="DY40" s="661">
        <f t="shared" si="62"/>
        <v>0</v>
      </c>
      <c r="DZ40" s="664">
        <f t="shared" si="62"/>
        <v>0</v>
      </c>
      <c r="EA40" s="664">
        <f t="shared" si="62"/>
        <v>0</v>
      </c>
      <c r="EB40" s="664">
        <f t="shared" si="62"/>
        <v>0</v>
      </c>
      <c r="EC40" s="661">
        <f t="shared" si="61"/>
        <v>0</v>
      </c>
      <c r="ED40" s="661">
        <f t="shared" si="61"/>
        <v>0</v>
      </c>
      <c r="EE40" s="661">
        <f t="shared" si="61"/>
        <v>0</v>
      </c>
      <c r="EF40" s="661">
        <f t="shared" si="61"/>
        <v>0</v>
      </c>
      <c r="EG40" s="664">
        <f t="shared" si="61"/>
        <v>0</v>
      </c>
      <c r="EH40" s="664">
        <f t="shared" si="61"/>
        <v>0</v>
      </c>
      <c r="EI40" s="664">
        <f t="shared" si="61"/>
        <v>0</v>
      </c>
      <c r="EJ40" s="664">
        <f t="shared" si="61"/>
        <v>0</v>
      </c>
      <c r="EK40" s="661">
        <f t="shared" si="61"/>
        <v>0</v>
      </c>
      <c r="EL40" s="661">
        <f t="shared" si="61"/>
        <v>0</v>
      </c>
      <c r="EM40" s="664">
        <f t="shared" si="61"/>
        <v>0</v>
      </c>
      <c r="EN40" s="664">
        <f t="shared" si="61"/>
        <v>0</v>
      </c>
      <c r="EO40" s="661">
        <f t="shared" si="61"/>
        <v>0</v>
      </c>
      <c r="EP40" s="661">
        <f t="shared" si="61"/>
        <v>0</v>
      </c>
      <c r="EQ40" s="664">
        <f t="shared" si="61"/>
        <v>0</v>
      </c>
      <c r="ER40" s="667">
        <f t="shared" si="61"/>
        <v>0</v>
      </c>
      <c r="ES40" s="661">
        <f t="shared" si="61"/>
        <v>0</v>
      </c>
      <c r="ET40" s="661">
        <f t="shared" si="61"/>
        <v>0</v>
      </c>
      <c r="EU40" s="664">
        <f t="shared" si="61"/>
        <v>0</v>
      </c>
      <c r="EV40" s="667">
        <f t="shared" si="61"/>
        <v>0</v>
      </c>
      <c r="EW40" s="661">
        <f t="shared" si="61"/>
        <v>0</v>
      </c>
      <c r="EX40" s="661">
        <f t="shared" si="61"/>
        <v>0</v>
      </c>
      <c r="EY40" s="664">
        <f t="shared" si="61"/>
        <v>0</v>
      </c>
      <c r="EZ40" s="667">
        <f t="shared" si="61"/>
        <v>0</v>
      </c>
      <c r="FA40" s="661">
        <f t="shared" si="61"/>
        <v>0</v>
      </c>
      <c r="FB40" s="661">
        <f t="shared" si="61"/>
        <v>0</v>
      </c>
      <c r="FC40" s="664">
        <f t="shared" si="61"/>
        <v>0</v>
      </c>
      <c r="FD40" s="667">
        <f t="shared" si="61"/>
        <v>0</v>
      </c>
      <c r="FE40" s="661">
        <f t="shared" si="61"/>
        <v>0</v>
      </c>
      <c r="FF40" s="661">
        <f t="shared" si="61"/>
        <v>0</v>
      </c>
      <c r="FG40" s="664">
        <f t="shared" si="61"/>
        <v>0</v>
      </c>
      <c r="FH40" s="667">
        <f t="shared" si="61"/>
        <v>0</v>
      </c>
      <c r="FI40" s="676">
        <f t="shared" si="61"/>
        <v>0</v>
      </c>
      <c r="FJ40" s="661">
        <f t="shared" si="61"/>
        <v>0</v>
      </c>
      <c r="FK40" s="676">
        <f t="shared" si="61"/>
        <v>0</v>
      </c>
      <c r="FL40" s="664">
        <f t="shared" si="61"/>
        <v>0</v>
      </c>
      <c r="FM40" s="676">
        <f t="shared" si="61"/>
        <v>0</v>
      </c>
      <c r="FN40" s="676">
        <f t="shared" si="61"/>
        <v>0</v>
      </c>
      <c r="FO40" s="676">
        <f t="shared" si="61"/>
        <v>0</v>
      </c>
      <c r="FP40" s="661">
        <f t="shared" si="61"/>
        <v>0</v>
      </c>
      <c r="FQ40" s="676">
        <f t="shared" si="61"/>
        <v>0</v>
      </c>
      <c r="FR40" s="667">
        <f t="shared" si="61"/>
        <v>0</v>
      </c>
      <c r="FS40" s="680">
        <f t="shared" si="61"/>
        <v>0</v>
      </c>
      <c r="FT40" s="681">
        <f t="shared" si="61"/>
        <v>0</v>
      </c>
      <c r="FU40" s="681">
        <f t="shared" si="61"/>
        <v>0</v>
      </c>
      <c r="FV40" s="680">
        <f>SUM(FV9:FV39)</f>
        <v>0</v>
      </c>
      <c r="FW40" s="681">
        <f t="shared" si="61"/>
        <v>0</v>
      </c>
      <c r="FX40" s="680">
        <f t="shared" si="61"/>
        <v>0</v>
      </c>
      <c r="FY40" s="681">
        <f t="shared" si="61"/>
        <v>0</v>
      </c>
      <c r="FZ40" s="676">
        <f t="shared" si="61"/>
        <v>0</v>
      </c>
      <c r="GA40" s="676">
        <f t="shared" si="61"/>
        <v>0</v>
      </c>
      <c r="GB40" s="676">
        <f t="shared" si="61"/>
        <v>0</v>
      </c>
      <c r="GC40" s="676">
        <f t="shared" si="61"/>
        <v>0</v>
      </c>
    </row>
    <row r="41" spans="1:185" ht="26" thickBot="1">
      <c r="A41" s="229"/>
      <c r="B41" s="229"/>
      <c r="C41" s="229"/>
      <c r="D41" s="229"/>
      <c r="E41" s="229"/>
      <c r="F41" s="229"/>
      <c r="G41" s="229"/>
      <c r="H41" s="229"/>
      <c r="I41" s="229"/>
      <c r="J41" s="229"/>
      <c r="K41" s="235"/>
      <c r="L41" s="235"/>
      <c r="M41" s="235"/>
      <c r="N41" s="235"/>
      <c r="O41" s="235"/>
      <c r="P41" s="235"/>
      <c r="Q41" s="235"/>
      <c r="R41" s="235"/>
      <c r="S41" s="440"/>
      <c r="T41" s="440"/>
      <c r="U41" s="440"/>
      <c r="V41" s="440"/>
      <c r="W41" s="440"/>
      <c r="X41" s="440"/>
      <c r="Y41" s="231"/>
      <c r="Z41" s="210"/>
      <c r="AA41" s="210"/>
      <c r="AB41" s="231"/>
      <c r="AC41" s="231"/>
      <c r="AD41" s="231"/>
      <c r="BA41" s="231"/>
      <c r="BB41" s="231"/>
      <c r="BC41" s="231"/>
      <c r="BD41" s="231"/>
      <c r="BE41" s="111"/>
      <c r="BZ41" s="231"/>
      <c r="CA41" s="231"/>
      <c r="CB41" s="111"/>
      <c r="CV41" s="244"/>
      <c r="CW41" s="244"/>
      <c r="CY41"/>
      <c r="CZ41"/>
    </row>
    <row r="42" spans="1:185" ht="70" customHeight="1">
      <c r="A42" s="973" t="str">
        <f>"Arbejdstid for "&amp;A7&amp;" måned:"</f>
        <v>Arbejdstid for Oktober måned:</v>
      </c>
      <c r="B42" s="974"/>
      <c r="C42" s="974"/>
      <c r="D42" s="974"/>
      <c r="E42" s="974"/>
      <c r="F42" s="974"/>
      <c r="G42" s="974"/>
      <c r="H42" s="325" t="s">
        <v>255</v>
      </c>
      <c r="I42" s="974" t="s">
        <v>221</v>
      </c>
      <c r="J42" s="975"/>
      <c r="K42" s="976"/>
      <c r="L42" s="258"/>
      <c r="M42" s="1026" t="str">
        <f>"Ulempetimer og weekendtimer i "&amp;A5&amp;""</f>
        <v>Ulempetimer og weekendtimer i Oktober måneds kalender for: . Måneden vedr. normperioden:  - .</v>
      </c>
      <c r="N42" s="1004"/>
      <c r="O42" s="1004"/>
      <c r="P42" s="1004"/>
      <c r="Q42" s="1004"/>
      <c r="R42" s="1004"/>
      <c r="S42" s="1004"/>
      <c r="T42" s="1004"/>
      <c r="U42" s="1004"/>
      <c r="V42" s="1004"/>
      <c r="W42" s="1004"/>
      <c r="X42" s="1005"/>
      <c r="Y42" s="235"/>
      <c r="Z42" s="235"/>
      <c r="AD42" s="89"/>
      <c r="AE42" s="89"/>
      <c r="BM42" s="1"/>
      <c r="CJ42" s="1"/>
      <c r="CU42" s="244"/>
      <c r="CV42" s="244"/>
      <c r="CY42"/>
      <c r="CZ42"/>
    </row>
    <row r="43" spans="1:185">
      <c r="A43" s="977" t="s">
        <v>528</v>
      </c>
      <c r="B43" s="978"/>
      <c r="C43" s="978"/>
      <c r="D43" s="978"/>
      <c r="E43" s="978"/>
      <c r="F43" s="978"/>
      <c r="G43" s="978"/>
      <c r="H43" s="252">
        <f>D78</f>
        <v>23</v>
      </c>
      <c r="I43" s="990">
        <f>IF(Stamoplysninger!$E$12="Ja",1924/Arbejdstidsoversigt!$K$9*Stamoplysninger!$E$15*$H$43,H43*7.4*Stamoplysninger!$E$15)</f>
        <v>169.54789272030652</v>
      </c>
      <c r="J43" s="991"/>
      <c r="K43" s="992"/>
      <c r="L43" s="254"/>
      <c r="M43" s="1027" t="s">
        <v>496</v>
      </c>
      <c r="N43" s="1028"/>
      <c r="O43" s="1028"/>
      <c r="P43" s="1028"/>
      <c r="Q43" s="1028"/>
      <c r="R43" s="1028"/>
      <c r="S43" s="1028"/>
      <c r="T43" s="1028"/>
      <c r="U43" s="1029"/>
      <c r="V43" s="1108">
        <f>P65+P69+P72+P74</f>
        <v>0</v>
      </c>
      <c r="W43" s="1108"/>
      <c r="X43" s="1109"/>
      <c r="Y43" s="235"/>
      <c r="Z43" s="235"/>
      <c r="AD43" s="89"/>
      <c r="AE43" s="89"/>
      <c r="BM43" s="1"/>
      <c r="CJ43" s="1"/>
      <c r="CU43" s="244"/>
      <c r="CV43" s="244"/>
      <c r="CY43"/>
      <c r="CZ43"/>
    </row>
    <row r="44" spans="1:185">
      <c r="A44" s="977" t="str">
        <f>"Ferie "&amp;A7&amp;" måned"</f>
        <v>Ferie Oktober måned</v>
      </c>
      <c r="B44" s="978"/>
      <c r="C44" s="978"/>
      <c r="D44" s="978"/>
      <c r="E44" s="978"/>
      <c r="F44" s="978"/>
      <c r="G44" s="978"/>
      <c r="H44" s="253">
        <f>IF(D73&gt;0,$D$73,"0")</f>
        <v>5</v>
      </c>
      <c r="I44" s="979">
        <f>H44*7.4*Stamoplysninger!$E$15</f>
        <v>37</v>
      </c>
      <c r="J44" s="980"/>
      <c r="K44" s="981"/>
      <c r="L44" s="254"/>
      <c r="M44" s="1114" t="s">
        <v>259</v>
      </c>
      <c r="N44" s="1115"/>
      <c r="O44" s="1115"/>
      <c r="P44" s="1115"/>
      <c r="Q44" s="1115"/>
      <c r="R44" s="1115"/>
      <c r="S44" s="1115"/>
      <c r="T44" s="1115"/>
      <c r="U44" s="1115"/>
      <c r="V44" s="1110">
        <f>Q66+Q68+Q71+Q73</f>
        <v>0</v>
      </c>
      <c r="W44" s="1110"/>
      <c r="X44" s="1111"/>
      <c r="Y44" s="235"/>
      <c r="Z44" s="235"/>
      <c r="AD44" s="89"/>
      <c r="AE44" s="89"/>
      <c r="BM44" s="1"/>
      <c r="CJ44" s="1"/>
      <c r="CU44" s="244"/>
      <c r="CV44" s="244"/>
      <c r="CY44"/>
      <c r="CZ44"/>
    </row>
    <row r="45" spans="1:185">
      <c r="A45" s="977" t="str">
        <f>"Søgnehelligdage i "&amp;A7&amp;" måned"</f>
        <v>Søgnehelligdage i Oktober måned</v>
      </c>
      <c r="B45" s="978"/>
      <c r="C45" s="978"/>
      <c r="D45" s="978"/>
      <c r="E45" s="978"/>
      <c r="F45" s="978"/>
      <c r="G45" s="978"/>
      <c r="H45" s="253">
        <f>IF(D72&gt;0,D72,0)</f>
        <v>0</v>
      </c>
      <c r="I45" s="979">
        <f>H45*7.4*Stamoplysninger!$E$15</f>
        <v>0</v>
      </c>
      <c r="J45" s="980"/>
      <c r="K45" s="981"/>
      <c r="L45" s="255"/>
      <c r="M45" s="1039" t="s">
        <v>295</v>
      </c>
      <c r="N45" s="1040"/>
      <c r="O45" s="1040"/>
      <c r="P45" s="1040"/>
      <c r="Q45" s="1040"/>
      <c r="R45" s="1040"/>
      <c r="S45" s="1040"/>
      <c r="T45" s="1040"/>
      <c r="U45" s="1040"/>
      <c r="V45" s="1112">
        <f>September!V52</f>
        <v>0</v>
      </c>
      <c r="W45" s="1112"/>
      <c r="X45" s="1113"/>
      <c r="Y45" s="235"/>
      <c r="Z45" s="235"/>
      <c r="AD45" s="89"/>
      <c r="AE45" s="89"/>
      <c r="BM45" s="1"/>
      <c r="CJ45" s="1"/>
      <c r="CU45" s="244"/>
      <c r="CV45" s="244"/>
      <c r="CY45"/>
      <c r="CZ45"/>
    </row>
    <row r="46" spans="1:185">
      <c r="A46" s="977" t="str">
        <f>"Nettoarbejdstid ialt i "&amp;A7&amp;" måned"</f>
        <v>Nettoarbejdstid ialt i Oktober måned</v>
      </c>
      <c r="B46" s="978"/>
      <c r="C46" s="978"/>
      <c r="D46" s="978"/>
      <c r="E46" s="978"/>
      <c r="F46" s="978"/>
      <c r="G46" s="978"/>
      <c r="H46" s="256">
        <f>H43-H44-H45</f>
        <v>18</v>
      </c>
      <c r="I46" s="979">
        <f>I43-I44-I45</f>
        <v>132.54789272030652</v>
      </c>
      <c r="J46" s="980"/>
      <c r="K46" s="981"/>
      <c r="L46" s="255"/>
      <c r="M46" s="1121" t="s">
        <v>301</v>
      </c>
      <c r="N46" s="1122"/>
      <c r="O46" s="1122"/>
      <c r="P46" s="1122"/>
      <c r="Q46" s="1122"/>
      <c r="R46" s="1122"/>
      <c r="S46" s="1122"/>
      <c r="T46" s="1122"/>
      <c r="U46" s="1122"/>
      <c r="V46" s="1116">
        <f>V44+V45</f>
        <v>0</v>
      </c>
      <c r="W46" s="1116"/>
      <c r="X46" s="1117"/>
      <c r="Y46" s="235"/>
      <c r="Z46" s="235"/>
      <c r="AD46" s="89"/>
      <c r="AE46" s="89"/>
      <c r="BM46" s="1"/>
      <c r="CJ46" s="1"/>
      <c r="CU46" s="244"/>
      <c r="CV46" s="244"/>
      <c r="CY46"/>
      <c r="CZ46"/>
    </row>
    <row r="47" spans="1:185">
      <c r="A47" s="993" t="str">
        <f>"Planlagt arbejdstid efter ovennstående "&amp;A7&amp;" måned kalender"</f>
        <v>Planlagt arbejdstid efter ovennstående Oktober måned kalender</v>
      </c>
      <c r="B47" s="994"/>
      <c r="C47" s="994"/>
      <c r="D47" s="994"/>
      <c r="E47" s="994"/>
      <c r="F47" s="994"/>
      <c r="G47" s="994"/>
      <c r="H47" s="468">
        <f>D64+D65+D66+D67+D68+D69+D70</f>
        <v>18</v>
      </c>
      <c r="I47" s="995">
        <f>N40+R40+V106</f>
        <v>0</v>
      </c>
      <c r="J47" s="996"/>
      <c r="K47" s="997"/>
      <c r="L47" s="381"/>
      <c r="M47" s="1118" t="s">
        <v>293</v>
      </c>
      <c r="N47" s="1119"/>
      <c r="O47" s="1119"/>
      <c r="P47" s="1119"/>
      <c r="Q47" s="1119"/>
      <c r="R47" s="1119"/>
      <c r="S47" s="1119"/>
      <c r="T47" s="1119"/>
      <c r="U47" s="1119"/>
      <c r="V47" s="1119"/>
      <c r="W47" s="1119"/>
      <c r="X47" s="1120"/>
      <c r="Y47" s="235"/>
      <c r="Z47" s="235"/>
      <c r="AD47" s="89"/>
      <c r="AE47" s="89"/>
      <c r="BM47" s="1"/>
      <c r="CJ47" s="1"/>
      <c r="CU47" s="244"/>
      <c r="CV47" s="244"/>
      <c r="CY47"/>
      <c r="CZ47"/>
    </row>
    <row r="48" spans="1:185">
      <c r="A48" s="1001" t="s">
        <v>451</v>
      </c>
      <c r="B48" s="1002"/>
      <c r="C48" s="1002"/>
      <c r="D48" s="1002"/>
      <c r="E48" s="1002"/>
      <c r="F48" s="1002"/>
      <c r="G48" s="1002"/>
      <c r="H48" s="1003"/>
      <c r="I48" s="998">
        <f>(FI40+FM40+FO40+FV40+FX40+FZ40+GB40)*-1+FK40+FN40+FQ40+FW40+FY40+GA40+GC40+FU40</f>
        <v>0</v>
      </c>
      <c r="J48" s="999"/>
      <c r="K48" s="1000"/>
      <c r="L48" s="382"/>
      <c r="M48" s="1123" t="s">
        <v>462</v>
      </c>
      <c r="N48" s="1124"/>
      <c r="O48" s="1124"/>
      <c r="P48" s="1124"/>
      <c r="Q48" s="1124"/>
      <c r="R48" s="1124"/>
      <c r="S48" s="1124"/>
      <c r="T48" s="1124"/>
      <c r="U48" s="1124"/>
      <c r="V48" s="1099" t="s">
        <v>221</v>
      </c>
      <c r="W48" s="1099"/>
      <c r="X48" s="1100"/>
      <c r="Y48" s="235"/>
      <c r="Z48" s="235"/>
      <c r="AD48" s="89"/>
      <c r="AE48" s="89"/>
      <c r="BM48" s="1"/>
      <c r="CJ48" s="1"/>
      <c r="CU48" s="244"/>
      <c r="CV48" s="244"/>
      <c r="CY48"/>
      <c r="CZ48"/>
    </row>
    <row r="49" spans="1:110">
      <c r="A49" s="1020" t="str">
        <f>"Arbejde særligt planlagt for "&amp;A7&amp;" måned efter fanen skemaoplysninger"</f>
        <v>Arbejde særligt planlagt for Oktober måned efter fanen skemaoplysninger</v>
      </c>
      <c r="B49" s="1021"/>
      <c r="C49" s="1021"/>
      <c r="D49" s="1021"/>
      <c r="E49" s="1021"/>
      <c r="F49" s="1021"/>
      <c r="G49" s="1021"/>
      <c r="H49" s="1022"/>
      <c r="I49" s="996">
        <f>Skemaoplysninger!M91</f>
        <v>0</v>
      </c>
      <c r="J49" s="1018"/>
      <c r="K49" s="1019"/>
      <c r="L49" s="237"/>
      <c r="M49" s="1125"/>
      <c r="N49" s="1126"/>
      <c r="O49" s="1126"/>
      <c r="P49" s="1126"/>
      <c r="Q49" s="1126"/>
      <c r="R49" s="1126"/>
      <c r="S49" s="1126"/>
      <c r="T49" s="1126"/>
      <c r="U49" s="1127"/>
      <c r="V49" s="1062"/>
      <c r="W49" s="1062"/>
      <c r="X49" s="1063"/>
      <c r="Y49"/>
      <c r="Z49" s="235"/>
      <c r="AA49" s="235"/>
      <c r="AG49" s="89"/>
      <c r="AH49" s="89"/>
      <c r="BA49" s="235"/>
      <c r="BO49" s="1"/>
      <c r="CL49" s="1"/>
      <c r="CV49" s="244"/>
      <c r="CW49" s="244"/>
      <c r="CY49"/>
      <c r="CZ49"/>
    </row>
    <row r="50" spans="1:110">
      <c r="A50" s="982" t="s">
        <v>450</v>
      </c>
      <c r="B50" s="983"/>
      <c r="C50" s="983"/>
      <c r="D50" s="983"/>
      <c r="E50" s="983"/>
      <c r="F50" s="983"/>
      <c r="G50" s="983"/>
      <c r="H50" s="983"/>
      <c r="I50" s="984">
        <f>V40+X40-FA40+R106</f>
        <v>0</v>
      </c>
      <c r="J50" s="985"/>
      <c r="K50" s="986"/>
      <c r="L50" s="237"/>
      <c r="M50" s="1082"/>
      <c r="N50" s="1083"/>
      <c r="O50" s="1083"/>
      <c r="P50" s="1083"/>
      <c r="Q50" s="1083"/>
      <c r="R50" s="1083"/>
      <c r="S50" s="1083"/>
      <c r="T50" s="1083"/>
      <c r="U50" s="1083"/>
      <c r="V50" s="885"/>
      <c r="W50" s="886"/>
      <c r="X50" s="887"/>
      <c r="Y50"/>
      <c r="Z50" s="235"/>
      <c r="AA50" s="235"/>
      <c r="AE50" s="89"/>
      <c r="AF50" s="243"/>
      <c r="AG50" s="89"/>
      <c r="BN50" s="1"/>
      <c r="CK50" s="1"/>
      <c r="CV50" s="244"/>
      <c r="CW50" s="244"/>
      <c r="CY50"/>
      <c r="CZ50"/>
    </row>
    <row r="51" spans="1:110" ht="17" thickBot="1">
      <c r="A51" s="257" t="str">
        <f>"Faktisk arbejdstid ialt i "&amp;A7&amp;" måned"</f>
        <v>Faktisk arbejdstid ialt i Oktober måned</v>
      </c>
      <c r="B51" s="309"/>
      <c r="C51" s="310"/>
      <c r="D51" s="310"/>
      <c r="E51" s="310"/>
      <c r="F51" s="310"/>
      <c r="G51" s="310"/>
      <c r="H51" s="311"/>
      <c r="I51" s="1023">
        <f>I47+I50+I49+I48</f>
        <v>0</v>
      </c>
      <c r="J51" s="1024"/>
      <c r="K51" s="1025"/>
      <c r="L51" s="237"/>
      <c r="M51" s="1082"/>
      <c r="N51" s="1083"/>
      <c r="O51" s="1083"/>
      <c r="P51" s="1083"/>
      <c r="Q51" s="1083"/>
      <c r="R51" s="1083"/>
      <c r="S51" s="1083"/>
      <c r="T51" s="1083"/>
      <c r="U51" s="1083"/>
      <c r="V51" s="885"/>
      <c r="W51" s="886"/>
      <c r="X51" s="887"/>
      <c r="Y51" s="235"/>
      <c r="Z51" s="235"/>
      <c r="AA51" s="213"/>
      <c r="AB51" s="243"/>
      <c r="AC51" s="243"/>
      <c r="AD51" s="243"/>
      <c r="AE51" s="235"/>
      <c r="AF51" s="243"/>
      <c r="AH51" s="235"/>
      <c r="AI51" s="235"/>
      <c r="AM51" s="89"/>
      <c r="AN51" s="89"/>
      <c r="BU51" s="1"/>
      <c r="CR51" s="1"/>
      <c r="CY51"/>
      <c r="CZ51"/>
      <c r="DC51" s="244"/>
      <c r="DD51" s="244"/>
    </row>
    <row r="52" spans="1:110" ht="17" thickBot="1">
      <c r="A52" s="251"/>
      <c r="B52" s="251"/>
      <c r="C52" s="251"/>
      <c r="D52" s="251"/>
      <c r="E52" s="251"/>
      <c r="F52" s="251"/>
      <c r="G52" s="251"/>
      <c r="H52" s="251"/>
      <c r="I52" s="514"/>
      <c r="J52" s="514"/>
      <c r="K52" s="514"/>
      <c r="L52" s="492"/>
      <c r="M52" s="1082"/>
      <c r="N52" s="1083"/>
      <c r="O52" s="1083"/>
      <c r="P52" s="1083"/>
      <c r="Q52" s="1083"/>
      <c r="R52" s="1083"/>
      <c r="S52" s="1083"/>
      <c r="T52" s="1083"/>
      <c r="U52" s="1083"/>
      <c r="V52" s="885"/>
      <c r="W52" s="886"/>
      <c r="X52" s="887"/>
      <c r="Y52" s="235"/>
      <c r="Z52" s="235"/>
      <c r="AA52" s="235"/>
      <c r="AB52" s="235"/>
      <c r="AC52" s="213"/>
      <c r="AD52" s="243"/>
      <c r="AE52" s="243"/>
      <c r="AF52" s="243"/>
      <c r="AG52" s="243"/>
      <c r="AH52" s="235"/>
      <c r="AJ52" s="235"/>
      <c r="AK52" s="235"/>
      <c r="AO52" s="89"/>
      <c r="AP52" s="89"/>
      <c r="BW52" s="1"/>
      <c r="CT52" s="1"/>
      <c r="CY52"/>
      <c r="CZ52"/>
      <c r="DE52" s="244"/>
      <c r="DF52" s="244"/>
    </row>
    <row r="53" spans="1:110" ht="25" thickBot="1">
      <c r="A53" s="973" t="s">
        <v>478</v>
      </c>
      <c r="B53" s="974"/>
      <c r="C53" s="974"/>
      <c r="D53" s="974"/>
      <c r="E53" s="974"/>
      <c r="F53" s="974"/>
      <c r="G53" s="974"/>
      <c r="H53" s="698" t="s">
        <v>669</v>
      </c>
      <c r="I53" s="1133" t="s">
        <v>477</v>
      </c>
      <c r="J53" s="1133"/>
      <c r="K53" s="1134"/>
      <c r="L53" s="492"/>
      <c r="M53" s="1093" t="s">
        <v>294</v>
      </c>
      <c r="N53" s="1094"/>
      <c r="O53" s="1094"/>
      <c r="P53" s="1094"/>
      <c r="Q53" s="1094"/>
      <c r="R53" s="1094"/>
      <c r="S53" s="1094"/>
      <c r="T53" s="1094"/>
      <c r="U53" s="1095"/>
      <c r="V53" s="1096">
        <f>V46-SUM(V49:X52)</f>
        <v>0</v>
      </c>
      <c r="W53" s="1097"/>
      <c r="X53" s="1098"/>
      <c r="Y53" s="235"/>
      <c r="Z53" s="235"/>
      <c r="AA53" s="235"/>
      <c r="AB53" s="235"/>
      <c r="AC53" s="213"/>
      <c r="AD53" s="243"/>
      <c r="AE53" s="243"/>
      <c r="AF53" s="243"/>
      <c r="AG53" s="243"/>
      <c r="AH53" s="235"/>
      <c r="AJ53" s="235"/>
      <c r="AK53" s="235"/>
      <c r="AO53" s="89"/>
      <c r="AP53" s="89"/>
      <c r="BW53" s="1"/>
      <c r="CT53" s="1"/>
      <c r="CY53"/>
      <c r="CZ53"/>
      <c r="DE53" s="244"/>
      <c r="DF53" s="244"/>
    </row>
    <row r="54" spans="1:110" ht="16" customHeight="1">
      <c r="A54" s="1008"/>
      <c r="B54" s="1009"/>
      <c r="C54" s="1009"/>
      <c r="D54" s="1009"/>
      <c r="E54" s="1009"/>
      <c r="F54" s="1009"/>
      <c r="G54" s="1009"/>
      <c r="H54" s="597">
        <f>September!H61</f>
        <v>0</v>
      </c>
      <c r="I54" s="1135">
        <f>September!I61</f>
        <v>0</v>
      </c>
      <c r="J54" s="1136"/>
      <c r="K54" s="1137"/>
      <c r="L54" s="492"/>
      <c r="M54" s="235"/>
      <c r="N54" s="235"/>
      <c r="O54" s="235"/>
      <c r="P54" s="235"/>
      <c r="Q54" s="213"/>
      <c r="R54" s="243"/>
      <c r="S54" s="243"/>
      <c r="T54" s="243"/>
      <c r="U54" s="243"/>
      <c r="V54" s="235"/>
      <c r="X54" s="235"/>
      <c r="Y54" s="235"/>
      <c r="Z54"/>
      <c r="AC54" s="89"/>
      <c r="AD54" s="89"/>
      <c r="BK54" s="1"/>
      <c r="CH54" s="1"/>
      <c r="CS54" s="244"/>
      <c r="CT54" s="244"/>
      <c r="CY54"/>
      <c r="CZ54"/>
    </row>
    <row r="55" spans="1:110" ht="16" customHeight="1">
      <c r="A55" s="1084" t="s">
        <v>481</v>
      </c>
      <c r="B55" s="1085"/>
      <c r="C55" s="1085"/>
      <c r="D55" s="1085"/>
      <c r="E55" s="1085"/>
      <c r="F55" s="1085"/>
      <c r="G55" s="1086"/>
      <c r="H55" s="595"/>
      <c r="I55" s="1087"/>
      <c r="J55" s="1088"/>
      <c r="K55" s="1089"/>
      <c r="L55" s="492"/>
      <c r="M55" s="235"/>
      <c r="N55" s="235"/>
      <c r="O55" s="235"/>
      <c r="P55" s="235"/>
      <c r="Q55" s="213"/>
      <c r="R55" s="243"/>
      <c r="S55" s="243"/>
      <c r="T55" s="243"/>
      <c r="U55" s="243"/>
      <c r="V55" s="235"/>
      <c r="X55" s="235"/>
      <c r="Y55" s="235"/>
      <c r="Z55"/>
      <c r="AC55" s="89"/>
      <c r="AD55" s="89"/>
      <c r="BK55" s="1"/>
      <c r="CH55" s="1"/>
      <c r="CS55" s="244"/>
      <c r="CT55" s="244"/>
      <c r="CY55"/>
      <c r="CZ55"/>
    </row>
    <row r="56" spans="1:110" ht="37" customHeight="1">
      <c r="A56" s="879" t="s">
        <v>670</v>
      </c>
      <c r="B56" s="880"/>
      <c r="C56" s="880"/>
      <c r="D56" s="880"/>
      <c r="E56" s="880"/>
      <c r="F56" s="880"/>
      <c r="G56" s="880"/>
      <c r="H56" s="880"/>
      <c r="I56" s="880"/>
      <c r="J56" s="880"/>
      <c r="K56" s="881"/>
      <c r="L56" s="492"/>
      <c r="M56" s="515"/>
      <c r="N56" s="515"/>
      <c r="O56" s="515"/>
      <c r="P56" s="515"/>
      <c r="Q56" s="516"/>
      <c r="R56" s="517"/>
      <c r="S56" s="517"/>
      <c r="T56" s="517"/>
      <c r="U56" s="517"/>
      <c r="V56" s="515"/>
      <c r="W56" s="518"/>
      <c r="X56" s="515"/>
      <c r="Y56" s="235"/>
      <c r="Z56" s="235"/>
      <c r="AA56" s="235"/>
      <c r="AB56" s="235"/>
      <c r="AC56" s="213"/>
      <c r="AD56" s="243"/>
      <c r="AE56" s="243"/>
      <c r="AF56" s="243"/>
      <c r="AG56" s="243"/>
      <c r="AH56" s="235"/>
      <c r="AJ56" s="235"/>
      <c r="AK56" s="235"/>
      <c r="AO56" s="89"/>
      <c r="AP56" s="89"/>
      <c r="BW56" s="1"/>
      <c r="CT56" s="1"/>
      <c r="CY56"/>
      <c r="CZ56"/>
      <c r="DE56" s="244"/>
      <c r="DF56" s="244"/>
    </row>
    <row r="57" spans="1:110" ht="35" customHeight="1">
      <c r="A57" s="1010" t="s">
        <v>671</v>
      </c>
      <c r="B57" s="1011"/>
      <c r="C57" s="913" t="s">
        <v>509</v>
      </c>
      <c r="D57" s="914"/>
      <c r="E57" s="915" t="s">
        <v>510</v>
      </c>
      <c r="F57" s="880"/>
      <c r="G57" s="916"/>
      <c r="H57" s="925" t="s">
        <v>479</v>
      </c>
      <c r="I57" s="925"/>
      <c r="J57" s="925"/>
      <c r="K57" s="926"/>
      <c r="L57" s="492"/>
      <c r="M57" s="515"/>
      <c r="N57" s="515"/>
      <c r="O57" s="515"/>
      <c r="P57" s="515"/>
      <c r="Q57" s="516"/>
      <c r="R57" s="517"/>
      <c r="S57" s="517"/>
      <c r="T57" s="517"/>
      <c r="U57" s="517"/>
      <c r="V57" s="515"/>
      <c r="W57" s="518"/>
      <c r="X57" s="515"/>
      <c r="Y57" s="235"/>
      <c r="Z57" s="235"/>
      <c r="AA57" s="235"/>
      <c r="AB57" s="235"/>
      <c r="AC57" s="213"/>
      <c r="AD57" s="243"/>
      <c r="AE57" s="243"/>
      <c r="AF57" s="243"/>
      <c r="AG57" s="243"/>
      <c r="AH57" s="235"/>
      <c r="AJ57" s="235"/>
      <c r="AK57" s="235"/>
      <c r="AO57" s="89"/>
      <c r="AP57" s="89"/>
      <c r="BW57" s="1"/>
      <c r="CT57" s="1"/>
      <c r="CY57"/>
      <c r="CZ57"/>
      <c r="DE57" s="244"/>
      <c r="DF57" s="244"/>
    </row>
    <row r="58" spans="1:110">
      <c r="A58" s="917"/>
      <c r="B58" s="918"/>
      <c r="C58" s="921"/>
      <c r="D58" s="920"/>
      <c r="E58" s="922"/>
      <c r="F58" s="923"/>
      <c r="G58" s="924"/>
      <c r="H58" s="596"/>
      <c r="I58" s="911"/>
      <c r="J58" s="911"/>
      <c r="K58" s="912"/>
      <c r="L58" s="492"/>
      <c r="M58" s="515"/>
      <c r="N58" s="515"/>
      <c r="O58" s="515"/>
      <c r="P58" s="515"/>
      <c r="Q58" s="516"/>
      <c r="R58" s="517"/>
      <c r="S58" s="517"/>
      <c r="T58" s="517"/>
      <c r="U58" s="517"/>
      <c r="V58" s="515"/>
      <c r="W58" s="518"/>
      <c r="X58" s="515"/>
      <c r="Y58" s="235"/>
      <c r="Z58" s="235"/>
      <c r="AA58" s="235"/>
      <c r="AB58" s="235"/>
      <c r="AC58" s="213"/>
      <c r="AD58" s="243"/>
      <c r="AE58" s="243"/>
      <c r="AF58" s="243"/>
      <c r="AG58" s="243"/>
      <c r="AH58" s="235"/>
      <c r="AJ58" s="235"/>
      <c r="AK58" s="235"/>
      <c r="AO58" s="89"/>
      <c r="AP58" s="89"/>
      <c r="BW58" s="1"/>
      <c r="CT58" s="1"/>
      <c r="CY58"/>
      <c r="CZ58"/>
      <c r="DE58" s="244"/>
      <c r="DF58" s="244"/>
    </row>
    <row r="59" spans="1:110">
      <c r="A59" s="919"/>
      <c r="B59" s="920"/>
      <c r="C59" s="921"/>
      <c r="D59" s="920"/>
      <c r="E59" s="922"/>
      <c r="F59" s="923"/>
      <c r="G59" s="924"/>
      <c r="H59" s="596"/>
      <c r="I59" s="911"/>
      <c r="J59" s="911"/>
      <c r="K59" s="912"/>
      <c r="L59" s="492"/>
      <c r="M59" s="515"/>
      <c r="N59" s="515"/>
      <c r="O59" s="515"/>
      <c r="P59" s="515"/>
      <c r="Q59" s="516"/>
      <c r="R59" s="517"/>
      <c r="S59" s="517"/>
      <c r="T59" s="517"/>
      <c r="U59" s="517"/>
      <c r="V59" s="515"/>
      <c r="W59" s="518"/>
      <c r="X59" s="515"/>
      <c r="Y59" s="235"/>
      <c r="Z59" s="235"/>
      <c r="AA59" s="235"/>
      <c r="AB59" s="235"/>
      <c r="AC59" s="213"/>
      <c r="AD59" s="243"/>
      <c r="AE59" s="243"/>
      <c r="AF59" s="243"/>
      <c r="AG59" s="243"/>
      <c r="AH59" s="235"/>
      <c r="AJ59" s="235"/>
      <c r="AK59" s="235"/>
      <c r="AO59" s="89"/>
      <c r="AP59" s="89"/>
      <c r="BW59" s="1"/>
      <c r="CT59" s="1"/>
      <c r="CY59"/>
      <c r="CZ59"/>
      <c r="DE59" s="244"/>
      <c r="DF59" s="244"/>
    </row>
    <row r="60" spans="1:110">
      <c r="A60" s="919"/>
      <c r="B60" s="920"/>
      <c r="C60" s="921"/>
      <c r="D60" s="920"/>
      <c r="E60" s="922"/>
      <c r="F60" s="923"/>
      <c r="G60" s="924"/>
      <c r="H60" s="596"/>
      <c r="I60" s="911"/>
      <c r="J60" s="911"/>
      <c r="K60" s="912"/>
      <c r="L60" s="492"/>
      <c r="M60" s="515"/>
      <c r="N60" s="515"/>
      <c r="O60" s="515"/>
      <c r="P60" s="515"/>
      <c r="Q60" s="516"/>
      <c r="R60" s="517"/>
      <c r="S60" s="517"/>
      <c r="T60" s="517"/>
      <c r="U60" s="517"/>
      <c r="V60" s="515"/>
      <c r="W60" s="518"/>
      <c r="X60" s="515"/>
      <c r="Y60" s="235"/>
      <c r="Z60" s="235"/>
      <c r="AA60" s="235"/>
      <c r="AB60" s="235"/>
      <c r="AC60" s="213"/>
      <c r="AD60" s="243"/>
      <c r="AE60" s="243"/>
      <c r="AF60" s="243"/>
      <c r="AG60" s="243"/>
      <c r="AH60" s="235"/>
      <c r="AJ60" s="235"/>
      <c r="AK60" s="235"/>
      <c r="AO60" s="89"/>
      <c r="AP60" s="89"/>
      <c r="BW60" s="1"/>
      <c r="CT60" s="1"/>
      <c r="CY60"/>
      <c r="CZ60"/>
      <c r="DE60" s="244"/>
      <c r="DF60" s="244"/>
    </row>
    <row r="61" spans="1:110">
      <c r="A61" s="919"/>
      <c r="B61" s="920"/>
      <c r="C61" s="921"/>
      <c r="D61" s="920"/>
      <c r="E61" s="922"/>
      <c r="F61" s="923"/>
      <c r="G61" s="924"/>
      <c r="H61" s="596"/>
      <c r="I61" s="911"/>
      <c r="J61" s="911"/>
      <c r="K61" s="912"/>
      <c r="L61" s="492"/>
      <c r="M61" s="515"/>
      <c r="N61" s="515"/>
      <c r="O61" s="515"/>
      <c r="P61" s="515"/>
      <c r="Q61" s="516"/>
      <c r="R61" s="517"/>
      <c r="S61" s="517"/>
      <c r="T61" s="517"/>
      <c r="U61" s="517"/>
      <c r="V61" s="515"/>
      <c r="W61" s="518"/>
      <c r="X61" s="515"/>
      <c r="Y61" s="235"/>
      <c r="Z61" s="235"/>
      <c r="AA61" s="235"/>
      <c r="AB61" s="235"/>
      <c r="AC61" s="213"/>
      <c r="AD61" s="243"/>
      <c r="AE61" s="243"/>
      <c r="AF61" s="243"/>
      <c r="AG61" s="243"/>
      <c r="AH61" s="235"/>
      <c r="AJ61" s="235"/>
      <c r="AK61" s="235"/>
      <c r="AO61" s="89"/>
      <c r="AP61" s="89"/>
      <c r="BW61" s="1"/>
      <c r="CT61" s="1"/>
      <c r="CY61"/>
      <c r="CZ61"/>
      <c r="DE61" s="244"/>
      <c r="DF61" s="244"/>
    </row>
    <row r="62" spans="1:110" ht="18" customHeight="1" thickBot="1">
      <c r="A62" s="908" t="s">
        <v>480</v>
      </c>
      <c r="B62" s="909"/>
      <c r="C62" s="910"/>
      <c r="D62" s="910"/>
      <c r="E62" s="910"/>
      <c r="F62" s="910"/>
      <c r="G62" s="910"/>
      <c r="H62" s="598">
        <f>H55+H54-SUM(H58:H61)</f>
        <v>0</v>
      </c>
      <c r="I62" s="927">
        <f>I54+I55-SUM(I58:K61)</f>
        <v>0</v>
      </c>
      <c r="J62" s="928"/>
      <c r="K62" s="929"/>
      <c r="L62" s="492"/>
      <c r="M62" s="515"/>
      <c r="N62" s="515"/>
      <c r="O62" s="515"/>
      <c r="P62" s="515"/>
      <c r="Q62" s="516"/>
      <c r="R62" s="517"/>
      <c r="S62" s="517"/>
      <c r="T62" s="517"/>
      <c r="U62" s="517"/>
      <c r="V62" s="515"/>
      <c r="W62" s="518"/>
      <c r="X62" s="515"/>
      <c r="Y62" s="235"/>
      <c r="Z62" s="235"/>
      <c r="AA62" s="235"/>
      <c r="AB62" s="235"/>
      <c r="AC62" s="213"/>
      <c r="AD62" s="243"/>
      <c r="AE62" s="243"/>
      <c r="AF62" s="243"/>
      <c r="AG62" s="243"/>
      <c r="AH62" s="235"/>
      <c r="AJ62" s="235"/>
      <c r="AK62" s="235"/>
      <c r="AO62" s="89"/>
      <c r="AP62" s="89"/>
      <c r="BW62" s="1"/>
      <c r="CT62" s="1"/>
      <c r="CY62"/>
      <c r="CZ62"/>
      <c r="DE62" s="244"/>
      <c r="DF62" s="244"/>
    </row>
    <row r="63" spans="1:110" hidden="1">
      <c r="A63" s="488"/>
      <c r="B63" s="488"/>
      <c r="C63" s="488"/>
      <c r="D63" s="488"/>
      <c r="E63" s="488"/>
      <c r="F63" s="488"/>
      <c r="G63" s="488"/>
      <c r="H63" s="444"/>
      <c r="I63" s="498"/>
      <c r="J63" s="498"/>
      <c r="K63" s="488"/>
      <c r="L63" s="650"/>
      <c r="M63" s="650"/>
      <c r="N63" s="650"/>
      <c r="O63" s="650"/>
      <c r="P63" s="650"/>
      <c r="Q63" s="516"/>
      <c r="R63" s="517"/>
      <c r="S63" s="517"/>
      <c r="T63" s="517"/>
      <c r="U63" s="517"/>
      <c r="V63" s="515" t="s">
        <v>570</v>
      </c>
      <c r="W63" s="518"/>
      <c r="X63" s="515"/>
      <c r="Y63"/>
      <c r="Z63"/>
      <c r="AA63" s="89"/>
      <c r="AB63" s="89"/>
      <c r="BI63" s="1"/>
      <c r="CF63" s="1"/>
      <c r="CQ63" s="244"/>
      <c r="CR63" s="244"/>
      <c r="CY63"/>
      <c r="CZ63"/>
    </row>
    <row r="64" spans="1:110" hidden="1">
      <c r="A64" s="498" t="s">
        <v>206</v>
      </c>
      <c r="B64" s="498"/>
      <c r="C64" s="498"/>
      <c r="D64" s="498">
        <f>COUNTIF([0]!Oktober,"Skema 1")</f>
        <v>18</v>
      </c>
      <c r="E64" s="499"/>
      <c r="F64" s="498" t="s">
        <v>186</v>
      </c>
      <c r="G64" s="498">
        <f>COUNTIFS($B$9:$B$39,"ma",[0]!Oktober,"Skema 1")</f>
        <v>3</v>
      </c>
      <c r="H64" s="122"/>
      <c r="I64" s="503"/>
      <c r="J64" s="650"/>
      <c r="K64" s="650"/>
      <c r="L64" s="503"/>
      <c r="M64" s="651"/>
      <c r="N64" s="650"/>
      <c r="O64" s="651"/>
      <c r="P64" s="669" t="s">
        <v>588</v>
      </c>
      <c r="Q64" s="671" t="s">
        <v>599</v>
      </c>
      <c r="R64" s="227"/>
      <c r="S64" s="227"/>
      <c r="T64" s="227"/>
      <c r="U64" s="227"/>
      <c r="V64" s="227"/>
      <c r="W64" s="117"/>
      <c r="X64" s="117"/>
      <c r="Y64"/>
      <c r="Z64"/>
      <c r="AA64" s="89"/>
      <c r="AB64" s="89"/>
      <c r="BI64" s="1"/>
      <c r="CF64" s="1"/>
      <c r="CQ64" s="244"/>
      <c r="CR64" s="244"/>
      <c r="CY64"/>
      <c r="CZ64"/>
    </row>
    <row r="65" spans="1:111" hidden="1">
      <c r="A65" s="972" t="s">
        <v>207</v>
      </c>
      <c r="B65" s="972"/>
      <c r="C65" s="972"/>
      <c r="D65" s="498">
        <f>COUNTIF([0]!Oktober,"Skema 2")</f>
        <v>0</v>
      </c>
      <c r="E65" s="499"/>
      <c r="F65" s="498" t="s">
        <v>187</v>
      </c>
      <c r="G65" s="498">
        <f>COUNTIFS($B$9:$B$39,"ti",[0]!Oktober,"Skema 1")</f>
        <v>4</v>
      </c>
      <c r="H65" s="122"/>
      <c r="I65" s="503" t="s">
        <v>589</v>
      </c>
      <c r="J65" s="650"/>
      <c r="K65" s="503"/>
      <c r="L65" s="653"/>
      <c r="M65" s="651"/>
      <c r="N65" s="651"/>
      <c r="O65" s="654"/>
      <c r="P65" s="669">
        <f>IF(Stamoplysninger!$B$22="Ulempetillæg udbetales med 25% af nettotimelønnen.",SUM(DO40:DR40)-SUM(DS40:DV40),0)</f>
        <v>0</v>
      </c>
      <c r="Q65" s="671"/>
      <c r="R65" s="227"/>
      <c r="S65" s="227"/>
      <c r="T65" s="227"/>
      <c r="U65" s="227"/>
      <c r="V65" s="227"/>
      <c r="W65" s="117"/>
      <c r="X65" s="117"/>
      <c r="Y65"/>
      <c r="Z65"/>
      <c r="AA65" s="89"/>
      <c r="AB65" s="89"/>
      <c r="BI65" s="1"/>
      <c r="CF65" s="1"/>
      <c r="CQ65" s="244"/>
      <c r="CR65" s="244"/>
      <c r="CY65"/>
      <c r="CZ65"/>
    </row>
    <row r="66" spans="1:111" hidden="1">
      <c r="A66" s="972" t="s">
        <v>208</v>
      </c>
      <c r="B66" s="972"/>
      <c r="C66" s="972"/>
      <c r="D66" s="498">
        <f>COUNTIF([0]!Oktober,"Skema 3")</f>
        <v>0</v>
      </c>
      <c r="E66" s="499"/>
      <c r="F66" s="498" t="s">
        <v>188</v>
      </c>
      <c r="G66" s="498">
        <f>COUNTIFS($B$9:$B$39,"on",[0]!Oktober,"Skema 1")</f>
        <v>4</v>
      </c>
      <c r="H66" s="490"/>
      <c r="I66" s="668" t="s">
        <v>590</v>
      </c>
      <c r="J66" s="650"/>
      <c r="K66" s="503"/>
      <c r="L66" s="653"/>
      <c r="M66" s="651"/>
      <c r="N66" s="651"/>
      <c r="O66" s="651"/>
      <c r="P66" s="669"/>
      <c r="Q66" s="671">
        <f>IF(Stamoplysninger!$B$22="Ulempetillæg afspadseres med 25%(Kræver en aftale imellem ledelsen og den ansatte)",EC40+ED40+EE40+EF40-EG40-EH40-EI40-EJ40,0)</f>
        <v>0</v>
      </c>
      <c r="R66" s="227"/>
      <c r="S66" s="227"/>
      <c r="T66" s="227"/>
      <c r="U66" s="227"/>
      <c r="V66" s="227"/>
      <c r="W66" s="117"/>
      <c r="X66" s="117"/>
      <c r="Y66"/>
      <c r="Z66"/>
      <c r="AA66" s="89"/>
      <c r="AB66" s="89"/>
      <c r="BI66" s="1"/>
      <c r="CF66" s="1"/>
      <c r="CQ66" s="244"/>
      <c r="CR66" s="244"/>
      <c r="CY66"/>
      <c r="CZ66"/>
    </row>
    <row r="67" spans="1:111" hidden="1">
      <c r="A67" s="972" t="s">
        <v>209</v>
      </c>
      <c r="B67" s="972"/>
      <c r="C67" s="972"/>
      <c r="D67" s="498">
        <f>COUNTIF([0]!Oktober,"Skema 4")</f>
        <v>0</v>
      </c>
      <c r="E67" s="499"/>
      <c r="F67" s="498" t="s">
        <v>190</v>
      </c>
      <c r="G67" s="498">
        <f>COUNTIFS($B$9:$B$39,"to",[0]!Oktober,"Skema 1")</f>
        <v>4</v>
      </c>
      <c r="H67" s="490"/>
      <c r="I67" s="668" t="s">
        <v>591</v>
      </c>
      <c r="J67" s="650"/>
      <c r="K67" s="503"/>
      <c r="L67" s="653"/>
      <c r="M67" s="656"/>
      <c r="N67" s="656"/>
      <c r="O67" s="4"/>
      <c r="P67" s="669"/>
      <c r="Q67" s="671"/>
      <c r="R67" s="227"/>
      <c r="S67" s="227"/>
      <c r="T67" s="227"/>
      <c r="U67" s="227"/>
      <c r="V67" s="227"/>
      <c r="W67" s="117"/>
      <c r="X67" s="117"/>
      <c r="Y67" s="235"/>
      <c r="Z67" s="235"/>
      <c r="AA67" s="235"/>
      <c r="AB67" s="235"/>
      <c r="AC67" s="235"/>
      <c r="AD67" s="213"/>
      <c r="AE67" s="243"/>
      <c r="AF67" s="213"/>
      <c r="AG67" s="243"/>
      <c r="AH67" s="243"/>
      <c r="AI67" s="235"/>
      <c r="AK67" s="235"/>
      <c r="AL67" s="235"/>
      <c r="AP67" s="89"/>
      <c r="AQ67" s="89"/>
      <c r="BX67" s="1"/>
      <c r="CU67" s="1"/>
      <c r="CY67"/>
      <c r="CZ67"/>
      <c r="DF67" s="244"/>
      <c r="DG67" s="244"/>
    </row>
    <row r="68" spans="1:111" hidden="1">
      <c r="A68" s="498" t="s">
        <v>112</v>
      </c>
      <c r="B68" s="498"/>
      <c r="C68" s="498"/>
      <c r="D68" s="498">
        <f>COUNTIF([0]!Oktober,"Fagdag")+COUNTIF([0]!Oktober,"emnedag")</f>
        <v>0</v>
      </c>
      <c r="E68" s="499"/>
      <c r="F68" s="498" t="s">
        <v>189</v>
      </c>
      <c r="G68" s="498">
        <f>COUNTIFS($B$9:$B$39,"fr",[0]!Oktober,"Skema 1")</f>
        <v>3</v>
      </c>
      <c r="H68" s="490"/>
      <c r="I68" s="653" t="s">
        <v>592</v>
      </c>
      <c r="J68" s="650"/>
      <c r="K68" s="503"/>
      <c r="L68" s="653"/>
      <c r="M68" s="656"/>
      <c r="N68" s="656"/>
      <c r="O68" s="4"/>
      <c r="P68" s="669"/>
      <c r="Q68" s="671">
        <f>IF(Stamoplysninger!$B$26="Weekendtimer og weekendtillæg afspadseres.",EK40+EL40-EM40-EN40,0)</f>
        <v>0</v>
      </c>
      <c r="R68" s="227"/>
      <c r="S68" s="227"/>
      <c r="T68" s="227"/>
      <c r="U68" s="227"/>
      <c r="V68" s="227"/>
      <c r="W68" s="117"/>
      <c r="X68" s="117"/>
      <c r="Y68" s="235"/>
      <c r="Z68" s="235"/>
      <c r="AA68" s="235"/>
      <c r="AB68" s="235"/>
      <c r="AC68" s="235"/>
      <c r="AD68" s="213"/>
      <c r="AE68" s="243"/>
      <c r="AF68" s="213"/>
      <c r="AG68" s="243"/>
      <c r="AH68" s="243"/>
      <c r="AI68" s="235"/>
      <c r="AK68" s="235"/>
      <c r="AL68" s="235"/>
      <c r="AP68" s="89"/>
      <c r="AQ68" s="89"/>
      <c r="BX68" s="1"/>
      <c r="CU68" s="1"/>
      <c r="CY68"/>
      <c r="CZ68"/>
      <c r="DF68" s="244"/>
      <c r="DG68" s="244"/>
    </row>
    <row r="69" spans="1:111" hidden="1">
      <c r="A69" s="500" t="s">
        <v>111</v>
      </c>
      <c r="B69" s="498"/>
      <c r="C69" s="498"/>
      <c r="D69" s="498">
        <f>COUNTIF([0]!Oktober,"Lejrskole")+COUNTIF([0]!Oktober,"Ekskursion")</f>
        <v>0</v>
      </c>
      <c r="E69" s="499"/>
      <c r="F69" s="498"/>
      <c r="G69" s="498"/>
      <c r="H69" s="490"/>
      <c r="I69" s="653" t="s">
        <v>593</v>
      </c>
      <c r="J69" s="653"/>
      <c r="K69" s="653"/>
      <c r="L69" s="653"/>
      <c r="M69" s="657"/>
      <c r="N69" s="657"/>
      <c r="O69" s="4"/>
      <c r="P69" s="670">
        <f>IF(Stamoplysninger!$B$26="Weekendtimer og weekendtillæg udbetales.",EO40+EP40-EQ40-ER40,0)</f>
        <v>0</v>
      </c>
      <c r="Q69" s="671"/>
      <c r="R69" s="227"/>
      <c r="S69" s="227"/>
      <c r="T69" s="227"/>
      <c r="U69" s="227"/>
      <c r="V69" s="227"/>
      <c r="W69" s="117"/>
      <c r="X69" s="117"/>
      <c r="Y69" s="235"/>
      <c r="Z69" s="235"/>
      <c r="AA69" s="235"/>
      <c r="AB69" s="235"/>
      <c r="AC69" s="235"/>
      <c r="AD69" s="213"/>
      <c r="AE69" s="243"/>
      <c r="AF69" s="213"/>
      <c r="AG69" s="243"/>
      <c r="AH69" s="243"/>
      <c r="AI69" s="235"/>
      <c r="AK69" s="235"/>
      <c r="AL69" s="235"/>
      <c r="AP69" s="89"/>
      <c r="AQ69" s="89"/>
      <c r="BX69" s="1"/>
      <c r="CU69" s="1"/>
      <c r="CY69"/>
      <c r="CZ69"/>
      <c r="DF69" s="244"/>
      <c r="DG69" s="244"/>
    </row>
    <row r="70" spans="1:111" hidden="1">
      <c r="A70" s="498" t="s">
        <v>110</v>
      </c>
      <c r="B70" s="498"/>
      <c r="C70" s="498"/>
      <c r="D70" s="498">
        <f>COUNTIF([0]!Oktober,"Pæd.dag")</f>
        <v>0</v>
      </c>
      <c r="E70" s="499"/>
      <c r="F70" s="498" t="s">
        <v>191</v>
      </c>
      <c r="G70" s="498">
        <f>COUNTIFS($B$9:$B$39,"ma",[0]!Oktober,"Skema 2")</f>
        <v>0</v>
      </c>
      <c r="H70" s="490"/>
      <c r="I70" s="653" t="s">
        <v>594</v>
      </c>
      <c r="J70" s="653"/>
      <c r="K70" s="653"/>
      <c r="L70" s="653"/>
      <c r="M70" s="657"/>
      <c r="N70" s="657"/>
      <c r="O70" s="4"/>
      <c r="P70" s="669"/>
      <c r="Q70" s="671"/>
      <c r="R70" s="227"/>
      <c r="S70" s="227"/>
      <c r="T70" s="227"/>
      <c r="U70" s="227"/>
      <c r="V70" s="227"/>
      <c r="W70" s="117"/>
      <c r="X70" s="117"/>
      <c r="Y70" s="235"/>
      <c r="Z70" s="235"/>
      <c r="AA70" s="235"/>
      <c r="AB70" s="235"/>
      <c r="AC70" s="235"/>
      <c r="AD70" s="213"/>
      <c r="AE70" s="243"/>
      <c r="AG70" s="243"/>
      <c r="AH70" s="243"/>
      <c r="AI70" s="235"/>
      <c r="AK70" s="235"/>
      <c r="AL70" s="235"/>
      <c r="AP70" s="89"/>
      <c r="AQ70" s="89"/>
      <c r="BX70" s="1"/>
      <c r="CU70" s="1"/>
      <c r="CY70"/>
      <c r="CZ70"/>
      <c r="DF70" s="244"/>
      <c r="DG70" s="244"/>
    </row>
    <row r="71" spans="1:111" hidden="1">
      <c r="A71" s="498" t="s">
        <v>120</v>
      </c>
      <c r="B71" s="498"/>
      <c r="C71" s="498"/>
      <c r="D71" s="498">
        <f>COUNTIF([0]!Oktober,"Weekend")</f>
        <v>8</v>
      </c>
      <c r="E71" s="499"/>
      <c r="F71" s="498" t="s">
        <v>192</v>
      </c>
      <c r="G71" s="498">
        <f>COUNTIFS($B$9:$B$39,"ti",[0]!Oktober,"Skema 2")</f>
        <v>0</v>
      </c>
      <c r="H71" s="490"/>
      <c r="I71" s="653" t="s">
        <v>595</v>
      </c>
      <c r="J71" s="653"/>
      <c r="K71" s="653"/>
      <c r="L71" s="653"/>
      <c r="M71" s="658"/>
      <c r="N71" s="658"/>
      <c r="O71" s="4"/>
      <c r="P71" s="669"/>
      <c r="Q71" s="672">
        <f>IF(Stamoplysninger!$B$26="Der er indgået lokalaftale omkring weekendtimer.(Kræver aftale med TR/FSL) Weekendtillæg afspadseres.",ES40+ET40-EU40-EV40,0)</f>
        <v>0</v>
      </c>
      <c r="R71" s="227"/>
      <c r="S71" s="227"/>
      <c r="T71" s="227"/>
      <c r="U71" s="227"/>
      <c r="V71" s="227"/>
      <c r="W71" s="117"/>
      <c r="X71" s="117"/>
      <c r="Y71"/>
      <c r="Z71"/>
      <c r="AO71" s="1"/>
      <c r="BL71" s="1"/>
      <c r="BW71" s="244"/>
      <c r="BX71" s="244"/>
      <c r="CY71"/>
      <c r="CZ71"/>
    </row>
    <row r="72" spans="1:111" hidden="1">
      <c r="A72" s="498" t="s">
        <v>127</v>
      </c>
      <c r="B72" s="498"/>
      <c r="C72" s="498"/>
      <c r="D72" s="498">
        <f>COUNTIF([0]!Oktober,"SH-dag")</f>
        <v>0</v>
      </c>
      <c r="E72" s="499"/>
      <c r="F72" s="498" t="s">
        <v>193</v>
      </c>
      <c r="G72" s="498">
        <f>COUNTIFS($B$9:$B$39,"on",[0]!Oktober,"Skema 2")</f>
        <v>0</v>
      </c>
      <c r="H72" s="490"/>
      <c r="I72" s="653" t="s">
        <v>596</v>
      </c>
      <c r="J72" s="653"/>
      <c r="K72" s="653"/>
      <c r="L72" s="653"/>
      <c r="M72" s="658"/>
      <c r="N72" s="658"/>
      <c r="O72" s="4"/>
      <c r="P72" s="669">
        <f>IF(Stamoplysninger!$B$26="Der er indgået lokalaftale omkring weekendtimer(Kræver aftale med TR/FSL). Weekendtillæg udbetales.",EW40+EX40-EY40-EZ40,0)</f>
        <v>0</v>
      </c>
      <c r="Q72" s="671"/>
      <c r="R72" s="227"/>
      <c r="S72" s="227"/>
      <c r="T72" s="227"/>
      <c r="U72" s="227"/>
      <c r="V72" s="227"/>
      <c r="W72" s="117"/>
      <c r="X72" s="117"/>
      <c r="Y72"/>
      <c r="Z72"/>
      <c r="AO72" s="1"/>
      <c r="BL72" s="1"/>
      <c r="BW72" s="244"/>
      <c r="BX72" s="244"/>
      <c r="CY72"/>
      <c r="CZ72"/>
    </row>
    <row r="73" spans="1:111" hidden="1">
      <c r="A73" s="498" t="s">
        <v>109</v>
      </c>
      <c r="B73" s="498"/>
      <c r="C73" s="498"/>
      <c r="D73" s="498">
        <f>COUNTIF([0]!Oktober,"Feriedag")</f>
        <v>5</v>
      </c>
      <c r="E73" s="499"/>
      <c r="F73" s="498" t="s">
        <v>194</v>
      </c>
      <c r="G73" s="498">
        <f>COUNTIFS($B$9:$B$39,"to",[0]!Oktober,"Skema 2")</f>
        <v>0</v>
      </c>
      <c r="H73" s="490"/>
      <c r="I73" s="653" t="s">
        <v>597</v>
      </c>
      <c r="J73" s="653"/>
      <c r="K73" s="653"/>
      <c r="L73" s="653"/>
      <c r="M73" s="658"/>
      <c r="N73" s="658"/>
      <c r="O73" s="4"/>
      <c r="P73" s="669"/>
      <c r="Q73" s="620">
        <f>IF(Stamoplysninger!$B$26="Der er indgået lokalaftale omkring weekendtillæg(Kræver aftale med TR/FSL). Weekendtimerne afspadseres.",FA40+FB40-FC40-FD40,0)</f>
        <v>0</v>
      </c>
      <c r="R73" s="40"/>
      <c r="S73" s="40"/>
      <c r="T73" s="40"/>
      <c r="Y73"/>
      <c r="Z73"/>
      <c r="AO73" s="1"/>
      <c r="BL73" s="1"/>
      <c r="BW73" s="244"/>
      <c r="BX73" s="244"/>
      <c r="CY73"/>
      <c r="CZ73"/>
    </row>
    <row r="74" spans="1:111" hidden="1">
      <c r="A74" s="498" t="s">
        <v>178</v>
      </c>
      <c r="B74" s="498"/>
      <c r="C74" s="498"/>
      <c r="D74" s="498">
        <f>COUNTIF([0]!Oktober,"Nul-dag")</f>
        <v>0</v>
      </c>
      <c r="E74" s="499"/>
      <c r="F74" s="498" t="s">
        <v>195</v>
      </c>
      <c r="G74" s="498">
        <f>COUNTIFS($B$9:$B$39,"fr",[0]!Oktober,"Skema 2")</f>
        <v>0</v>
      </c>
      <c r="H74" s="490"/>
      <c r="I74" s="653" t="s">
        <v>598</v>
      </c>
      <c r="J74" s="653"/>
      <c r="K74" s="653"/>
      <c r="L74" s="653"/>
      <c r="M74" s="658"/>
      <c r="N74" s="658"/>
      <c r="O74" s="4"/>
      <c r="P74" s="669">
        <f>IF(Stamoplysninger!$B$26="Der er indgået lokalaftale omkring weekendtillæg(Kræver aftale med TR/FSL). Weekendtimerne udbetales.",FE40+FF40-FG40-FH40,0)</f>
        <v>0</v>
      </c>
      <c r="Q74" s="620"/>
      <c r="V74" t="s">
        <v>605</v>
      </c>
      <c r="Y74"/>
      <c r="Z74"/>
      <c r="AO74" s="1"/>
      <c r="BL74" s="1"/>
      <c r="BW74" s="244"/>
      <c r="BX74" s="244"/>
      <c r="CY74"/>
      <c r="CZ74"/>
    </row>
    <row r="75" spans="1:111" hidden="1">
      <c r="A75" s="495" t="s">
        <v>415</v>
      </c>
      <c r="B75" s="498"/>
      <c r="C75" s="498"/>
      <c r="D75" s="498">
        <f>COUNTIF([0]!Oktober,"Orlov")</f>
        <v>0</v>
      </c>
      <c r="E75" s="499"/>
      <c r="F75" s="501"/>
      <c r="G75" s="501"/>
      <c r="H75" s="496"/>
      <c r="I75" s="653" t="s">
        <v>604</v>
      </c>
      <c r="J75" s="653"/>
      <c r="K75" s="653"/>
      <c r="L75" s="653"/>
      <c r="M75" s="659"/>
      <c r="N75" s="659"/>
      <c r="O75" s="4"/>
      <c r="P75" s="652"/>
      <c r="R75">
        <f>IF(C10="ikke relevant",V10*-1+X10*-1,0)</f>
        <v>0</v>
      </c>
      <c r="S75" t="s">
        <v>610</v>
      </c>
      <c r="V75">
        <f>IF(C10="ikke relevant",R10*-1,0)</f>
        <v>0</v>
      </c>
      <c r="Y75"/>
      <c r="Z75"/>
      <c r="AO75" s="1"/>
      <c r="BL75" s="1"/>
      <c r="BW75" s="244"/>
      <c r="BX75" s="244"/>
      <c r="CY75"/>
      <c r="CZ75"/>
    </row>
    <row r="76" spans="1:111" hidden="1">
      <c r="A76" s="498" t="s">
        <v>160</v>
      </c>
      <c r="B76" s="498"/>
      <c r="C76" s="498"/>
      <c r="D76" s="498">
        <f>COUNTIF([0]!Oktober,"Ikke relevant")</f>
        <v>0</v>
      </c>
      <c r="E76" s="499"/>
      <c r="F76" s="498" t="s">
        <v>196</v>
      </c>
      <c r="G76" s="498">
        <f>COUNTIFS($B$9:$B$39,"ma",[0]!Oktober,"Skema 3")</f>
        <v>0</v>
      </c>
      <c r="H76" s="490"/>
      <c r="I76" s="653"/>
      <c r="J76" s="653"/>
      <c r="K76" s="653"/>
      <c r="L76" s="503"/>
      <c r="M76" s="659"/>
      <c r="N76" s="659"/>
      <c r="O76" s="4"/>
      <c r="P76" s="652"/>
      <c r="R76">
        <f>IF(C11="ikke relevant",V11*-1+X11*-1,0)</f>
        <v>0</v>
      </c>
      <c r="V76">
        <f>IF(C11="ikke relevant",R11*-1,0)</f>
        <v>0</v>
      </c>
      <c r="Y76"/>
      <c r="Z76"/>
      <c r="AO76" s="1"/>
      <c r="BL76" s="1"/>
      <c r="BW76" s="244"/>
      <c r="BX76" s="244"/>
      <c r="CY76"/>
      <c r="CZ76"/>
    </row>
    <row r="77" spans="1:111" hidden="1">
      <c r="A77" s="498" t="s">
        <v>108</v>
      </c>
      <c r="B77" s="498"/>
      <c r="C77" s="498"/>
      <c r="D77" s="498">
        <f>SUM(D64:D76)</f>
        <v>31</v>
      </c>
      <c r="E77" s="498"/>
      <c r="F77" s="498" t="s">
        <v>197</v>
      </c>
      <c r="G77" s="498">
        <f>COUNTIFS($B$9:$B$39,"ti",[0]!Oktober,"Skema 3")</f>
        <v>0</v>
      </c>
      <c r="H77" s="490"/>
      <c r="I77" s="653"/>
      <c r="J77" s="653"/>
      <c r="K77" s="653"/>
      <c r="L77" s="503"/>
      <c r="M77" s="659"/>
      <c r="N77" s="659"/>
      <c r="O77" s="4"/>
      <c r="P77" s="652"/>
      <c r="R77">
        <f t="shared" ref="R77:R105" si="63">IF(C12="ikke relevant",V12*-1+X12*-1,0)</f>
        <v>0</v>
      </c>
      <c r="V77">
        <f t="shared" ref="V77:V105" si="64">IF(C12="ikke relevant",R12*-1,0)</f>
        <v>0</v>
      </c>
      <c r="Y77"/>
      <c r="Z77"/>
      <c r="AO77" s="1"/>
      <c r="BL77" s="1"/>
      <c r="BW77" s="244"/>
      <c r="BX77" s="244"/>
      <c r="CY77"/>
      <c r="CZ77"/>
    </row>
    <row r="78" spans="1:111" hidden="1">
      <c r="A78" s="498" t="s">
        <v>239</v>
      </c>
      <c r="B78" s="498"/>
      <c r="C78" s="498"/>
      <c r="D78" s="498">
        <f>D77-D71-A87-D76</f>
        <v>23</v>
      </c>
      <c r="E78" s="502"/>
      <c r="F78" s="498" t="s">
        <v>198</v>
      </c>
      <c r="G78" s="498">
        <f>COUNTIFS($B$9:$B$39,"on",[0]!Oktober,"Skema 3")</f>
        <v>0</v>
      </c>
      <c r="H78" s="490"/>
      <c r="I78" s="653"/>
      <c r="J78" s="653"/>
      <c r="K78" s="653"/>
      <c r="L78" s="503"/>
      <c r="M78" s="659"/>
      <c r="N78" s="659"/>
      <c r="O78" s="4"/>
      <c r="P78" s="652"/>
      <c r="R78">
        <f t="shared" si="63"/>
        <v>0</v>
      </c>
      <c r="V78">
        <f t="shared" si="64"/>
        <v>0</v>
      </c>
      <c r="Y78"/>
      <c r="Z78"/>
      <c r="AO78" s="1"/>
      <c r="BL78" s="1"/>
      <c r="BW78" s="244"/>
      <c r="BX78" s="244"/>
      <c r="CY78"/>
      <c r="CZ78"/>
    </row>
    <row r="79" spans="1:111" hidden="1">
      <c r="A79" s="498"/>
      <c r="B79" s="498"/>
      <c r="C79" s="498"/>
      <c r="D79" s="498"/>
      <c r="E79" s="498"/>
      <c r="F79" s="498" t="s">
        <v>199</v>
      </c>
      <c r="G79" s="498">
        <f>COUNTIFS($B$9:$B$39,"to",[0]!Oktober,"Skema 3")</f>
        <v>0</v>
      </c>
      <c r="H79" s="490"/>
      <c r="I79" s="655"/>
      <c r="J79" s="653"/>
      <c r="K79" s="653"/>
      <c r="L79" s="503"/>
      <c r="M79" s="651"/>
      <c r="N79" s="651"/>
      <c r="O79" s="4"/>
      <c r="P79" s="652"/>
      <c r="R79">
        <f t="shared" si="63"/>
        <v>0</v>
      </c>
      <c r="V79">
        <f t="shared" si="64"/>
        <v>0</v>
      </c>
      <c r="Y79"/>
      <c r="Z79"/>
      <c r="AO79" s="1"/>
      <c r="BL79" s="1"/>
      <c r="BW79" s="244"/>
      <c r="BX79" s="244"/>
      <c r="CY79"/>
      <c r="CZ79"/>
    </row>
    <row r="80" spans="1:111" hidden="1">
      <c r="A80" s="498"/>
      <c r="B80" s="498"/>
      <c r="C80" s="498"/>
      <c r="D80" s="498"/>
      <c r="E80" s="498"/>
      <c r="F80" s="498" t="s">
        <v>200</v>
      </c>
      <c r="G80" s="498">
        <f>COUNTIFS($B$9:$B$39,"fr",[0]!Oktober,"Skema 3")</f>
        <v>0</v>
      </c>
      <c r="H80" s="490"/>
      <c r="I80" s="498"/>
      <c r="J80" s="503"/>
      <c r="K80" s="503"/>
      <c r="L80" s="503"/>
      <c r="M80" s="4"/>
      <c r="N80" s="4"/>
      <c r="O80" s="4"/>
      <c r="P80" s="4"/>
      <c r="R80">
        <f t="shared" si="63"/>
        <v>0</v>
      </c>
      <c r="V80">
        <f t="shared" si="64"/>
        <v>0</v>
      </c>
      <c r="Y80"/>
      <c r="Z80"/>
      <c r="AO80" s="1"/>
      <c r="BL80" s="1"/>
      <c r="BW80" s="244"/>
      <c r="BX80" s="244"/>
      <c r="CY80"/>
      <c r="CZ80"/>
    </row>
    <row r="81" spans="1:111" hidden="1">
      <c r="A81" s="498" t="s">
        <v>292</v>
      </c>
      <c r="B81" s="498"/>
      <c r="C81" s="498"/>
      <c r="D81" s="498"/>
      <c r="E81" s="498"/>
      <c r="F81" s="498"/>
      <c r="G81" s="498"/>
      <c r="H81" s="490"/>
      <c r="I81" s="498"/>
      <c r="J81" s="503"/>
      <c r="K81" s="503"/>
      <c r="L81" s="503"/>
      <c r="M81" s="4"/>
      <c r="N81" s="4"/>
      <c r="O81" s="4"/>
      <c r="P81" s="4"/>
      <c r="R81">
        <f t="shared" si="63"/>
        <v>0</v>
      </c>
      <c r="V81">
        <f t="shared" si="64"/>
        <v>0</v>
      </c>
      <c r="Y81"/>
      <c r="Z81"/>
      <c r="AO81" s="1"/>
      <c r="BL81" s="1"/>
      <c r="BW81" s="244"/>
      <c r="BX81" s="244"/>
      <c r="CY81"/>
      <c r="CZ81"/>
    </row>
    <row r="82" spans="1:111" hidden="1">
      <c r="A82" s="498">
        <f>COUNTIF($C$13:$C$14,"Skema 1")+COUNTIF($C$13:$C$14,"Skema 2")+COUNTIF($C$13:$C$14,"Skema 3")+COUNTIF($C$13:$C$14,"Skema 4")+COUNTIF($C$13:$C$14,"Fagdag")+COUNTIF($C$13:$C$14,"Emnedag")+COUNTIF($C$13:$C$14,"Lejrskole")+COUNTIF($C$13:$C$14,"Ekskursion")+COUNTIF($C$13:$C$14,"Pæd.dag")</f>
        <v>0</v>
      </c>
      <c r="B82" s="498"/>
      <c r="C82" s="498"/>
      <c r="D82" s="498"/>
      <c r="E82" s="498"/>
      <c r="F82" s="498" t="s">
        <v>201</v>
      </c>
      <c r="G82" s="498">
        <f>COUNTIFS($B$9:$B$39,"ma",[0]!Oktober,"Skema 4")</f>
        <v>0</v>
      </c>
      <c r="H82" s="490"/>
      <c r="I82" s="498"/>
      <c r="J82" s="503"/>
      <c r="K82" s="503"/>
      <c r="L82" s="503"/>
      <c r="M82" s="4"/>
      <c r="N82" s="4"/>
      <c r="O82" s="4"/>
      <c r="P82" s="4"/>
      <c r="R82">
        <f t="shared" si="63"/>
        <v>0</v>
      </c>
      <c r="V82">
        <f t="shared" si="64"/>
        <v>0</v>
      </c>
      <c r="Y82"/>
      <c r="Z82"/>
      <c r="AO82" s="1"/>
      <c r="BL82" s="1"/>
      <c r="BW82" s="244"/>
      <c r="BX82" s="244"/>
      <c r="CY82"/>
      <c r="CZ82"/>
    </row>
    <row r="83" spans="1:111" hidden="1">
      <c r="A83" s="498">
        <f>COUNTIF($C$20:$C$21,"Skema 1")+COUNTIF($C$20:$C$21,"Skema 2")+COUNTIF($C$20:$C$21,"Skema 3")+COUNTIF($C$20:$C$21,"Skema 4")+COUNTIF($C$20:$C$21,"Fagdag")+COUNTIF($C$20:$C$21,"Emnedag")+COUNTIF($C$20:$C$21,"Lejrskole")+COUNTIF($C$20:$C$21,"Ekskursion")+COUNTIF($C$20:$C$21,"Pæd.dag")</f>
        <v>0</v>
      </c>
      <c r="B83" s="498"/>
      <c r="C83" s="498"/>
      <c r="D83" s="498"/>
      <c r="E83" s="498"/>
      <c r="F83" s="498" t="s">
        <v>202</v>
      </c>
      <c r="G83" s="498">
        <f>COUNTIFS($B$9:$B$39,"ti",[0]!Oktober,"Skema 4")</f>
        <v>0</v>
      </c>
      <c r="H83" s="490"/>
      <c r="I83" s="498"/>
      <c r="J83" s="503"/>
      <c r="K83" s="503"/>
      <c r="L83" s="503"/>
      <c r="M83" s="4"/>
      <c r="N83" s="4"/>
      <c r="O83" s="4"/>
      <c r="P83" s="4"/>
      <c r="R83">
        <f t="shared" si="63"/>
        <v>0</v>
      </c>
      <c r="V83">
        <f t="shared" si="64"/>
        <v>0</v>
      </c>
      <c r="Y83"/>
      <c r="Z83"/>
      <c r="AO83" s="1"/>
      <c r="BL83" s="1"/>
      <c r="BW83" s="244"/>
      <c r="BX83" s="244"/>
      <c r="CY83"/>
      <c r="CZ83"/>
    </row>
    <row r="84" spans="1:111" hidden="1">
      <c r="A84" s="498">
        <f>COUNTIF($C$27:$C$28,"Skema 1")+COUNTIF($C$27:$C$28,"Skema 2")+COUNTIF($C$27:$C$28,"Skema 3")+COUNTIF($C$27:$C$28,"Skema 4")+COUNTIF($C$27:$C$28,"Fagdag")+COUNTIF($C$27:$C$28,"Emnedag")+COUNTIF($C$27:$C$28,"Lejrskole")+COUNTIF($C$27:$C$28,"Ekskursion")+COUNTIF($C$27:$C$28,"Pæd.dag")</f>
        <v>0</v>
      </c>
      <c r="B84" s="498"/>
      <c r="C84" s="498"/>
      <c r="D84" s="498"/>
      <c r="E84" s="498"/>
      <c r="F84" s="498" t="s">
        <v>203</v>
      </c>
      <c r="G84" s="498">
        <f>COUNTIFS($B$9:$B$39,"on",[0]!Oktober,"Skema 4")</f>
        <v>0</v>
      </c>
      <c r="H84" s="490"/>
      <c r="I84" s="498"/>
      <c r="J84" s="503"/>
      <c r="K84" s="503"/>
      <c r="L84" s="503"/>
      <c r="M84" s="4"/>
      <c r="N84" s="4"/>
      <c r="O84" s="4"/>
      <c r="P84" s="4"/>
      <c r="R84">
        <f t="shared" si="63"/>
        <v>0</v>
      </c>
      <c r="V84">
        <f t="shared" si="64"/>
        <v>0</v>
      </c>
      <c r="Y84"/>
      <c r="Z84"/>
      <c r="AO84" s="1"/>
      <c r="BL84" s="1"/>
      <c r="BW84" s="244"/>
      <c r="BX84" s="244"/>
      <c r="CY84"/>
      <c r="CZ84"/>
    </row>
    <row r="85" spans="1:111" hidden="1">
      <c r="A85" s="498">
        <f>COUNTIF($C$34:$C$35,"Skema 1")+COUNTIF($C$34:$C$35,"Skema 2")+COUNTIF($C$34:$C$35,"Skema 3")+COUNTIF($C$34:$C$35,"Skema 4")+COUNTIF($C$34:$C$35,"Fagdag")+COUNTIF($C$34:$C$35,"Emnedag")+COUNTIF($C$34:$C$35,"Lejrskole")+COUNTIF($C$34:$C$35,"Ekskursion")+COUNTIF($C$34:$C$35,"Pæd.dag")</f>
        <v>0</v>
      </c>
      <c r="B85" s="498"/>
      <c r="C85" s="498"/>
      <c r="D85" s="498"/>
      <c r="E85" s="498"/>
      <c r="F85" s="498" t="s">
        <v>204</v>
      </c>
      <c r="G85" s="498">
        <f>COUNTIFS($B$9:$B$39,"to",[0]!Oktober,"Skema 4")</f>
        <v>0</v>
      </c>
      <c r="H85" s="490"/>
      <c r="I85" s="498"/>
      <c r="J85" s="503"/>
      <c r="K85" s="503"/>
      <c r="L85" s="503"/>
      <c r="M85" s="4"/>
      <c r="N85" s="4"/>
      <c r="O85" s="4"/>
      <c r="P85" s="4"/>
      <c r="R85">
        <f t="shared" si="63"/>
        <v>0</v>
      </c>
      <c r="V85">
        <f t="shared" si="64"/>
        <v>0</v>
      </c>
      <c r="Y85"/>
      <c r="Z85"/>
      <c r="AO85" s="1">
        <f>SUM(N85:AN85)</f>
        <v>0</v>
      </c>
      <c r="BL85" s="1">
        <f>SUM(AI85:BK85)</f>
        <v>0</v>
      </c>
      <c r="BW85" s="244"/>
      <c r="BX85" s="244"/>
      <c r="CY85"/>
      <c r="CZ85"/>
    </row>
    <row r="86" spans="1:111" hidden="1">
      <c r="A86" s="498"/>
      <c r="B86" s="498"/>
      <c r="C86" s="498"/>
      <c r="D86" s="498"/>
      <c r="E86" s="498"/>
      <c r="F86" s="498" t="s">
        <v>205</v>
      </c>
      <c r="G86" s="498">
        <f>COUNTIFS($B$9:$B$39,"fr",[0]!Oktober,"Skema 4")</f>
        <v>0</v>
      </c>
      <c r="H86" s="490"/>
      <c r="I86" s="490"/>
      <c r="J86" s="493"/>
      <c r="K86" s="493"/>
      <c r="L86" s="40"/>
      <c r="R86">
        <f t="shared" si="63"/>
        <v>0</v>
      </c>
      <c r="V86">
        <f t="shared" si="64"/>
        <v>0</v>
      </c>
      <c r="Y86"/>
      <c r="Z86"/>
      <c r="AO86" s="1">
        <f>SUM(N86:AN86)</f>
        <v>0</v>
      </c>
      <c r="BL86" s="1">
        <f>SUM(AI86:BK86)</f>
        <v>0</v>
      </c>
      <c r="BW86" s="244"/>
      <c r="BX86" s="244"/>
      <c r="CY86"/>
      <c r="CZ86"/>
    </row>
    <row r="87" spans="1:111" hidden="1">
      <c r="A87" s="498">
        <f>SUM(A82:A86)</f>
        <v>0</v>
      </c>
      <c r="B87" s="498"/>
      <c r="C87" s="498"/>
      <c r="D87" s="498"/>
      <c r="E87" s="498"/>
      <c r="F87" s="498"/>
      <c r="G87" s="511">
        <f>SUM(G64:G86)</f>
        <v>18</v>
      </c>
      <c r="H87" s="493"/>
      <c r="I87" s="490"/>
      <c r="J87" s="493"/>
      <c r="K87" s="493"/>
      <c r="L87" s="40"/>
      <c r="R87">
        <f t="shared" si="63"/>
        <v>0</v>
      </c>
      <c r="V87">
        <f t="shared" si="64"/>
        <v>0</v>
      </c>
      <c r="Y87"/>
      <c r="Z87"/>
      <c r="AO87" s="1">
        <f>SUM(N87:AN87)</f>
        <v>0</v>
      </c>
      <c r="BL87" s="1">
        <f>SUM(AI87:BK87)</f>
        <v>0</v>
      </c>
      <c r="BW87" s="244"/>
      <c r="BX87" s="244"/>
      <c r="CY87"/>
      <c r="CZ87"/>
    </row>
    <row r="88" spans="1:111" hidden="1">
      <c r="A88" s="503"/>
      <c r="B88" s="503"/>
      <c r="C88" s="503"/>
      <c r="D88" s="503"/>
      <c r="E88" s="498"/>
      <c r="F88" s="498"/>
      <c r="G88" s="498"/>
      <c r="H88" s="40"/>
      <c r="I88" s="493"/>
      <c r="J88" s="493"/>
      <c r="K88" s="493"/>
      <c r="L88" s="40"/>
      <c r="R88">
        <f t="shared" si="63"/>
        <v>0</v>
      </c>
      <c r="V88">
        <f t="shared" si="64"/>
        <v>0</v>
      </c>
      <c r="Y88"/>
      <c r="Z88"/>
      <c r="AO88" s="1">
        <f>SUM(N88:AN88)</f>
        <v>0</v>
      </c>
      <c r="BL88" s="1">
        <f>SUM(AI88:BK88)</f>
        <v>0</v>
      </c>
      <c r="BW88" s="244"/>
      <c r="BX88" s="244"/>
      <c r="CY88"/>
      <c r="CZ88"/>
    </row>
    <row r="89" spans="1:111" hidden="1">
      <c r="A89" s="503"/>
      <c r="B89" s="503"/>
      <c r="C89" s="503"/>
      <c r="D89" s="503"/>
      <c r="E89" s="498"/>
      <c r="F89" s="498"/>
      <c r="G89" s="498"/>
      <c r="H89" s="40"/>
      <c r="I89" s="40"/>
      <c r="J89" s="493"/>
      <c r="K89" s="493"/>
      <c r="L89" s="40"/>
      <c r="R89">
        <f t="shared" si="63"/>
        <v>0</v>
      </c>
      <c r="V89">
        <f t="shared" si="64"/>
        <v>0</v>
      </c>
      <c r="Y89"/>
      <c r="Z89"/>
      <c r="BW89" s="244"/>
      <c r="BX89" s="244"/>
      <c r="CY89"/>
      <c r="CZ89"/>
    </row>
    <row r="90" spans="1:111" hidden="1">
      <c r="A90" s="503"/>
      <c r="B90" s="503"/>
      <c r="C90" s="503"/>
      <c r="D90" s="503"/>
      <c r="E90" s="498"/>
      <c r="F90" s="498"/>
      <c r="G90" s="498"/>
      <c r="H90" s="40"/>
      <c r="I90" s="40"/>
      <c r="J90" s="40"/>
      <c r="K90" s="40"/>
      <c r="L90" s="40"/>
      <c r="R90">
        <f t="shared" si="63"/>
        <v>0</v>
      </c>
      <c r="V90">
        <f t="shared" si="64"/>
        <v>0</v>
      </c>
      <c r="Y90"/>
      <c r="Z90"/>
      <c r="BW90" s="244"/>
      <c r="BX90" s="244"/>
      <c r="CY90"/>
      <c r="CZ90"/>
    </row>
    <row r="91" spans="1:111" hidden="1">
      <c r="A91" s="503"/>
      <c r="B91" s="503"/>
      <c r="C91" s="503"/>
      <c r="D91" s="503"/>
      <c r="E91" s="498"/>
      <c r="F91" s="498"/>
      <c r="G91" s="498"/>
      <c r="H91" s="40"/>
      <c r="I91" s="40"/>
      <c r="J91" s="40"/>
      <c r="K91" s="40"/>
      <c r="L91" s="40"/>
      <c r="R91">
        <f t="shared" si="63"/>
        <v>0</v>
      </c>
      <c r="V91">
        <f t="shared" si="64"/>
        <v>0</v>
      </c>
      <c r="Y91"/>
      <c r="Z91"/>
      <c r="BW91" s="244"/>
      <c r="BX91" s="244"/>
      <c r="CY91"/>
      <c r="CZ91"/>
    </row>
    <row r="92" spans="1:111" hidden="1">
      <c r="A92" s="503"/>
      <c r="B92" s="503"/>
      <c r="C92" s="503"/>
      <c r="D92" s="503"/>
      <c r="E92" s="490"/>
      <c r="F92" s="490"/>
      <c r="G92" s="490"/>
      <c r="I92" s="40"/>
      <c r="J92" s="40"/>
      <c r="K92" s="40"/>
      <c r="L92" s="40"/>
      <c r="R92">
        <f t="shared" si="63"/>
        <v>0</v>
      </c>
      <c r="V92">
        <f t="shared" si="64"/>
        <v>0</v>
      </c>
      <c r="Y92"/>
      <c r="Z92"/>
      <c r="BW92" s="244"/>
      <c r="BX92" s="244"/>
      <c r="CY92"/>
      <c r="CZ92"/>
    </row>
    <row r="93" spans="1:111" hidden="1">
      <c r="A93" s="493"/>
      <c r="B93" s="493"/>
      <c r="C93" s="493"/>
      <c r="D93" s="493"/>
      <c r="E93" s="490"/>
      <c r="F93" s="490"/>
      <c r="G93" s="490"/>
      <c r="I93" s="40"/>
      <c r="J93" s="40"/>
      <c r="K93" s="40"/>
      <c r="L93" s="40"/>
      <c r="R93">
        <f t="shared" si="63"/>
        <v>0</v>
      </c>
      <c r="V93">
        <f t="shared" si="64"/>
        <v>0</v>
      </c>
      <c r="Y93"/>
      <c r="Z93"/>
      <c r="AF93" s="228"/>
      <c r="BW93" s="244"/>
      <c r="BX93" s="244"/>
      <c r="CY93"/>
      <c r="CZ93"/>
    </row>
    <row r="94" spans="1:111" hidden="1">
      <c r="A94" s="493"/>
      <c r="B94" s="493"/>
      <c r="C94" s="493"/>
      <c r="D94" s="493"/>
      <c r="E94" s="490"/>
      <c r="F94" s="490"/>
      <c r="G94" s="490"/>
      <c r="I94" s="40"/>
      <c r="J94" s="40"/>
      <c r="K94" s="40"/>
      <c r="L94" s="40"/>
      <c r="R94">
        <f t="shared" si="63"/>
        <v>0</v>
      </c>
      <c r="V94">
        <f t="shared" si="64"/>
        <v>0</v>
      </c>
      <c r="Y94"/>
      <c r="Z94"/>
      <c r="AD94" s="4"/>
      <c r="AE94" s="228"/>
      <c r="AF94" s="228"/>
      <c r="AG94" s="228"/>
      <c r="AH94" s="228"/>
      <c r="CY94"/>
      <c r="CZ94"/>
      <c r="DF94" s="244"/>
      <c r="DG94" s="244"/>
    </row>
    <row r="95" spans="1:111" hidden="1">
      <c r="A95" s="493"/>
      <c r="B95" s="493"/>
      <c r="C95" s="493"/>
      <c r="D95" s="493"/>
      <c r="E95" s="490"/>
      <c r="F95" s="490"/>
      <c r="G95" s="490"/>
      <c r="I95" s="40"/>
      <c r="J95" s="40"/>
      <c r="K95" s="40"/>
      <c r="L95" s="40"/>
      <c r="R95">
        <f t="shared" si="63"/>
        <v>0</v>
      </c>
      <c r="V95">
        <f t="shared" si="64"/>
        <v>0</v>
      </c>
      <c r="Y95"/>
      <c r="Z95"/>
      <c r="AD95" s="4"/>
      <c r="AE95" s="228"/>
      <c r="AG95" s="228"/>
      <c r="AH95" s="228"/>
      <c r="CY95"/>
      <c r="CZ95"/>
      <c r="DF95" s="244"/>
      <c r="DG95" s="244"/>
    </row>
    <row r="96" spans="1:111" hidden="1">
      <c r="A96" s="439"/>
      <c r="B96" s="439"/>
      <c r="C96" s="439"/>
      <c r="D96" s="439"/>
      <c r="E96" s="117"/>
      <c r="F96" s="117"/>
      <c r="G96" s="117"/>
      <c r="I96" s="40"/>
      <c r="J96" s="40"/>
      <c r="K96" s="40"/>
      <c r="L96" s="40"/>
      <c r="R96">
        <f t="shared" si="63"/>
        <v>0</v>
      </c>
      <c r="V96">
        <f t="shared" si="64"/>
        <v>0</v>
      </c>
    </row>
    <row r="97" spans="1:22" hidden="1">
      <c r="A97" s="439"/>
      <c r="B97" s="439"/>
      <c r="C97" s="439"/>
      <c r="D97" s="439"/>
      <c r="E97" s="117"/>
      <c r="F97" s="117"/>
      <c r="G97" s="117"/>
      <c r="I97" s="40"/>
      <c r="J97" s="40"/>
      <c r="K97" s="40"/>
      <c r="L97" s="40"/>
      <c r="R97">
        <f t="shared" si="63"/>
        <v>0</v>
      </c>
      <c r="V97">
        <f t="shared" si="64"/>
        <v>0</v>
      </c>
    </row>
    <row r="98" spans="1:22" hidden="1">
      <c r="A98" s="439"/>
      <c r="B98" s="439"/>
      <c r="C98" s="439"/>
      <c r="D98" s="439"/>
      <c r="E98" s="439"/>
      <c r="F98" s="439"/>
      <c r="G98" s="439"/>
      <c r="I98" s="40"/>
      <c r="J98" s="40"/>
      <c r="K98" s="40"/>
      <c r="L98" s="40"/>
      <c r="R98">
        <f t="shared" si="63"/>
        <v>0</v>
      </c>
      <c r="V98">
        <f t="shared" si="64"/>
        <v>0</v>
      </c>
    </row>
    <row r="99" spans="1:22" hidden="1">
      <c r="A99" s="439"/>
      <c r="B99" s="439"/>
      <c r="C99" s="439"/>
      <c r="D99" s="439"/>
      <c r="E99" s="439"/>
      <c r="F99" s="439"/>
      <c r="G99" s="439"/>
      <c r="I99" s="40"/>
      <c r="J99" s="40"/>
      <c r="K99" s="40"/>
      <c r="L99" s="40"/>
      <c r="R99">
        <f t="shared" si="63"/>
        <v>0</v>
      </c>
      <c r="V99">
        <f t="shared" si="64"/>
        <v>0</v>
      </c>
    </row>
    <row r="100" spans="1:22" hidden="1">
      <c r="A100" s="439"/>
      <c r="B100" s="439"/>
      <c r="C100" s="439"/>
      <c r="D100" s="439"/>
      <c r="E100" s="439"/>
      <c r="F100" s="439"/>
      <c r="G100" s="439"/>
      <c r="I100" s="40"/>
      <c r="J100" s="40"/>
      <c r="K100" s="40"/>
      <c r="L100" s="439"/>
      <c r="R100">
        <f t="shared" si="63"/>
        <v>0</v>
      </c>
      <c r="V100">
        <f t="shared" si="64"/>
        <v>0</v>
      </c>
    </row>
    <row r="101" spans="1:22" hidden="1">
      <c r="A101" s="439"/>
      <c r="B101" s="439"/>
      <c r="C101" s="439"/>
      <c r="D101" s="439"/>
      <c r="I101" s="40"/>
      <c r="J101" s="40"/>
      <c r="K101" s="40"/>
      <c r="L101" s="439"/>
      <c r="R101">
        <f t="shared" si="63"/>
        <v>0</v>
      </c>
      <c r="V101">
        <f t="shared" si="64"/>
        <v>0</v>
      </c>
    </row>
    <row r="102" spans="1:22" hidden="1">
      <c r="I102" s="40"/>
      <c r="J102" s="40"/>
      <c r="K102" s="40"/>
      <c r="L102" s="439"/>
      <c r="R102">
        <f t="shared" si="63"/>
        <v>0</v>
      </c>
      <c r="V102">
        <f t="shared" si="64"/>
        <v>0</v>
      </c>
    </row>
    <row r="103" spans="1:22" hidden="1">
      <c r="I103" s="439"/>
      <c r="J103" s="40"/>
      <c r="K103" s="40"/>
      <c r="L103" s="439"/>
      <c r="R103">
        <f t="shared" si="63"/>
        <v>0</v>
      </c>
      <c r="V103">
        <f t="shared" si="64"/>
        <v>0</v>
      </c>
    </row>
    <row r="104" spans="1:22" hidden="1">
      <c r="I104" s="439"/>
      <c r="J104" s="439"/>
      <c r="K104" s="439"/>
      <c r="L104" s="439"/>
      <c r="R104">
        <f t="shared" si="63"/>
        <v>0</v>
      </c>
      <c r="V104">
        <f t="shared" si="64"/>
        <v>0</v>
      </c>
    </row>
    <row r="105" spans="1:22" ht="17" hidden="1" thickBot="1">
      <c r="I105" s="439"/>
      <c r="J105" s="439"/>
      <c r="K105" s="439"/>
      <c r="L105" s="439"/>
      <c r="R105">
        <f t="shared" si="63"/>
        <v>0</v>
      </c>
      <c r="V105">
        <f t="shared" si="64"/>
        <v>0</v>
      </c>
    </row>
    <row r="106" spans="1:22" ht="17" hidden="1" thickBot="1">
      <c r="I106" s="439"/>
      <c r="J106" s="439"/>
      <c r="K106" s="439"/>
      <c r="L106" s="439"/>
      <c r="R106" s="684">
        <f>SUM(R75:R105)+FB40</f>
        <v>0</v>
      </c>
      <c r="V106">
        <f>SUM(V75:V105)</f>
        <v>0</v>
      </c>
    </row>
    <row r="107" spans="1:22" hidden="1">
      <c r="I107" s="439"/>
      <c r="J107" s="439"/>
      <c r="K107" s="439"/>
      <c r="L107" s="439"/>
    </row>
    <row r="108" spans="1:22" hidden="1"/>
  </sheetData>
  <sheetProtection sheet="1" objects="1" scenarios="1"/>
  <mergeCells count="174">
    <mergeCell ref="GB6:GC6"/>
    <mergeCell ref="FQ8:FR8"/>
    <mergeCell ref="DS8:DV8"/>
    <mergeCell ref="DZ8:EB8"/>
    <mergeCell ref="EG8:EI8"/>
    <mergeCell ref="EM8:EN8"/>
    <mergeCell ref="EQ8:ER8"/>
    <mergeCell ref="EU8:EV8"/>
    <mergeCell ref="FC8:FD8"/>
    <mergeCell ref="FG8:FH8"/>
    <mergeCell ref="FK8:FL8"/>
    <mergeCell ref="I49:K49"/>
    <mergeCell ref="A50:H50"/>
    <mergeCell ref="I50:K50"/>
    <mergeCell ref="A46:G46"/>
    <mergeCell ref="I46:K46"/>
    <mergeCell ref="FI3:GC3"/>
    <mergeCell ref="FI4:FL4"/>
    <mergeCell ref="FO4:FR4"/>
    <mergeCell ref="FI5:FR5"/>
    <mergeCell ref="DO6:DV6"/>
    <mergeCell ref="DW6:EB6"/>
    <mergeCell ref="EC6:EJ6"/>
    <mergeCell ref="EK6:EN6"/>
    <mergeCell ref="EO6:ER6"/>
    <mergeCell ref="ES6:EV6"/>
    <mergeCell ref="FA6:FD6"/>
    <mergeCell ref="FE6:FH6"/>
    <mergeCell ref="FI6:FL6"/>
    <mergeCell ref="FM6:FN6"/>
    <mergeCell ref="FO6:FR6"/>
    <mergeCell ref="FS6:FT6"/>
    <mergeCell ref="FV6:FW6"/>
    <mergeCell ref="FX6:FY6"/>
    <mergeCell ref="FZ6:GA6"/>
    <mergeCell ref="M42:X42"/>
    <mergeCell ref="M43:U43"/>
    <mergeCell ref="V43:X43"/>
    <mergeCell ref="M44:U44"/>
    <mergeCell ref="V44:X44"/>
    <mergeCell ref="M45:U45"/>
    <mergeCell ref="V45:X45"/>
    <mergeCell ref="M50:U50"/>
    <mergeCell ref="V50:X50"/>
    <mergeCell ref="M46:U46"/>
    <mergeCell ref="V46:X46"/>
    <mergeCell ref="M47:X47"/>
    <mergeCell ref="M48:U48"/>
    <mergeCell ref="V48:X48"/>
    <mergeCell ref="M49:U49"/>
    <mergeCell ref="V49:X49"/>
    <mergeCell ref="M51:U51"/>
    <mergeCell ref="V51:X51"/>
    <mergeCell ref="M52:U52"/>
    <mergeCell ref="V52:X52"/>
    <mergeCell ref="A53:G54"/>
    <mergeCell ref="I53:K53"/>
    <mergeCell ref="M53:U53"/>
    <mergeCell ref="V53:X53"/>
    <mergeCell ref="I54:K54"/>
    <mergeCell ref="A48:H48"/>
    <mergeCell ref="I48:K48"/>
    <mergeCell ref="A42:G42"/>
    <mergeCell ref="I42:K42"/>
    <mergeCell ref="A43:G43"/>
    <mergeCell ref="I43:K43"/>
    <mergeCell ref="A67:C67"/>
    <mergeCell ref="A65:C65"/>
    <mergeCell ref="A66:C66"/>
    <mergeCell ref="I51:K51"/>
    <mergeCell ref="A55:G55"/>
    <mergeCell ref="A56:K56"/>
    <mergeCell ref="A57:B57"/>
    <mergeCell ref="C57:D57"/>
    <mergeCell ref="E57:G57"/>
    <mergeCell ref="H57:K57"/>
    <mergeCell ref="A58:B58"/>
    <mergeCell ref="C58:D58"/>
    <mergeCell ref="E58:G58"/>
    <mergeCell ref="I58:K58"/>
    <mergeCell ref="A59:B59"/>
    <mergeCell ref="A62:G62"/>
    <mergeCell ref="I62:K62"/>
    <mergeCell ref="A49:H49"/>
    <mergeCell ref="E39:G39"/>
    <mergeCell ref="A40:I40"/>
    <mergeCell ref="E29:G29"/>
    <mergeCell ref="E30:G30"/>
    <mergeCell ref="E31:G31"/>
    <mergeCell ref="E33:G33"/>
    <mergeCell ref="E34:G34"/>
    <mergeCell ref="E35:G35"/>
    <mergeCell ref="A47:G47"/>
    <mergeCell ref="I47:K47"/>
    <mergeCell ref="A44:G44"/>
    <mergeCell ref="I44:K44"/>
    <mergeCell ref="A45:G45"/>
    <mergeCell ref="I45:K45"/>
    <mergeCell ref="E17:G17"/>
    <mergeCell ref="E18:G18"/>
    <mergeCell ref="E19:G19"/>
    <mergeCell ref="E20:G20"/>
    <mergeCell ref="E21:G21"/>
    <mergeCell ref="E22:G22"/>
    <mergeCell ref="E36:G36"/>
    <mergeCell ref="E37:G37"/>
    <mergeCell ref="E38:G38"/>
    <mergeCell ref="A61:B61"/>
    <mergeCell ref="C61:D61"/>
    <mergeCell ref="E61:G61"/>
    <mergeCell ref="I61:K61"/>
    <mergeCell ref="S5:X5"/>
    <mergeCell ref="B2:E2"/>
    <mergeCell ref="E4:G4"/>
    <mergeCell ref="K4:L4"/>
    <mergeCell ref="A5:R5"/>
    <mergeCell ref="P6:P7"/>
    <mergeCell ref="Q6:Q7"/>
    <mergeCell ref="R6:R7"/>
    <mergeCell ref="A4:D4"/>
    <mergeCell ref="A3:X3"/>
    <mergeCell ref="S6:X6"/>
    <mergeCell ref="E6:G8"/>
    <mergeCell ref="K6:L6"/>
    <mergeCell ref="N6:N7"/>
    <mergeCell ref="O6:O7"/>
    <mergeCell ref="E11:G11"/>
    <mergeCell ref="I8:J8"/>
    <mergeCell ref="I6:I7"/>
    <mergeCell ref="J6:J7"/>
    <mergeCell ref="S8:U8"/>
    <mergeCell ref="I55:K55"/>
    <mergeCell ref="C59:D59"/>
    <mergeCell ref="E59:G59"/>
    <mergeCell ref="I59:K59"/>
    <mergeCell ref="A60:B60"/>
    <mergeCell ref="C60:D60"/>
    <mergeCell ref="E60:G60"/>
    <mergeCell ref="I60:K60"/>
    <mergeCell ref="AG6:AK6"/>
    <mergeCell ref="V8:X8"/>
    <mergeCell ref="E12:G12"/>
    <mergeCell ref="E13:G13"/>
    <mergeCell ref="E14:G14"/>
    <mergeCell ref="E15:G15"/>
    <mergeCell ref="E16:G16"/>
    <mergeCell ref="K8:R8"/>
    <mergeCell ref="AA6:AE6"/>
    <mergeCell ref="E23:G23"/>
    <mergeCell ref="E24:G24"/>
    <mergeCell ref="E25:G25"/>
    <mergeCell ref="E26:G26"/>
    <mergeCell ref="E27:G27"/>
    <mergeCell ref="E28:G28"/>
    <mergeCell ref="E32:G32"/>
    <mergeCell ref="DA6:DE6"/>
    <mergeCell ref="A7:D8"/>
    <mergeCell ref="H7:H8"/>
    <mergeCell ref="E9:G9"/>
    <mergeCell ref="E10:G10"/>
    <mergeCell ref="BQ6:BU6"/>
    <mergeCell ref="BV6:BZ6"/>
    <mergeCell ref="EY8:EZ8"/>
    <mergeCell ref="EW6:EZ6"/>
    <mergeCell ref="CD6:CH6"/>
    <mergeCell ref="CI6:CM6"/>
    <mergeCell ref="CN6:CR6"/>
    <mergeCell ref="CS6:CW6"/>
    <mergeCell ref="AL6:AP6"/>
    <mergeCell ref="AQ6:AU6"/>
    <mergeCell ref="AV6:AZ6"/>
    <mergeCell ref="BC6:BF6"/>
    <mergeCell ref="BG6:BK6"/>
    <mergeCell ref="BL6:BP6"/>
  </mergeCells>
  <phoneticPr fontId="5" type="noConversion"/>
  <conditionalFormatting sqref="A9:H39">
    <cfRule type="expression" dxfId="784" priority="55">
      <formula>OR($C9="SH-dag")</formula>
    </cfRule>
    <cfRule type="expression" dxfId="783" priority="62" stopIfTrue="1">
      <formula>OR($C9="skoledag")</formula>
    </cfRule>
    <cfRule type="expression" dxfId="782" priority="61">
      <formula>OR($C9="weekend")</formula>
    </cfRule>
    <cfRule type="expression" dxfId="781" priority="7">
      <formula>OR($C9="Orlov")</formula>
    </cfRule>
    <cfRule type="expression" dxfId="780" priority="60">
      <formula>OR($C9="feriedag")</formula>
    </cfRule>
    <cfRule type="expression" dxfId="779" priority="59">
      <formula>OR($C9="fagdag")</formula>
    </cfRule>
    <cfRule type="expression" dxfId="778" priority="58">
      <formula>OR($C9="emnedag")</formula>
    </cfRule>
    <cfRule type="expression" dxfId="777" priority="57">
      <formula>OR($C9="lejrskole")</formula>
    </cfRule>
    <cfRule type="expression" dxfId="776" priority="56">
      <formula>OR($C9="ekskursion")</formula>
    </cfRule>
    <cfRule type="expression" dxfId="775" priority="54">
      <formula>OR($C9="nul-dag")</formula>
    </cfRule>
    <cfRule type="expression" dxfId="774" priority="53">
      <formula>OR($C9="pæd.dag")</formula>
    </cfRule>
    <cfRule type="expression" dxfId="773" priority="52">
      <formula>OR($C9="Ikke relevant")</formula>
    </cfRule>
    <cfRule type="expression" dxfId="772" priority="48">
      <formula>OR($C9="Skema 1")</formula>
    </cfRule>
    <cfRule type="expression" dxfId="771" priority="49">
      <formula>OR($C9="skema 2")</formula>
    </cfRule>
    <cfRule type="expression" dxfId="770" priority="50">
      <formula>OR($C9="Skema 3")</formula>
    </cfRule>
    <cfRule type="expression" dxfId="769" priority="51">
      <formula>OR($C9="Skema 4")</formula>
    </cfRule>
  </conditionalFormatting>
  <conditionalFormatting sqref="E20">
    <cfRule type="expression" dxfId="768" priority="64">
      <formula>OR($D19="nul-dag")</formula>
    </cfRule>
    <cfRule type="expression" dxfId="767" priority="65">
      <formula>OR($D19="SH-dag")</formula>
    </cfRule>
    <cfRule type="expression" dxfId="766" priority="66">
      <formula>OR($D19="ekskursion")</formula>
    </cfRule>
    <cfRule type="expression" dxfId="765" priority="63">
      <formula>OR($D19="pæd.dag")</formula>
    </cfRule>
    <cfRule type="expression" dxfId="764" priority="67">
      <formula>OR($D19="lejrskole")</formula>
    </cfRule>
    <cfRule type="expression" dxfId="763" priority="68">
      <formula>OR($D19="emnedag")</formula>
    </cfRule>
    <cfRule type="expression" dxfId="762" priority="69">
      <formula>OR($D19="fagdag")</formula>
    </cfRule>
    <cfRule type="expression" dxfId="761" priority="70">
      <formula>OR($D19="feriedag")</formula>
    </cfRule>
    <cfRule type="expression" dxfId="760" priority="71">
      <formula>OR($D19="weekend")</formula>
    </cfRule>
    <cfRule type="expression" dxfId="759" priority="72" stopIfTrue="1">
      <formula>OR($D19="skoledag")</formula>
    </cfRule>
    <cfRule type="expression" dxfId="758" priority="73">
      <formula>OR($D19="Ikke relevant")</formula>
    </cfRule>
  </conditionalFormatting>
  <conditionalFormatting sqref="H58:H61">
    <cfRule type="expression" dxfId="757" priority="1">
      <formula>OR($A58&gt;0,)</formula>
    </cfRule>
  </conditionalFormatting>
  <conditionalFormatting sqref="I58:I61">
    <cfRule type="expression" dxfId="756" priority="2">
      <formula>OR($C58&gt;0,)</formula>
    </cfRule>
  </conditionalFormatting>
  <conditionalFormatting sqref="K9:K39">
    <cfRule type="expression" dxfId="755" priority="45">
      <formula>OR($C9="Pæd.dag",)</formula>
    </cfRule>
  </conditionalFormatting>
  <conditionalFormatting sqref="K9:L39">
    <cfRule type="expression" dxfId="754" priority="47">
      <formula>OR($C9="Ekskursion",)</formula>
    </cfRule>
    <cfRule type="expression" dxfId="753" priority="46">
      <formula>OR($C9="Lejrskole",)</formula>
    </cfRule>
  </conditionalFormatting>
  <conditionalFormatting sqref="K9:M39">
    <cfRule type="expression" dxfId="752" priority="44">
      <formula>OR($C9="emnedag",)</formula>
    </cfRule>
    <cfRule type="expression" dxfId="751" priority="43">
      <formula>OR($C9="fagdag",)</formula>
    </cfRule>
  </conditionalFormatting>
  <conditionalFormatting sqref="R9:R39">
    <cfRule type="expression" dxfId="750" priority="74">
      <formula>OR($H9&gt;"0",)</formula>
    </cfRule>
  </conditionalFormatting>
  <conditionalFormatting sqref="V9:V39">
    <cfRule type="expression" dxfId="749" priority="10">
      <formula>OR($S9="X",)</formula>
    </cfRule>
  </conditionalFormatting>
  <conditionalFormatting sqref="V49:X52">
    <cfRule type="expression" dxfId="748" priority="3">
      <formula>OR($M49&gt;0,)</formula>
    </cfRule>
  </conditionalFormatting>
  <conditionalFormatting sqref="W9:W39">
    <cfRule type="expression" dxfId="747" priority="9">
      <formula>OR($T9="X",)</formula>
    </cfRule>
  </conditionalFormatting>
  <conditionalFormatting sqref="X9:X39">
    <cfRule type="expression" dxfId="746" priority="8">
      <formula>OR($U9="X",)</formula>
    </cfRule>
  </conditionalFormatting>
  <dataValidations count="3">
    <dataValidation type="list" allowBlank="1" showInputMessage="1" showErrorMessage="1" sqref="S9:T39 U9:U37 A58:D61" xr:uid="{ECCDBE0B-63A5-D941-A839-278727B57393}">
      <formula1>$W$1:$W$2</formula1>
    </dataValidation>
    <dataValidation type="list" allowBlank="1" showInputMessage="1" showErrorMessage="1" promptTitle="OBS:" prompt="Hvis kryds skal du sikre dig at weekenddagen er valgt som enten en fagdag, emnedag, lejrskoledag, ekskursionsdag eller pædagogisk dag. Du kan ikke vælge skema 1-4." sqref="I27:I28 I20:I21 I13:I14 I34:I35" xr:uid="{32F8270C-CA1A-9F41-822E-96F1713992C0}">
      <formula1>$W$1:$W$2</formula1>
    </dataValidation>
    <dataValidation type="list" allowBlank="1" showInputMessage="1" showErrorMessage="1" promptTitle="OBS:" prompt="Ved arrangementer med overnatning ydes istedet for ulempe- og weekendgodtgørelse på hhv. 25% og 50% faste tillæg pr. påbegyndt dag. " sqref="J9:J39" xr:uid="{E02F1D85-9CBE-FC4C-9228-6804B1F905AB}">
      <formula1>$W$1:$W$2</formula1>
    </dataValidation>
  </dataValidations>
  <pageMargins left="0.7" right="0.7" top="0.75" bottom="0.75" header="0.3" footer="0.3"/>
  <pageSetup paperSize="9" scale="59" orientation="landscape" horizontalDpi="0" verticalDpi="0"/>
  <legacyDrawing r:id="rId1"/>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August!$A$89:$A$103</xm:f>
          </x14:formula1>
          <xm:sqref>C9:C39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36</vt:i4>
      </vt:variant>
      <vt:variant>
        <vt:lpstr>Navngivne områder</vt:lpstr>
      </vt:variant>
      <vt:variant>
        <vt:i4>61</vt:i4>
      </vt:variant>
    </vt:vector>
  </HeadingPairs>
  <TitlesOfParts>
    <vt:vector size="97" baseType="lpstr">
      <vt:lpstr>Vejledning</vt:lpstr>
      <vt:lpstr>Ændringer i forhold til 23-24</vt:lpstr>
      <vt:lpstr>Gode råd til check</vt:lpstr>
      <vt:lpstr>Opgørelse af arbejdstiden</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Skemaoplysninger!Udskriftsområde</vt:lpstr>
      <vt:lpstr>Stamoplysninger!Udskriftsområde</vt:lpstr>
      <vt:lpstr>'TOMT 2. HALVÅR'!Udskriftsområde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2024-04-12T05:50:53Z</cp:lastPrinted>
  <dcterms:created xsi:type="dcterms:W3CDTF">2014-04-09T06:24:54Z</dcterms:created>
  <dcterms:modified xsi:type="dcterms:W3CDTF">2024-05-01T09:16:56Z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