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showInkAnnotation="0" autoCompressPictures="0"/>
  <mc:AlternateContent xmlns:mc="http://schemas.openxmlformats.org/markup-compatibility/2006">
    <mc:Choice Requires="x15">
      <x15ac:absPath xmlns:x15ac="http://schemas.microsoft.com/office/spreadsheetml/2010/11/ac" url="/Users/tove/Documents/Kurser/Budgetkursus/2026/nye skoler/"/>
    </mc:Choice>
  </mc:AlternateContent>
  <xr:revisionPtr revIDLastSave="0" documentId="8_{9B51F7EB-BA8F-8C49-B8F6-9A595BE878EA}" xr6:coauthVersionLast="47" xr6:coauthVersionMax="47" xr10:uidLastSave="{00000000-0000-0000-0000-000000000000}"/>
  <bookViews>
    <workbookView xWindow="0" yWindow="500" windowWidth="27940" windowHeight="17500" tabRatio="866" activeTab="4" xr2:uid="{00000000-000D-0000-FFFF-FFFF00000000}"/>
  </bookViews>
  <sheets>
    <sheet name="Start" sheetId="2" state="hidden" r:id="rId1"/>
    <sheet name="Vejledning" sheetId="24" r:id="rId2"/>
    <sheet name="Regnskabsdata" sheetId="22" r:id="rId3"/>
    <sheet name="Likviditet.1" sheetId="25" r:id="rId4"/>
    <sheet name="Budget" sheetId="4" r:id="rId5"/>
    <sheet name="1.Driftstilskud" sheetId="5" r:id="rId6"/>
    <sheet name="2.Oevrige Statstilskud" sheetId="6" r:id="rId7"/>
    <sheet name="3.Skolepenge" sheetId="7" r:id="rId8"/>
    <sheet name="4.Foraeldrebetaling,SFO" sheetId="8" r:id="rId9"/>
    <sheet name="5.Andre_Indt" sheetId="9" r:id="rId10"/>
    <sheet name="7.Loen,Uv" sheetId="10" r:id="rId11"/>
    <sheet name="8.Loen,SFO" sheetId="11" r:id="rId12"/>
    <sheet name="9.Uv." sheetId="12" r:id="rId13"/>
    <sheet name="10.SFOudg." sheetId="13" r:id="rId14"/>
    <sheet name="12.Ejd.loen" sheetId="14" r:id="rId15"/>
    <sheet name="13.Lokaleleje" sheetId="15" r:id="rId16"/>
    <sheet name="14.Ejendom" sheetId="16" r:id="rId17"/>
    <sheet name="20.Adm.loen" sheetId="17" r:id="rId18"/>
    <sheet name="21.Adm" sheetId="18" r:id="rId19"/>
    <sheet name="22.Dagtilbud" sheetId="20" r:id="rId20"/>
    <sheet name="Likviditet" sheetId="21" state="hidden" r:id="rId21"/>
  </sheets>
  <externalReferences>
    <externalReference r:id="rId22"/>
    <externalReference r:id="rId23"/>
  </externalReferences>
  <definedNames>
    <definedName name="budgetår">2017</definedName>
    <definedName name="data15">[1]Transp!$NV$4:$RF$495</definedName>
    <definedName name="elevtal" localSheetId="3">[2]Start!$A$5</definedName>
    <definedName name="elevtal">Start!$A$5</definedName>
    <definedName name="gruppe" localSheetId="3">#REF!</definedName>
    <definedName name="gruppe">#REF!</definedName>
    <definedName name="kolonne" localSheetId="3">[2]Statistik!$BN$2</definedName>
    <definedName name="kolonne">#REF!</definedName>
    <definedName name="mellemsmåDFLSReg1">[1]kriterier!$F$8:$J$10</definedName>
    <definedName name="mellemsmåDFLSReg2">[1]kriterier!$F$33:$J$35</definedName>
    <definedName name="mellemsmåDFLSReg3">[1]kriterier!$F$58:$J$60</definedName>
    <definedName name="mellemsmåDFLSReg4">[1]kriterier!$F$83:$J$85</definedName>
    <definedName name="mellemsmåDFLSReg5">[1]kriterier!$F$108:$J$110</definedName>
    <definedName name="mellemsmåDFLSReg6">[1]kriterier!$F$133:$J$135</definedName>
    <definedName name="mellemstoreDFLSReg1">[1]kriterier!$F$13:$J$15</definedName>
    <definedName name="mellemstoreDFLSReg2">[1]kriterier!$F$38:$J$40</definedName>
    <definedName name="mellemstoreDFLSReg3">[1]kriterier!$F$63:$J$65</definedName>
    <definedName name="mellemstoreDFLSReg4">[1]kriterier!$F$88:$J$90</definedName>
    <definedName name="mellemstoreDFLSReg5">[1]kriterier!$F$113:$J$115</definedName>
    <definedName name="mellemstoreDFLSReg6">[1]kriterier!$F$138:$J$140</definedName>
    <definedName name="opqsøg" localSheetId="3" hidden="1">{#N/A,#N/A,FALSE,"Månedsaktivitetsplan"}</definedName>
    <definedName name="opqsøg" hidden="1">{#N/A,#N/A,FALSE,"Månedsaktivitetsplan"}</definedName>
    <definedName name="opsøg" localSheetId="3" hidden="1">{#N/A,#N/A,FALSE,"Månedsaktivitetsplan"}</definedName>
    <definedName name="opsøg" hidden="1">{#N/A,#N/A,FALSE,"Månedsaktivitetsplan"}</definedName>
    <definedName name="reg" localSheetId="3">[2]Start!$A$9:$B$14</definedName>
    <definedName name="reg">Start!$A$9:$B$14</definedName>
    <definedName name="region" localSheetId="3">[2]Start!$A$16</definedName>
    <definedName name="region">Start!$A$16</definedName>
    <definedName name="småDFLSReg1">[1]kriterier!$F$3:$I$5</definedName>
    <definedName name="småDFLSReg2">[1]kriterier!$F$28:$I$30</definedName>
    <definedName name="småDFLSReg3">[1]kriterier!$F$53:$I$55</definedName>
    <definedName name="småDFLSReg4">[1]kriterier!$F$78:$I$80</definedName>
    <definedName name="småDFLSReg5">[1]kriterier!$F$98:$I$100</definedName>
    <definedName name="småDFLSReg6">[1]kriterier!$F$128:$I$130</definedName>
    <definedName name="storeDFLSReg1">[1]kriterier!$F$18:$J$20</definedName>
    <definedName name="storeDFLSReg2">[1]kriterier!$F$43:$J$45</definedName>
    <definedName name="storeDFLSReg3">[1]kriterier!$F$68:$J$70</definedName>
    <definedName name="storeDFLSReg4">[1]kriterier!$F$93:$J$95</definedName>
    <definedName name="storeDFLSReg5">[1]kriterier!$F$118:$J$120</definedName>
    <definedName name="storeDFLSReg6">[1]kriterier!$F$143:$J$145</definedName>
    <definedName name="str" localSheetId="3">#REF!</definedName>
    <definedName name="str">#REF!</definedName>
    <definedName name="stør" localSheetId="3">[2]Statistik!$BM$37:$BN$41</definedName>
    <definedName name="stør">#REF!</definedName>
    <definedName name="_xlnm.Print_Titles" localSheetId="2">Regnskabsdata!#REF!</definedName>
    <definedName name="wrn.Årsplan." localSheetId="3" hidden="1">{#N/A,#N/A,FALSE,"Månedsaktivitetsplan"}</definedName>
    <definedName name="wrn.Årsplan." hidden="1">{#N/A,#N/A,FALSE,"Månedsaktivitetsplan"}</definedName>
    <definedName name="XstoreDFLSReg1">[1]kriterier!$F$23:$I$25</definedName>
    <definedName name="XstoreDFLSReg2">[1]kriterier!$F$48:$I$50</definedName>
    <definedName name="XstoreDFLSReg3">[1]kriterier!$F$73:$I$75</definedName>
    <definedName name="XstoreDFLSReg4">[1]kriterier!$F$98:$I$100</definedName>
    <definedName name="XstoreDFLSReg5">[1]kriterier!$F$123:$I$125</definedName>
    <definedName name="XstoreDFLSReg6">[1]kriterier!$F$148:$I$150</definedName>
    <definedName name="aarstal" localSheetId="3">[2]Start!$A$1</definedName>
    <definedName name="aarstal">Start!$A$1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12" l="1"/>
  <c r="E27" i="11"/>
  <c r="E28" i="11"/>
  <c r="E29" i="11"/>
  <c r="E30" i="11"/>
  <c r="E26" i="11"/>
  <c r="M3" i="10" l="1"/>
  <c r="A38" i="6"/>
  <c r="A2" i="5"/>
  <c r="I1" i="25" l="1"/>
  <c r="D14" i="10"/>
  <c r="B9" i="6" l="1"/>
  <c r="B12" i="6" s="1"/>
  <c r="I24" i="25"/>
  <c r="P24" i="25"/>
  <c r="Q24" i="25" s="1"/>
  <c r="B59" i="25"/>
  <c r="C23" i="25"/>
  <c r="D23" i="25" s="1"/>
  <c r="E23" i="25" s="1"/>
  <c r="F23" i="25" s="1"/>
  <c r="G23" i="25" s="1"/>
  <c r="U35" i="25"/>
  <c r="H35" i="25"/>
  <c r="H34" i="25"/>
  <c r="U34" i="25"/>
  <c r="P28" i="25"/>
  <c r="Q28" i="25" s="1"/>
  <c r="R28" i="25" s="1"/>
  <c r="S28" i="25" s="1"/>
  <c r="T28" i="25" s="1"/>
  <c r="I28" i="25"/>
  <c r="J28" i="25" s="1"/>
  <c r="K28" i="25" s="1"/>
  <c r="L28" i="25" s="1"/>
  <c r="M28" i="25" s="1"/>
  <c r="N28" i="25" s="1"/>
  <c r="O28" i="25" s="1"/>
  <c r="C28" i="25"/>
  <c r="D28" i="25" s="1"/>
  <c r="E28" i="25" s="1"/>
  <c r="F28" i="25" s="1"/>
  <c r="G28" i="25" s="1"/>
  <c r="P23" i="25"/>
  <c r="Q23" i="25" s="1"/>
  <c r="R23" i="25" s="1"/>
  <c r="S23" i="25" s="1"/>
  <c r="T23" i="25" s="1"/>
  <c r="I23" i="25"/>
  <c r="J23" i="25" s="1"/>
  <c r="K23" i="25" s="1"/>
  <c r="L23" i="25" s="1"/>
  <c r="M23" i="25" s="1"/>
  <c r="N23" i="25" s="1"/>
  <c r="O23" i="25" s="1"/>
  <c r="C24" i="25"/>
  <c r="D24" i="25" s="1"/>
  <c r="E24" i="25" s="1"/>
  <c r="F24" i="25" s="1"/>
  <c r="E25" i="4"/>
  <c r="D25" i="4"/>
  <c r="E17" i="4"/>
  <c r="D17" i="4"/>
  <c r="I16" i="25"/>
  <c r="C16" i="25"/>
  <c r="D16" i="25" s="1"/>
  <c r="I33" i="25"/>
  <c r="J33" i="25" s="1"/>
  <c r="K33" i="25" s="1"/>
  <c r="L33" i="25" s="1"/>
  <c r="M33" i="25" s="1"/>
  <c r="N33" i="25" s="1"/>
  <c r="C33" i="25"/>
  <c r="D33" i="25" s="1"/>
  <c r="E33" i="25" s="1"/>
  <c r="F33" i="25" s="1"/>
  <c r="G33" i="25" s="1"/>
  <c r="I32" i="25"/>
  <c r="J32" i="25" s="1"/>
  <c r="K32" i="25" s="1"/>
  <c r="C32" i="25"/>
  <c r="D32" i="25" s="1"/>
  <c r="E32" i="25" s="1"/>
  <c r="F32" i="25" s="1"/>
  <c r="G32" i="25" s="1"/>
  <c r="I15" i="25"/>
  <c r="J15" i="25" s="1"/>
  <c r="K15" i="25" s="1"/>
  <c r="L15" i="25" s="1"/>
  <c r="M15" i="25" s="1"/>
  <c r="N15" i="25" s="1"/>
  <c r="O15" i="25" s="1"/>
  <c r="P15" i="25" s="1"/>
  <c r="Q15" i="25" s="1"/>
  <c r="R15" i="25" s="1"/>
  <c r="S15" i="25" s="1"/>
  <c r="T15" i="25" s="1"/>
  <c r="C15" i="25"/>
  <c r="I30" i="25"/>
  <c r="C30" i="25"/>
  <c r="D30" i="25" s="1"/>
  <c r="I31" i="25"/>
  <c r="C31" i="25"/>
  <c r="D31" i="25" s="1"/>
  <c r="E31" i="25" s="1"/>
  <c r="F31" i="25" s="1"/>
  <c r="G31" i="25" s="1"/>
  <c r="D16" i="10"/>
  <c r="U17" i="25"/>
  <c r="H17" i="25"/>
  <c r="U61" i="25"/>
  <c r="U60" i="25"/>
  <c r="U59" i="25"/>
  <c r="U58" i="25"/>
  <c r="U57" i="25"/>
  <c r="U55" i="25"/>
  <c r="D50" i="25"/>
  <c r="I48" i="25"/>
  <c r="A48" i="25"/>
  <c r="I47" i="25"/>
  <c r="A47" i="25"/>
  <c r="I46" i="25"/>
  <c r="A46" i="25"/>
  <c r="I45" i="25"/>
  <c r="A45" i="25"/>
  <c r="U42" i="25"/>
  <c r="U41" i="25"/>
  <c r="U37" i="25"/>
  <c r="H37" i="25"/>
  <c r="U20" i="25"/>
  <c r="H20" i="25"/>
  <c r="U19" i="25"/>
  <c r="H19" i="25"/>
  <c r="B13" i="6" l="1"/>
  <c r="T7" i="25" s="1"/>
  <c r="R24" i="25"/>
  <c r="H33" i="25"/>
  <c r="E16" i="25"/>
  <c r="F16" i="25" s="1"/>
  <c r="G16" i="25" s="1"/>
  <c r="H16" i="25"/>
  <c r="J16" i="25"/>
  <c r="K16" i="25" s="1"/>
  <c r="L16" i="25" s="1"/>
  <c r="M16" i="25" s="1"/>
  <c r="N16" i="25" s="1"/>
  <c r="O16" i="25" s="1"/>
  <c r="P16" i="25" s="1"/>
  <c r="Q16" i="25" s="1"/>
  <c r="R16" i="25" s="1"/>
  <c r="S16" i="25" s="1"/>
  <c r="T16" i="25" s="1"/>
  <c r="O33" i="25"/>
  <c r="L32" i="25"/>
  <c r="H32" i="25"/>
  <c r="D15" i="25"/>
  <c r="E15" i="25" s="1"/>
  <c r="F15" i="25" s="1"/>
  <c r="G15" i="25" s="1"/>
  <c r="U15" i="25"/>
  <c r="E30" i="25"/>
  <c r="F30" i="25" s="1"/>
  <c r="G30" i="25" s="1"/>
  <c r="H30" i="25"/>
  <c r="J30" i="25"/>
  <c r="K30" i="25" s="1"/>
  <c r="L30" i="25" s="1"/>
  <c r="M30" i="25" s="1"/>
  <c r="N30" i="25" s="1"/>
  <c r="O30" i="25" s="1"/>
  <c r="P30" i="25" s="1"/>
  <c r="Q30" i="25" s="1"/>
  <c r="R30" i="25" s="1"/>
  <c r="S30" i="25" s="1"/>
  <c r="T30" i="25" s="1"/>
  <c r="J31" i="25"/>
  <c r="G24" i="25"/>
  <c r="H24" i="25" s="1"/>
  <c r="U28" i="25"/>
  <c r="J24" i="25"/>
  <c r="H31" i="25"/>
  <c r="H28" i="25"/>
  <c r="D62" i="25" l="1"/>
  <c r="K46" i="25"/>
  <c r="K24" i="25"/>
  <c r="S24" i="25"/>
  <c r="U16" i="25"/>
  <c r="P33" i="25"/>
  <c r="M32" i="25"/>
  <c r="H15" i="25"/>
  <c r="U30" i="25"/>
  <c r="K31" i="25"/>
  <c r="L31" i="25" s="1"/>
  <c r="M31" i="25" s="1"/>
  <c r="N31" i="25" s="1"/>
  <c r="O31" i="25" s="1"/>
  <c r="P31" i="25" s="1"/>
  <c r="Q31" i="25" s="1"/>
  <c r="R31" i="25" s="1"/>
  <c r="S31" i="25" s="1"/>
  <c r="T31" i="25" s="1"/>
  <c r="H23" i="25"/>
  <c r="U23" i="25"/>
  <c r="L24" i="25" l="1"/>
  <c r="T24" i="25"/>
  <c r="Q33" i="25"/>
  <c r="N32" i="25"/>
  <c r="U31" i="25"/>
  <c r="M24" i="25" l="1"/>
  <c r="R33" i="25"/>
  <c r="O32" i="25"/>
  <c r="N24" i="25" l="1"/>
  <c r="S33" i="25"/>
  <c r="P32" i="25"/>
  <c r="O24" i="25" l="1"/>
  <c r="U24" i="25" s="1"/>
  <c r="T33" i="25"/>
  <c r="U33" i="25" s="1"/>
  <c r="Q32" i="25"/>
  <c r="R32" i="25" l="1"/>
  <c r="S32" i="25" l="1"/>
  <c r="T32" i="25" l="1"/>
  <c r="U32" i="25" l="1"/>
  <c r="F24" i="4" l="1"/>
  <c r="C4" i="4"/>
  <c r="E4" i="4" s="1"/>
  <c r="F39" i="4"/>
  <c r="D40" i="4"/>
  <c r="E40" i="4"/>
  <c r="C40" i="4"/>
  <c r="E39" i="4"/>
  <c r="D39" i="4"/>
  <c r="C39" i="4"/>
  <c r="E38" i="4"/>
  <c r="D38" i="4"/>
  <c r="C38" i="4"/>
  <c r="C25" i="4"/>
  <c r="E20" i="4"/>
  <c r="D20" i="4"/>
  <c r="C20" i="4"/>
  <c r="D7" i="16"/>
  <c r="E19" i="4" s="1"/>
  <c r="E18" i="4"/>
  <c r="D18" i="4"/>
  <c r="C18" i="4"/>
  <c r="B4" i="15"/>
  <c r="C4" i="15" s="1"/>
  <c r="D4" i="15" s="1"/>
  <c r="C17" i="4"/>
  <c r="A5" i="2"/>
  <c r="D19" i="4" l="1"/>
  <c r="D4" i="4"/>
  <c r="F4" i="4" s="1"/>
  <c r="A5" i="5" l="1"/>
  <c r="M84" i="22"/>
  <c r="L84" i="22"/>
  <c r="K84" i="22"/>
  <c r="J84" i="22"/>
  <c r="I84" i="22"/>
  <c r="H84" i="22"/>
  <c r="G84" i="22"/>
  <c r="F84" i="22"/>
  <c r="E84" i="22"/>
  <c r="M312" i="22"/>
  <c r="L312" i="22"/>
  <c r="K312" i="22"/>
  <c r="J312" i="22"/>
  <c r="I312" i="22"/>
  <c r="H312" i="22"/>
  <c r="G312" i="22"/>
  <c r="F312" i="22"/>
  <c r="E312" i="22"/>
  <c r="M282" i="22"/>
  <c r="L282" i="22"/>
  <c r="K282" i="22"/>
  <c r="J282" i="22"/>
  <c r="I282" i="22"/>
  <c r="H282" i="22"/>
  <c r="G282" i="22"/>
  <c r="F282" i="22"/>
  <c r="E282" i="22"/>
  <c r="M254" i="22"/>
  <c r="L254" i="22"/>
  <c r="K254" i="22"/>
  <c r="J254" i="22"/>
  <c r="I254" i="22"/>
  <c r="H254" i="22"/>
  <c r="G254" i="22"/>
  <c r="F254" i="22"/>
  <c r="E254" i="22"/>
  <c r="M222" i="22"/>
  <c r="L222" i="22"/>
  <c r="K222" i="22"/>
  <c r="J222" i="22"/>
  <c r="I222" i="22"/>
  <c r="H222" i="22"/>
  <c r="G222" i="22"/>
  <c r="F222" i="22"/>
  <c r="E222" i="22"/>
  <c r="M196" i="22"/>
  <c r="L196" i="22"/>
  <c r="K196" i="22"/>
  <c r="J196" i="22"/>
  <c r="I196" i="22"/>
  <c r="H196" i="22"/>
  <c r="G196" i="22"/>
  <c r="F196" i="22"/>
  <c r="E196" i="22"/>
  <c r="M144" i="22"/>
  <c r="M145" i="22" s="1"/>
  <c r="L144" i="22"/>
  <c r="L145" i="22" s="1"/>
  <c r="K144" i="22"/>
  <c r="K145" i="22" s="1"/>
  <c r="J144" i="22"/>
  <c r="J145" i="22" s="1"/>
  <c r="I144" i="22"/>
  <c r="H144" i="22"/>
  <c r="H145" i="22" s="1"/>
  <c r="G144" i="22"/>
  <c r="G145" i="22" s="1"/>
  <c r="F144" i="22"/>
  <c r="F145" i="22" s="1"/>
  <c r="E144" i="22"/>
  <c r="E145" i="22" s="1"/>
  <c r="M129" i="22"/>
  <c r="L129" i="22"/>
  <c r="K129" i="22"/>
  <c r="J129" i="22"/>
  <c r="I129" i="22"/>
  <c r="H129" i="22"/>
  <c r="G129" i="22"/>
  <c r="F129" i="22"/>
  <c r="E129" i="22"/>
  <c r="M92" i="22"/>
  <c r="L92" i="22"/>
  <c r="K92" i="22"/>
  <c r="J92" i="22"/>
  <c r="I92" i="22"/>
  <c r="H92" i="22"/>
  <c r="G92" i="22"/>
  <c r="F92" i="22"/>
  <c r="E92" i="22"/>
  <c r="M68" i="22"/>
  <c r="L68" i="22"/>
  <c r="K68" i="22"/>
  <c r="J68" i="22"/>
  <c r="I68" i="22"/>
  <c r="H68" i="22"/>
  <c r="G68" i="22"/>
  <c r="F68" i="22"/>
  <c r="E68" i="22"/>
  <c r="M39" i="22"/>
  <c r="L39" i="22"/>
  <c r="K39" i="22"/>
  <c r="J39" i="22"/>
  <c r="I39" i="22"/>
  <c r="H39" i="22"/>
  <c r="G39" i="22"/>
  <c r="F39" i="22"/>
  <c r="E39" i="22"/>
  <c r="B17" i="6"/>
  <c r="E22" i="21"/>
  <c r="R10" i="21"/>
  <c r="S10" i="21"/>
  <c r="T10" i="21"/>
  <c r="U10" i="21"/>
  <c r="Q10" i="21"/>
  <c r="J33" i="21"/>
  <c r="J34" i="21"/>
  <c r="J35" i="21"/>
  <c r="J32" i="21"/>
  <c r="M11" i="21"/>
  <c r="L36" i="21" s="1"/>
  <c r="A33" i="21"/>
  <c r="A34" i="21"/>
  <c r="A35" i="21"/>
  <c r="A32" i="21"/>
  <c r="D22" i="21"/>
  <c r="C22" i="21"/>
  <c r="G22" i="21" l="1"/>
  <c r="F22" i="21"/>
  <c r="B11" i="21" l="1"/>
  <c r="C36" i="21" s="1"/>
  <c r="M12" i="21"/>
  <c r="B12" i="21"/>
  <c r="J10" i="21" l="1"/>
  <c r="G10" i="21"/>
  <c r="M10" i="21"/>
  <c r="N10" i="21"/>
  <c r="O10" i="21"/>
  <c r="D10" i="21"/>
  <c r="E10" i="21"/>
  <c r="K10" i="21"/>
  <c r="F10" i="21"/>
  <c r="L10" i="21"/>
  <c r="C10" i="21"/>
  <c r="B32" i="6"/>
  <c r="H10" i="21" l="1"/>
  <c r="V10" i="21"/>
  <c r="B25" i="21" l="1"/>
  <c r="J22" i="21"/>
  <c r="H22" i="21"/>
  <c r="D18" i="21"/>
  <c r="E18" i="21"/>
  <c r="F18" i="21"/>
  <c r="G18" i="21"/>
  <c r="J18" i="21" s="1"/>
  <c r="K18" i="21" s="1"/>
  <c r="L18" i="21" s="1"/>
  <c r="M18" i="21" s="1"/>
  <c r="N18" i="21" s="1"/>
  <c r="O18" i="21" s="1"/>
  <c r="P18" i="21" s="1"/>
  <c r="Q18" i="21" s="1"/>
  <c r="R18" i="21" s="1"/>
  <c r="S18" i="21" s="1"/>
  <c r="T18" i="21" s="1"/>
  <c r="U18" i="21" s="1"/>
  <c r="C18" i="21"/>
  <c r="V11" i="21"/>
  <c r="V12" i="21"/>
  <c r="V14" i="21"/>
  <c r="V15" i="21"/>
  <c r="V26" i="21"/>
  <c r="V28" i="21"/>
  <c r="V29" i="21"/>
  <c r="V41" i="21"/>
  <c r="V42" i="21"/>
  <c r="V43" i="21"/>
  <c r="V44" i="21"/>
  <c r="V45" i="21"/>
  <c r="V46" i="21"/>
  <c r="V47" i="21"/>
  <c r="H14" i="21"/>
  <c r="H15" i="21"/>
  <c r="H26" i="21"/>
  <c r="H28" i="21"/>
  <c r="H29" i="21"/>
  <c r="H12" i="21"/>
  <c r="H11" i="21"/>
  <c r="E34" i="11"/>
  <c r="G14" i="10"/>
  <c r="B13" i="21" l="1"/>
  <c r="C2" i="21" s="1"/>
  <c r="K22" i="21"/>
  <c r="L22" i="21" s="1"/>
  <c r="M22" i="21" s="1"/>
  <c r="N22" i="21" s="1"/>
  <c r="O22" i="21" s="1"/>
  <c r="P22" i="21" s="1"/>
  <c r="Q22" i="21" s="1"/>
  <c r="R22" i="21" s="1"/>
  <c r="S22" i="21" s="1"/>
  <c r="T22" i="21" s="1"/>
  <c r="U22" i="21" s="1"/>
  <c r="H18" i="21"/>
  <c r="V18" i="21"/>
  <c r="A34" i="6"/>
  <c r="A33" i="6"/>
  <c r="E39" i="6"/>
  <c r="E38" i="6"/>
  <c r="E37" i="6"/>
  <c r="A39" i="6"/>
  <c r="A40" i="6"/>
  <c r="E40" i="6"/>
  <c r="A27" i="6"/>
  <c r="B33" i="6"/>
  <c r="E11" i="25" l="1"/>
  <c r="F11" i="25"/>
  <c r="B27" i="21"/>
  <c r="V22" i="21"/>
  <c r="B34" i="6"/>
  <c r="G11" i="25" s="1"/>
  <c r="E41" i="6"/>
  <c r="I11" i="25" l="1"/>
  <c r="C49" i="25"/>
  <c r="D49" i="25" s="1"/>
  <c r="H11" i="25"/>
  <c r="J11" i="25"/>
  <c r="K11" i="25" s="1"/>
  <c r="L11" i="25" s="1"/>
  <c r="M11" i="25" s="1"/>
  <c r="N11" i="25" s="1"/>
  <c r="O11" i="25" s="1"/>
  <c r="P11" i="25" s="1"/>
  <c r="Q11" i="25" s="1"/>
  <c r="R11" i="25" s="1"/>
  <c r="S11" i="25" s="1"/>
  <c r="T11" i="25" s="1"/>
  <c r="U11" i="25" l="1"/>
  <c r="B19" i="5"/>
  <c r="C26" i="5" s="1"/>
  <c r="G16" i="20"/>
  <c r="N6" i="10"/>
  <c r="M6" i="10"/>
  <c r="E35" i="20"/>
  <c r="E47" i="20"/>
  <c r="E59" i="20"/>
  <c r="E65" i="20"/>
  <c r="E76" i="20"/>
  <c r="E86" i="20"/>
  <c r="E97" i="20"/>
  <c r="E99" i="20" s="1"/>
  <c r="E6" i="20"/>
  <c r="E10" i="20"/>
  <c r="E88" i="20"/>
  <c r="D88" i="20"/>
  <c r="E78" i="20"/>
  <c r="D78" i="20"/>
  <c r="E67" i="20"/>
  <c r="D67" i="20"/>
  <c r="E61" i="20"/>
  <c r="D61" i="20"/>
  <c r="E49" i="20"/>
  <c r="D49" i="20"/>
  <c r="E37" i="20"/>
  <c r="E21" i="20"/>
  <c r="E25" i="20"/>
  <c r="D25" i="20"/>
  <c r="D21" i="20"/>
  <c r="D10" i="20"/>
  <c r="D6" i="20"/>
  <c r="D14" i="20" s="1"/>
  <c r="D35" i="20"/>
  <c r="D47" i="20"/>
  <c r="D59" i="20"/>
  <c r="D65" i="20"/>
  <c r="D76" i="20"/>
  <c r="J7" i="20" s="1"/>
  <c r="D86" i="20"/>
  <c r="D99" i="20"/>
  <c r="D37" i="20"/>
  <c r="E31" i="20"/>
  <c r="D31" i="20"/>
  <c r="E17" i="20"/>
  <c r="D17" i="20"/>
  <c r="E2" i="20"/>
  <c r="D2" i="20"/>
  <c r="K22" i="20"/>
  <c r="K35" i="20" s="1"/>
  <c r="K33" i="20"/>
  <c r="E28" i="20"/>
  <c r="D28" i="20"/>
  <c r="E13" i="20"/>
  <c r="D13" i="20"/>
  <c r="I5" i="20"/>
  <c r="I6" i="20" s="1"/>
  <c r="I7" i="20" s="1"/>
  <c r="B36" i="11"/>
  <c r="B35" i="11"/>
  <c r="B34" i="11"/>
  <c r="A5" i="10"/>
  <c r="A27" i="5"/>
  <c r="A9" i="5"/>
  <c r="A7" i="5"/>
  <c r="A3" i="5"/>
  <c r="A9" i="6"/>
  <c r="A8" i="6"/>
  <c r="B44" i="5"/>
  <c r="B43" i="5"/>
  <c r="B42" i="5"/>
  <c r="B41" i="5"/>
  <c r="B40" i="5"/>
  <c r="E8" i="8"/>
  <c r="E15" i="8"/>
  <c r="E22" i="8"/>
  <c r="B22" i="11" s="1"/>
  <c r="C22" i="11" s="1"/>
  <c r="A21" i="11"/>
  <c r="G17" i="8"/>
  <c r="G10" i="8"/>
  <c r="G3" i="8"/>
  <c r="A11" i="5"/>
  <c r="D19" i="13"/>
  <c r="D20" i="8"/>
  <c r="G20" i="8" s="1"/>
  <c r="G22" i="8" s="1"/>
  <c r="P13" i="25" s="1"/>
  <c r="D21" i="8"/>
  <c r="G21" i="8" s="1"/>
  <c r="D13" i="8"/>
  <c r="G13" i="8" s="1"/>
  <c r="D14" i="8"/>
  <c r="G14" i="8" s="1"/>
  <c r="C19" i="13"/>
  <c r="C15" i="4" s="1"/>
  <c r="C26" i="25" s="1"/>
  <c r="D6" i="8"/>
  <c r="G6" i="8" s="1"/>
  <c r="D7" i="8"/>
  <c r="G7" i="8" s="1"/>
  <c r="B23" i="2"/>
  <c r="B22" i="2"/>
  <c r="B21" i="2"/>
  <c r="B20" i="2"/>
  <c r="B19" i="2"/>
  <c r="B18" i="2"/>
  <c r="A4" i="10"/>
  <c r="B36" i="5"/>
  <c r="E9" i="10"/>
  <c r="E15" i="10" s="1"/>
  <c r="D27" i="16"/>
  <c r="D20" i="16"/>
  <c r="C27" i="16"/>
  <c r="C22" i="4" s="1"/>
  <c r="C20" i="16"/>
  <c r="C7" i="16"/>
  <c r="C19" i="4" s="1"/>
  <c r="L33" i="21"/>
  <c r="B16" i="5"/>
  <c r="B20" i="6" s="1"/>
  <c r="B11" i="6"/>
  <c r="C7" i="4" s="1"/>
  <c r="D25" i="18"/>
  <c r="C25" i="18"/>
  <c r="C26" i="4" s="1"/>
  <c r="C29" i="25" s="1"/>
  <c r="C3" i="18"/>
  <c r="D3" i="18" s="1"/>
  <c r="B26" i="18" s="1"/>
  <c r="D4" i="17"/>
  <c r="C4" i="17"/>
  <c r="B4" i="17"/>
  <c r="C23" i="16"/>
  <c r="D23" i="16" s="1"/>
  <c r="C3" i="16"/>
  <c r="D3" i="16" s="1"/>
  <c r="B12" i="16" s="1"/>
  <c r="C14" i="16"/>
  <c r="D14" i="16" s="1"/>
  <c r="C10" i="16"/>
  <c r="D10" i="16" s="1"/>
  <c r="C16" i="5"/>
  <c r="D3" i="15"/>
  <c r="C3" i="15"/>
  <c r="B3" i="15"/>
  <c r="D5" i="14"/>
  <c r="C5" i="14"/>
  <c r="B5" i="14"/>
  <c r="E13" i="10"/>
  <c r="C3" i="13"/>
  <c r="D3" i="13" s="1"/>
  <c r="B20" i="13" s="1"/>
  <c r="C3" i="12"/>
  <c r="D3" i="12" s="1"/>
  <c r="B20" i="12" s="1"/>
  <c r="D19" i="12"/>
  <c r="C19" i="12"/>
  <c r="C14" i="4" s="1"/>
  <c r="C25" i="25" s="1"/>
  <c r="A12" i="11"/>
  <c r="A7" i="11"/>
  <c r="A22" i="11"/>
  <c r="A12" i="10"/>
  <c r="D9" i="10"/>
  <c r="B16" i="10"/>
  <c r="B15" i="10"/>
  <c r="B14" i="10"/>
  <c r="C2" i="9"/>
  <c r="D2" i="9" s="1"/>
  <c r="B19" i="9" s="1"/>
  <c r="G2" i="7"/>
  <c r="G10" i="7" s="1"/>
  <c r="G18" i="7" s="1"/>
  <c r="A21" i="6"/>
  <c r="A20" i="6"/>
  <c r="A19" i="6"/>
  <c r="A17" i="6"/>
  <c r="A16" i="6"/>
  <c r="A13" i="6"/>
  <c r="A12" i="6"/>
  <c r="A11" i="6"/>
  <c r="A6" i="6"/>
  <c r="A4" i="6"/>
  <c r="A49" i="5"/>
  <c r="A47" i="5"/>
  <c r="A45" i="5"/>
  <c r="A38" i="5"/>
  <c r="A35" i="5"/>
  <c r="A34" i="5"/>
  <c r="A33" i="5"/>
  <c r="A31" i="5"/>
  <c r="A29" i="5"/>
  <c r="A15" i="5"/>
  <c r="A14" i="5"/>
  <c r="A13" i="5"/>
  <c r="A12" i="5"/>
  <c r="N3" i="10"/>
  <c r="A7" i="10"/>
  <c r="M5" i="10"/>
  <c r="N5" i="10"/>
  <c r="N4" i="10"/>
  <c r="M4" i="10"/>
  <c r="C18" i="9"/>
  <c r="D5" i="7"/>
  <c r="G5" i="7" s="1"/>
  <c r="D6" i="7"/>
  <c r="G6" i="7" s="1"/>
  <c r="D7" i="7"/>
  <c r="G7" i="7" s="1"/>
  <c r="B8" i="5"/>
  <c r="B9" i="5" s="1"/>
  <c r="D18" i="9"/>
  <c r="I14" i="25" s="1"/>
  <c r="H22" i="8"/>
  <c r="H15" i="8"/>
  <c r="H8" i="8"/>
  <c r="D21" i="7"/>
  <c r="G21" i="7" s="1"/>
  <c r="D22" i="7"/>
  <c r="G22" i="7" s="1"/>
  <c r="D23" i="7"/>
  <c r="G23" i="7" s="1"/>
  <c r="D13" i="7"/>
  <c r="G13" i="7" s="1"/>
  <c r="D14" i="7"/>
  <c r="G14" i="7" s="1"/>
  <c r="D15" i="7"/>
  <c r="G15" i="7" s="1"/>
  <c r="E24" i="7"/>
  <c r="E16" i="7"/>
  <c r="E8" i="7"/>
  <c r="H21" i="7"/>
  <c r="H22" i="7"/>
  <c r="H23" i="7"/>
  <c r="H13" i="7"/>
  <c r="H14" i="7"/>
  <c r="H15" i="7"/>
  <c r="H5" i="7"/>
  <c r="H6" i="7"/>
  <c r="H7" i="7"/>
  <c r="C6" i="4" l="1"/>
  <c r="E5" i="25"/>
  <c r="F5" i="25"/>
  <c r="E22" i="4"/>
  <c r="D22" i="4"/>
  <c r="E9" i="4"/>
  <c r="E26" i="4"/>
  <c r="D26" i="4"/>
  <c r="D29" i="25"/>
  <c r="E29" i="25" s="1"/>
  <c r="F29" i="25" s="1"/>
  <c r="G29" i="25" s="1"/>
  <c r="I27" i="25"/>
  <c r="D21" i="4"/>
  <c r="E21" i="4"/>
  <c r="E23" i="4" s="1"/>
  <c r="C27" i="25"/>
  <c r="C21" i="4"/>
  <c r="E15" i="4"/>
  <c r="P26" i="25" s="1"/>
  <c r="Q26" i="25" s="1"/>
  <c r="R26" i="25" s="1"/>
  <c r="S26" i="25" s="1"/>
  <c r="T26" i="25" s="1"/>
  <c r="D15" i="4"/>
  <c r="I26" i="25" s="1"/>
  <c r="D26" i="25"/>
  <c r="E26" i="25" s="1"/>
  <c r="F26" i="25" s="1"/>
  <c r="G26" i="25" s="1"/>
  <c r="E14" i="4"/>
  <c r="P25" i="25" s="1"/>
  <c r="D14" i="4"/>
  <c r="I25" i="25" s="1"/>
  <c r="D25" i="25"/>
  <c r="E25" i="25" s="1"/>
  <c r="F25" i="25" s="1"/>
  <c r="G25" i="25" s="1"/>
  <c r="J14" i="25"/>
  <c r="K14" i="25" s="1"/>
  <c r="L14" i="25" s="1"/>
  <c r="M14" i="25" s="1"/>
  <c r="N14" i="25" s="1"/>
  <c r="O14" i="25" s="1"/>
  <c r="P14" i="25" s="1"/>
  <c r="Q14" i="25" s="1"/>
  <c r="R14" i="25" s="1"/>
  <c r="S14" i="25" s="1"/>
  <c r="T14" i="25" s="1"/>
  <c r="C10" i="4"/>
  <c r="C14" i="25"/>
  <c r="G6" i="21"/>
  <c r="C34" i="21" s="1"/>
  <c r="G9" i="25"/>
  <c r="E5" i="21"/>
  <c r="F5" i="21" s="1"/>
  <c r="E7" i="25"/>
  <c r="F7" i="25" s="1"/>
  <c r="E10" i="4"/>
  <c r="D10" i="4"/>
  <c r="G21" i="21"/>
  <c r="C21" i="21"/>
  <c r="D21" i="21"/>
  <c r="E21" i="21"/>
  <c r="F21" i="21"/>
  <c r="E20" i="21"/>
  <c r="F20" i="21"/>
  <c r="D20" i="21"/>
  <c r="G20" i="21"/>
  <c r="C20" i="21"/>
  <c r="G5" i="21"/>
  <c r="J5" i="21" s="1"/>
  <c r="Q23" i="21"/>
  <c r="N23" i="21"/>
  <c r="P23" i="21"/>
  <c r="R23" i="21"/>
  <c r="U23" i="21"/>
  <c r="K23" i="21"/>
  <c r="S23" i="21"/>
  <c r="L23" i="21"/>
  <c r="T23" i="21"/>
  <c r="M23" i="21"/>
  <c r="O23" i="21"/>
  <c r="F23" i="21"/>
  <c r="G23" i="21"/>
  <c r="D23" i="21"/>
  <c r="C23" i="21"/>
  <c r="E23" i="21"/>
  <c r="M19" i="21"/>
  <c r="U19" i="21"/>
  <c r="J19" i="21"/>
  <c r="O19" i="21"/>
  <c r="N19" i="21"/>
  <c r="Q19" i="21"/>
  <c r="S19" i="21"/>
  <c r="L19" i="21"/>
  <c r="T19" i="21"/>
  <c r="P19" i="21"/>
  <c r="R19" i="21"/>
  <c r="K19" i="21"/>
  <c r="D19" i="21"/>
  <c r="F19" i="21"/>
  <c r="C19" i="21"/>
  <c r="E19" i="21"/>
  <c r="G19" i="21"/>
  <c r="F4" i="21"/>
  <c r="E4" i="21"/>
  <c r="E101" i="20"/>
  <c r="E14" i="20"/>
  <c r="B21" i="11"/>
  <c r="C21" i="11" s="1"/>
  <c r="G15" i="8"/>
  <c r="H16" i="7"/>
  <c r="G8" i="7"/>
  <c r="C12" i="25" s="1"/>
  <c r="B8" i="16"/>
  <c r="E16" i="10"/>
  <c r="C42" i="5"/>
  <c r="C43" i="5"/>
  <c r="C44" i="5"/>
  <c r="B28" i="16"/>
  <c r="C24" i="5"/>
  <c r="H8" i="7"/>
  <c r="H24" i="7"/>
  <c r="B21" i="16"/>
  <c r="D29" i="20"/>
  <c r="E29" i="20"/>
  <c r="E102" i="20" s="1"/>
  <c r="C25" i="5"/>
  <c r="E14" i="10"/>
  <c r="H14" i="10" s="1"/>
  <c r="B21" i="6"/>
  <c r="G16" i="7"/>
  <c r="I12" i="25" s="1"/>
  <c r="C41" i="5"/>
  <c r="C40" i="5"/>
  <c r="C39" i="5"/>
  <c r="G24" i="7"/>
  <c r="G8" i="8"/>
  <c r="C13" i="25" s="1"/>
  <c r="D101" i="20"/>
  <c r="C23" i="5"/>
  <c r="C22" i="5"/>
  <c r="D15" i="10"/>
  <c r="F15" i="10" s="1"/>
  <c r="C21" i="5"/>
  <c r="D12" i="4" l="1"/>
  <c r="D23" i="4"/>
  <c r="H6" i="21"/>
  <c r="H5" i="21"/>
  <c r="J6" i="21"/>
  <c r="K6" i="21" s="1"/>
  <c r="L6" i="21" s="1"/>
  <c r="M6" i="21" s="1"/>
  <c r="N6" i="21" s="1"/>
  <c r="O6" i="21" s="1"/>
  <c r="P6" i="21" s="1"/>
  <c r="O13" i="25"/>
  <c r="I13" i="25"/>
  <c r="J13" i="25" s="1"/>
  <c r="K13" i="25" s="1"/>
  <c r="L13" i="25" s="1"/>
  <c r="M13" i="25" s="1"/>
  <c r="N13" i="25" s="1"/>
  <c r="H25" i="25"/>
  <c r="U14" i="25"/>
  <c r="H29" i="25"/>
  <c r="J27" i="25"/>
  <c r="K27" i="25" s="1"/>
  <c r="L27" i="25" s="1"/>
  <c r="M27" i="25" s="1"/>
  <c r="N27" i="25" s="1"/>
  <c r="O27" i="25" s="1"/>
  <c r="P27" i="25" s="1"/>
  <c r="Q27" i="25" s="1"/>
  <c r="R27" i="25" s="1"/>
  <c r="S27" i="25" s="1"/>
  <c r="T27" i="25" s="1"/>
  <c r="D27" i="25"/>
  <c r="E27" i="25" s="1"/>
  <c r="F27" i="25" s="1"/>
  <c r="G27" i="25" s="1"/>
  <c r="J26" i="25"/>
  <c r="K26" i="25" s="1"/>
  <c r="L26" i="25" s="1"/>
  <c r="M26" i="25" s="1"/>
  <c r="N26" i="25" s="1"/>
  <c r="O26" i="25" s="1"/>
  <c r="H26" i="25"/>
  <c r="J25" i="25"/>
  <c r="K25" i="25" s="1"/>
  <c r="L25" i="25" s="1"/>
  <c r="M25" i="25" s="1"/>
  <c r="N25" i="25" s="1"/>
  <c r="O25" i="25" s="1"/>
  <c r="Q25" i="25" s="1"/>
  <c r="R25" i="25" s="1"/>
  <c r="S25" i="25" s="1"/>
  <c r="T25" i="25" s="1"/>
  <c r="D14" i="25"/>
  <c r="E14" i="25" s="1"/>
  <c r="F14" i="25" s="1"/>
  <c r="G14" i="25" s="1"/>
  <c r="D9" i="4"/>
  <c r="C9" i="4"/>
  <c r="P12" i="25"/>
  <c r="Q12" i="25" s="1"/>
  <c r="R12" i="25" s="1"/>
  <c r="S12" i="25" s="1"/>
  <c r="T12" i="25" s="1"/>
  <c r="E8" i="4"/>
  <c r="C8" i="4"/>
  <c r="C47" i="25"/>
  <c r="D47" i="25" s="1"/>
  <c r="H9" i="25"/>
  <c r="I9" i="25"/>
  <c r="J9" i="25" s="1"/>
  <c r="K9" i="25" s="1"/>
  <c r="L9" i="25" s="1"/>
  <c r="M9" i="25" s="1"/>
  <c r="N9" i="25" s="1"/>
  <c r="O9" i="25" s="1"/>
  <c r="P9" i="25" s="1"/>
  <c r="Q9" i="25" s="1"/>
  <c r="R9" i="25" s="1"/>
  <c r="S9" i="25" s="1"/>
  <c r="T9" i="25" s="1"/>
  <c r="U9" i="25" s="1"/>
  <c r="I21" i="25"/>
  <c r="O12" i="25"/>
  <c r="D8" i="4"/>
  <c r="H20" i="21"/>
  <c r="C33" i="21"/>
  <c r="K5" i="21"/>
  <c r="M5" i="21" s="1"/>
  <c r="O5" i="21" s="1"/>
  <c r="Q5" i="21" s="1"/>
  <c r="S5" i="21" s="1"/>
  <c r="L5" i="21"/>
  <c r="N5" i="21" s="1"/>
  <c r="P5" i="21" s="1"/>
  <c r="R5" i="21" s="1"/>
  <c r="T5" i="21" s="1"/>
  <c r="K8" i="21"/>
  <c r="N8" i="21"/>
  <c r="J8" i="21"/>
  <c r="L8" i="21"/>
  <c r="O8" i="21"/>
  <c r="M8" i="21"/>
  <c r="L34" i="21"/>
  <c r="H23" i="21"/>
  <c r="H21" i="21"/>
  <c r="H19" i="21"/>
  <c r="V19" i="21"/>
  <c r="R9" i="21"/>
  <c r="S9" i="21"/>
  <c r="T9" i="21"/>
  <c r="U9" i="21"/>
  <c r="Q9" i="21"/>
  <c r="L9" i="21"/>
  <c r="M9" i="21"/>
  <c r="J9" i="21"/>
  <c r="N9" i="21"/>
  <c r="O9" i="21"/>
  <c r="K9" i="21"/>
  <c r="D9" i="21"/>
  <c r="F9" i="21"/>
  <c r="C9" i="21"/>
  <c r="E9" i="21"/>
  <c r="G9" i="21"/>
  <c r="R8" i="21"/>
  <c r="S8" i="21"/>
  <c r="T8" i="21"/>
  <c r="U8" i="21"/>
  <c r="Q8" i="21"/>
  <c r="G8" i="21"/>
  <c r="C8" i="21"/>
  <c r="D8" i="21"/>
  <c r="E8" i="21"/>
  <c r="F8" i="21"/>
  <c r="E31" i="11"/>
  <c r="D35" i="11" s="1"/>
  <c r="F14" i="10"/>
  <c r="F16" i="10"/>
  <c r="H16" i="10" s="1"/>
  <c r="K51" i="25" s="1"/>
  <c r="B39" i="6"/>
  <c r="B40" i="6"/>
  <c r="E7" i="4" s="1"/>
  <c r="F21" i="4"/>
  <c r="F38" i="4"/>
  <c r="F40" i="4" s="1"/>
  <c r="C27" i="5"/>
  <c r="C29" i="5" s="1"/>
  <c r="C45" i="5"/>
  <c r="C47" i="5" s="1"/>
  <c r="J15" i="10"/>
  <c r="L15" i="10" s="1"/>
  <c r="D102" i="20"/>
  <c r="D36" i="11" l="1"/>
  <c r="D13" i="4"/>
  <c r="D16" i="4" s="1"/>
  <c r="C51" i="25"/>
  <c r="D51" i="25" s="1"/>
  <c r="C12" i="4"/>
  <c r="T5" i="25"/>
  <c r="E6" i="4"/>
  <c r="E11" i="4" s="1"/>
  <c r="G5" i="25"/>
  <c r="H5" i="25" s="1"/>
  <c r="D6" i="4"/>
  <c r="G10" i="25"/>
  <c r="D7" i="4"/>
  <c r="F7" i="4" s="1"/>
  <c r="W7" i="25" s="1"/>
  <c r="C21" i="25"/>
  <c r="D21" i="25" s="1"/>
  <c r="H27" i="25"/>
  <c r="H14" i="25"/>
  <c r="U27" i="25"/>
  <c r="U25" i="25"/>
  <c r="I22" i="25"/>
  <c r="J16" i="10"/>
  <c r="P21" i="25"/>
  <c r="D13" i="25"/>
  <c r="E13" i="25" s="1"/>
  <c r="F13" i="25" s="1"/>
  <c r="G13" i="25" s="1"/>
  <c r="Q13" i="25"/>
  <c r="R13" i="25" s="1"/>
  <c r="S13" i="25" s="1"/>
  <c r="T13" i="25" s="1"/>
  <c r="C18" i="25"/>
  <c r="D12" i="25"/>
  <c r="G7" i="25"/>
  <c r="J21" i="25"/>
  <c r="K21" i="25"/>
  <c r="J12" i="25"/>
  <c r="F13" i="21"/>
  <c r="U5" i="21"/>
  <c r="V5" i="21" s="1"/>
  <c r="L32" i="21"/>
  <c r="D13" i="21"/>
  <c r="Q6" i="21"/>
  <c r="C24" i="21"/>
  <c r="D24" i="21"/>
  <c r="E24" i="21"/>
  <c r="F24" i="21"/>
  <c r="G24" i="21"/>
  <c r="F36" i="11"/>
  <c r="D34" i="11"/>
  <c r="F34" i="11" s="1"/>
  <c r="B58" i="25" s="1"/>
  <c r="E16" i="21"/>
  <c r="D16" i="21"/>
  <c r="F16" i="21"/>
  <c r="G16" i="21"/>
  <c r="C16" i="21"/>
  <c r="J14" i="10"/>
  <c r="K14" i="10" s="1"/>
  <c r="L14" i="10" s="1"/>
  <c r="E12" i="4"/>
  <c r="S16" i="21"/>
  <c r="T16" i="21"/>
  <c r="U16" i="21"/>
  <c r="R16" i="21"/>
  <c r="Q16" i="21"/>
  <c r="V9" i="21"/>
  <c r="E13" i="21"/>
  <c r="H9" i="21"/>
  <c r="V8" i="21"/>
  <c r="C13" i="21"/>
  <c r="H8" i="21"/>
  <c r="G7" i="21"/>
  <c r="M4" i="21"/>
  <c r="N4" i="21"/>
  <c r="L4" i="21"/>
  <c r="O4" i="21"/>
  <c r="P4" i="21"/>
  <c r="K4" i="21"/>
  <c r="G4" i="21"/>
  <c r="C32" i="21" s="1"/>
  <c r="Q4" i="21"/>
  <c r="S4" i="21"/>
  <c r="T4" i="21"/>
  <c r="J4" i="21"/>
  <c r="R4" i="21"/>
  <c r="F19" i="4"/>
  <c r="F35" i="4"/>
  <c r="F32" i="4"/>
  <c r="C49" i="5"/>
  <c r="F26" i="4"/>
  <c r="I29" i="25" s="1"/>
  <c r="F14" i="4"/>
  <c r="V25" i="25" s="1"/>
  <c r="E27" i="4"/>
  <c r="F15" i="4"/>
  <c r="F10" i="4"/>
  <c r="F9" i="4"/>
  <c r="F20" i="4"/>
  <c r="E33" i="4"/>
  <c r="F36" i="4"/>
  <c r="F22" i="4"/>
  <c r="F8" i="4"/>
  <c r="F30" i="4"/>
  <c r="C27" i="4"/>
  <c r="D33" i="4"/>
  <c r="F31" i="4"/>
  <c r="F17" i="4"/>
  <c r="V24" i="25" s="1"/>
  <c r="F18" i="4"/>
  <c r="C23" i="4"/>
  <c r="C33" i="4"/>
  <c r="C11" i="4"/>
  <c r="F25" i="4"/>
  <c r="V23" i="25" s="1"/>
  <c r="D27" i="4"/>
  <c r="K52" i="25" l="1"/>
  <c r="B62" i="25"/>
  <c r="D61" i="25"/>
  <c r="K45" i="25"/>
  <c r="I10" i="25"/>
  <c r="C48" i="25"/>
  <c r="J10" i="25"/>
  <c r="K10" i="25" s="1"/>
  <c r="N10" i="25" s="1"/>
  <c r="H10" i="25"/>
  <c r="I5" i="25"/>
  <c r="B61" i="25" s="1"/>
  <c r="C45" i="25"/>
  <c r="D45" i="25" s="1"/>
  <c r="D28" i="4"/>
  <c r="P22" i="25"/>
  <c r="Q22" i="25" s="1"/>
  <c r="R22" i="25" s="1"/>
  <c r="S22" i="25" s="1"/>
  <c r="T22" i="25" s="1"/>
  <c r="D48" i="25"/>
  <c r="U13" i="25"/>
  <c r="U26" i="25"/>
  <c r="V26" i="25"/>
  <c r="C22" i="25"/>
  <c r="C36" i="25" s="1"/>
  <c r="C38" i="25" s="1"/>
  <c r="D3" i="25" s="1"/>
  <c r="I36" i="25"/>
  <c r="H13" i="25"/>
  <c r="J29" i="25"/>
  <c r="K29" i="25" s="1"/>
  <c r="L29" i="25" s="1"/>
  <c r="M29" i="25" s="1"/>
  <c r="N29" i="25" s="1"/>
  <c r="O29" i="25" s="1"/>
  <c r="P29" i="25" s="1"/>
  <c r="Q29" i="25" s="1"/>
  <c r="R29" i="25" s="1"/>
  <c r="S29" i="25" s="1"/>
  <c r="T29" i="25" s="1"/>
  <c r="K22" i="25"/>
  <c r="M22" i="25" s="1"/>
  <c r="O22" i="25" s="1"/>
  <c r="J22" i="25"/>
  <c r="L22" i="25" s="1"/>
  <c r="N22" i="25" s="1"/>
  <c r="E21" i="25"/>
  <c r="E12" i="25"/>
  <c r="D18" i="25"/>
  <c r="L10" i="25"/>
  <c r="O10" i="25" s="1"/>
  <c r="P10" i="25" s="1"/>
  <c r="Q10" i="25" s="1"/>
  <c r="R10" i="25" s="1"/>
  <c r="S10" i="25" s="1"/>
  <c r="T10" i="25" s="1"/>
  <c r="C46" i="25"/>
  <c r="I7" i="25"/>
  <c r="H7" i="25"/>
  <c r="Q21" i="25"/>
  <c r="M21" i="25"/>
  <c r="L21" i="25"/>
  <c r="K12" i="25"/>
  <c r="U17" i="21"/>
  <c r="J23" i="21"/>
  <c r="V23" i="21" s="1"/>
  <c r="L21" i="21"/>
  <c r="T21" i="21"/>
  <c r="M21" i="21"/>
  <c r="U21" i="21"/>
  <c r="N21" i="21"/>
  <c r="J21" i="21"/>
  <c r="O21" i="21"/>
  <c r="P21" i="21"/>
  <c r="Q21" i="21"/>
  <c r="R21" i="21"/>
  <c r="K21" i="21"/>
  <c r="S21" i="21"/>
  <c r="M20" i="21"/>
  <c r="U20" i="21"/>
  <c r="S20" i="21"/>
  <c r="T20" i="21"/>
  <c r="N20" i="21"/>
  <c r="J20" i="21"/>
  <c r="Q20" i="21"/>
  <c r="O20" i="21"/>
  <c r="P20" i="21"/>
  <c r="R20" i="21"/>
  <c r="K20" i="21"/>
  <c r="L20" i="21"/>
  <c r="L37" i="21"/>
  <c r="Q17" i="21"/>
  <c r="U4" i="21"/>
  <c r="R6" i="21"/>
  <c r="S6" i="21" s="1"/>
  <c r="T6" i="21" s="1"/>
  <c r="H7" i="21"/>
  <c r="C35" i="21"/>
  <c r="H24" i="21"/>
  <c r="D11" i="4"/>
  <c r="T17" i="21"/>
  <c r="S17" i="21"/>
  <c r="R17" i="21"/>
  <c r="C17" i="21"/>
  <c r="C25" i="21" s="1"/>
  <c r="C27" i="21" s="1"/>
  <c r="D2" i="21" s="1"/>
  <c r="E17" i="21"/>
  <c r="E25" i="21" s="1"/>
  <c r="F17" i="21"/>
  <c r="F25" i="21" s="1"/>
  <c r="D17" i="21"/>
  <c r="D25" i="21" s="1"/>
  <c r="G17" i="21"/>
  <c r="J17" i="21" s="1"/>
  <c r="H16" i="21"/>
  <c r="J16" i="21"/>
  <c r="K16" i="10"/>
  <c r="L16" i="10" s="1"/>
  <c r="F6" i="4"/>
  <c r="K7" i="21"/>
  <c r="K13" i="21" s="1"/>
  <c r="J7" i="21"/>
  <c r="G13" i="21"/>
  <c r="H4" i="21"/>
  <c r="F33" i="4"/>
  <c r="F27" i="4"/>
  <c r="F23" i="4"/>
  <c r="J5" i="25" l="1"/>
  <c r="K5" i="25" s="1"/>
  <c r="L5" i="25" s="1"/>
  <c r="M5" i="25" s="1"/>
  <c r="N5" i="25" s="1"/>
  <c r="O5" i="25" s="1"/>
  <c r="P5" i="25" s="1"/>
  <c r="M10" i="25"/>
  <c r="U10" i="25" s="1"/>
  <c r="C52" i="25"/>
  <c r="D52" i="25" s="1"/>
  <c r="D29" i="4"/>
  <c r="D34" i="4" s="1"/>
  <c r="D37" i="4" s="1"/>
  <c r="D41" i="4" s="1"/>
  <c r="E13" i="4"/>
  <c r="F13" i="4" s="1"/>
  <c r="V22" i="25" s="1"/>
  <c r="D22" i="25"/>
  <c r="E22" i="25" s="1"/>
  <c r="F22" i="25" s="1"/>
  <c r="G22" i="25" s="1"/>
  <c r="C13" i="4"/>
  <c r="D58" i="25"/>
  <c r="F11" i="4"/>
  <c r="V5" i="25"/>
  <c r="L36" i="25"/>
  <c r="M36" i="25"/>
  <c r="J36" i="25"/>
  <c r="P36" i="25"/>
  <c r="Q36" i="25"/>
  <c r="U29" i="25"/>
  <c r="K36" i="25"/>
  <c r="I18" i="25"/>
  <c r="Q5" i="25"/>
  <c r="R5" i="25" s="1"/>
  <c r="S5" i="25" s="1"/>
  <c r="U22" i="25"/>
  <c r="F21" i="25"/>
  <c r="F12" i="25"/>
  <c r="E18" i="25"/>
  <c r="D46" i="25"/>
  <c r="K7" i="25"/>
  <c r="M7" i="25" s="1"/>
  <c r="O7" i="25" s="1"/>
  <c r="J7" i="25"/>
  <c r="N21" i="25"/>
  <c r="N36" i="25" s="1"/>
  <c r="O21" i="25"/>
  <c r="O36" i="25" s="1"/>
  <c r="R21" i="25"/>
  <c r="R36" i="25" s="1"/>
  <c r="L12" i="25"/>
  <c r="V20" i="21"/>
  <c r="U25" i="21"/>
  <c r="V21" i="21"/>
  <c r="Q25" i="21"/>
  <c r="R25" i="21"/>
  <c r="S25" i="21"/>
  <c r="T25" i="21"/>
  <c r="H13" i="21"/>
  <c r="C38" i="21"/>
  <c r="L38" i="21"/>
  <c r="U6" i="21"/>
  <c r="V6" i="21" s="1"/>
  <c r="J13" i="21"/>
  <c r="H17" i="21"/>
  <c r="H25" i="21" s="1"/>
  <c r="K17" i="21"/>
  <c r="L17" i="21"/>
  <c r="N17" i="21" s="1"/>
  <c r="P17" i="21" s="1"/>
  <c r="D27" i="21"/>
  <c r="E2" i="21" s="1"/>
  <c r="E27" i="21" s="1"/>
  <c r="F2" i="21" s="1"/>
  <c r="F27" i="21" s="1"/>
  <c r="G2" i="21" s="1"/>
  <c r="G25" i="21"/>
  <c r="J25" i="21"/>
  <c r="K16" i="21"/>
  <c r="L16" i="21"/>
  <c r="M7" i="21"/>
  <c r="N7" i="21"/>
  <c r="L7" i="21"/>
  <c r="V4" i="21"/>
  <c r="U5" i="25" l="1"/>
  <c r="E36" i="25"/>
  <c r="H22" i="25"/>
  <c r="F36" i="25"/>
  <c r="D36" i="25"/>
  <c r="D38" i="25" s="1"/>
  <c r="E3" i="25" s="1"/>
  <c r="T6" i="25"/>
  <c r="C16" i="4"/>
  <c r="C28" i="4" s="1"/>
  <c r="C37" i="21"/>
  <c r="G21" i="25"/>
  <c r="G36" i="25" s="1"/>
  <c r="G12" i="25"/>
  <c r="F18" i="25"/>
  <c r="K18" i="25"/>
  <c r="Q7" i="25"/>
  <c r="O18" i="25"/>
  <c r="H27" i="21"/>
  <c r="L7" i="25"/>
  <c r="J18" i="25"/>
  <c r="S21" i="25"/>
  <c r="S36" i="25" s="1"/>
  <c r="M12" i="25"/>
  <c r="G27" i="21"/>
  <c r="J2" i="21" s="1"/>
  <c r="J27" i="21" s="1"/>
  <c r="K2" i="21" s="1"/>
  <c r="M17" i="21"/>
  <c r="O17" i="21" s="1"/>
  <c r="M16" i="21"/>
  <c r="K25" i="21"/>
  <c r="N16" i="21"/>
  <c r="L25" i="21"/>
  <c r="O7" i="21"/>
  <c r="L13" i="21"/>
  <c r="Q7" i="21"/>
  <c r="N13" i="21"/>
  <c r="P7" i="21"/>
  <c r="M13" i="21"/>
  <c r="U6" i="25" l="1"/>
  <c r="V6" i="25" s="1"/>
  <c r="V7" i="25" s="1"/>
  <c r="E38" i="25"/>
  <c r="F3" i="25" s="1"/>
  <c r="F38" i="25" s="1"/>
  <c r="G3" i="25" s="1"/>
  <c r="F12" i="4"/>
  <c r="E16" i="4"/>
  <c r="E28" i="4" s="1"/>
  <c r="E29" i="4" s="1"/>
  <c r="E34" i="4" s="1"/>
  <c r="E37" i="4" s="1"/>
  <c r="E41" i="4" s="1"/>
  <c r="H21" i="25"/>
  <c r="H36" i="25" s="1"/>
  <c r="G18" i="25"/>
  <c r="H12" i="25"/>
  <c r="H18" i="25" s="1"/>
  <c r="S7" i="25"/>
  <c r="Q18" i="25"/>
  <c r="N7" i="25"/>
  <c r="P7" i="25" s="1"/>
  <c r="L18" i="25"/>
  <c r="T21" i="25"/>
  <c r="T36" i="25" s="1"/>
  <c r="N12" i="25"/>
  <c r="U12" i="25" s="1"/>
  <c r="M18" i="25"/>
  <c r="V17" i="21"/>
  <c r="K27" i="21"/>
  <c r="L2" i="21" s="1"/>
  <c r="L27" i="21" s="1"/>
  <c r="M2" i="21" s="1"/>
  <c r="C29" i="4"/>
  <c r="P16" i="21"/>
  <c r="P25" i="21" s="1"/>
  <c r="N25" i="21"/>
  <c r="O16" i="21"/>
  <c r="O25" i="21" s="1"/>
  <c r="M25" i="21"/>
  <c r="S7" i="21"/>
  <c r="S13" i="21" s="1"/>
  <c r="P13" i="21"/>
  <c r="T7" i="21"/>
  <c r="T13" i="21" s="1"/>
  <c r="Q13" i="21"/>
  <c r="R7" i="21"/>
  <c r="O13" i="21"/>
  <c r="N18" i="25" l="1"/>
  <c r="F16" i="4"/>
  <c r="F28" i="4" s="1"/>
  <c r="F29" i="4" s="1"/>
  <c r="F34" i="4" s="1"/>
  <c r="F37" i="4" s="1"/>
  <c r="V21" i="25"/>
  <c r="G38" i="25"/>
  <c r="C63" i="25" s="1"/>
  <c r="H38" i="25"/>
  <c r="S18" i="25"/>
  <c r="R7" i="25"/>
  <c r="T8" i="25" s="1"/>
  <c r="P18" i="25"/>
  <c r="U21" i="25"/>
  <c r="U36" i="25" s="1"/>
  <c r="V16" i="21"/>
  <c r="V25" i="21" s="1"/>
  <c r="M27" i="21"/>
  <c r="N2" i="21" s="1"/>
  <c r="N27" i="21" s="1"/>
  <c r="O2" i="21" s="1"/>
  <c r="O27" i="21" s="1"/>
  <c r="P2" i="21" s="1"/>
  <c r="P27" i="21" s="1"/>
  <c r="Q2" i="21" s="1"/>
  <c r="Q27" i="21" s="1"/>
  <c r="R2" i="21" s="1"/>
  <c r="C34" i="4"/>
  <c r="U7" i="21"/>
  <c r="U13" i="21" s="1"/>
  <c r="R13" i="21"/>
  <c r="D43" i="25" l="1"/>
  <c r="D53" i="25" s="1"/>
  <c r="I3" i="25"/>
  <c r="I38" i="25" s="1"/>
  <c r="J3" i="25" s="1"/>
  <c r="J38" i="25" s="1"/>
  <c r="K3" i="25" s="1"/>
  <c r="K38" i="25" s="1"/>
  <c r="L3" i="25" s="1"/>
  <c r="L38" i="25" s="1"/>
  <c r="M3" i="25" s="1"/>
  <c r="M38" i="25" s="1"/>
  <c r="N3" i="25" s="1"/>
  <c r="N38" i="25" s="1"/>
  <c r="O3" i="25" s="1"/>
  <c r="O38" i="25" s="1"/>
  <c r="P3" i="25" s="1"/>
  <c r="P38" i="25" s="1"/>
  <c r="Q3" i="25" s="1"/>
  <c r="Q38" i="25" s="1"/>
  <c r="R3" i="25" s="1"/>
  <c r="T18" i="25"/>
  <c r="U8" i="25"/>
  <c r="R18" i="25"/>
  <c r="U7" i="25"/>
  <c r="R27" i="21"/>
  <c r="S2" i="21" s="1"/>
  <c r="S27" i="21" s="1"/>
  <c r="T2" i="21" s="1"/>
  <c r="T27" i="21" s="1"/>
  <c r="U2" i="21" s="1"/>
  <c r="U27" i="21" s="1"/>
  <c r="C37" i="4"/>
  <c r="V7" i="21"/>
  <c r="V13" i="21" s="1"/>
  <c r="V27" i="21" s="1"/>
  <c r="F41" i="4"/>
  <c r="U18" i="25" l="1"/>
  <c r="U38" i="25" s="1"/>
  <c r="E63" i="25" s="1"/>
  <c r="D57" i="25"/>
  <c r="D63" i="25" s="1"/>
  <c r="K43" i="25"/>
  <c r="K53" i="25" s="1"/>
  <c r="W8" i="25"/>
  <c r="W9" i="25" s="1"/>
  <c r="R38" i="25"/>
  <c r="S3" i="25" s="1"/>
  <c r="S38" i="25" s="1"/>
  <c r="T3" i="25" s="1"/>
  <c r="V10" i="25"/>
  <c r="L30" i="21"/>
  <c r="C41" i="4"/>
  <c r="K56" i="25" l="1"/>
  <c r="B57" i="25"/>
  <c r="B63" i="25" s="1"/>
  <c r="C43" i="25"/>
  <c r="C53" i="25" s="1"/>
  <c r="C55" i="25" s="1"/>
  <c r="F63" i="25"/>
  <c r="T38" i="25"/>
  <c r="U56" i="25"/>
  <c r="L39" i="21"/>
  <c r="C30" i="21"/>
  <c r="C39"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tc={ACB98A99-C96E-E942-9BE4-714C683A6F46}</author>
    <author>tc={C73F0F3E-DA06-C640-A125-CC17453B10B7}</author>
  </authors>
  <commentList>
    <comment ref="G14" authorId="0" shapeId="0" xr:uid="{00000000-0006-0000-0900-000001000000}">
      <text>
        <t>[Trådet kommentar]
Din version af Excel lader dig læse denne trådede kommentar. Eventuelle ændringer vil dog blive fjernet, hvis filen åbnes i en nyere version af Excel. Få mere at vide: https://go.microsoft.com/fwlink/?linkid=870924
Kommentar:
    Der optjenes 2,08 feriedag fra aug-dec + 0,42 særlig feriedag fra aug-dec. Budgettet tager udgangspunkt i at skolen følger organisationsaftalens regler omkring ferie, og at der er afviklet 5 feriedage i oktober mdr. Dermed er der 5,40 skyldige feriedage og 2,1 skyldig særlig feriedage.</t>
      </text>
    </comment>
    <comment ref="G16" authorId="1" shapeId="0" xr:uid="{00000000-0006-0000-0900-000002000000}">
      <text>
        <t xml:space="preserve">[Trådet kommentar]
Din version af Excel lader dig læse denne trådede kommentar. Eventuelle ændringer vil dog blive fjernet, hvis filen åbnes i en nyere version af Excel. Få mere at vide: https://go.microsoft.com/fwlink/?linkid=870924
Kommentar:
    Der optjenes 2,08 feriedag pr. mdr. fra september til december. Budgettet tager udgangspunkt i at skolen følger organisationsaftalens regler omkring ferie, og at der er afviklet 5 feriedage i oktober. mdr. Udover feriedage optjenes der for hele året i alt 5 særlige feriedage. De særlie feriedage optjente det første år kan stadig være skyldige pr. 31.12, hvorfor budgettet budgetterer med 3,32 skyldige feriedage og 7,1 særlige feriedage - ialt 10,42 feriedage.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tc={555B425A-9A11-E846-9779-DDCB2D41C2F8}</author>
    <author>tc={94316F63-9477-8F43-8C62-A65918250AE9}</author>
  </authors>
  <commentList>
    <comment ref="E34" authorId="0" shapeId="0" xr:uid="{00000000-0006-0000-0A00-000001000000}">
      <text>
        <t>[Trådet kommentar]
Din version af Excel lader dig læse denne trådede kommentar. Eventuelle ændringer vil dog blive fjernet, hvis filen åbnes i en nyere version af Excel. Få mere at vide: https://go.microsoft.com/fwlink/?linkid=870924
Kommentar:
    Der optjenes 2,08 feriedag fra aug-dec + 0,42 særlig feriedag fra aug-dec. Budgettet tager udgangspunkt i at der er afviklet 5 feriedage pr. 31. dec. Dermed er der 5,40 skyldige feriedage og 2,1 skyldig særlig feriedage.</t>
      </text>
    </comment>
    <comment ref="E36" authorId="1" shapeId="0" xr:uid="{00000000-0006-0000-0A00-000002000000}">
      <text>
        <t xml:space="preserve">[Trådet kommentar]
Din version af Excel lader dig læse denne trådede kommentar. Eventuelle ændringer vil dog blive fjernet, hvis filen åbnes i en nyere version af Excel. Få mere at vide: https://go.microsoft.com/fwlink/?linkid=870924
Kommentar:
    Der optjenes 2,08 feriedag pr. mdr. fra september til december. Budgettet tager udgangspunkt i at der er afviklet 5 feriedage i perioden sep-december. Udover feriedage optjenes der for hele året i alt 5 særlige feriedage. De særlie feriedage optjente det første år kan stadig være skyldige pr. 31.12, hvorfor budgettet budgetterer med 3,32 skyldige feriedage og 7,1 særlige feriedage - ialt 10,42 feriedage.
</t>
      </text>
    </comment>
  </commentList>
</comments>
</file>

<file path=xl/sharedStrings.xml><?xml version="1.0" encoding="utf-8"?>
<sst xmlns="http://schemas.openxmlformats.org/spreadsheetml/2006/main" count="1473" uniqueCount="1002">
  <si>
    <t>Resultat af børnehave-drift</t>
  </si>
  <si>
    <t>Kortfristet gæld</t>
  </si>
  <si>
    <t>Værdipapirer</t>
  </si>
  <si>
    <t>Ekstraordinære omkostninger</t>
  </si>
  <si>
    <t>Ekstraordinære indtægter</t>
  </si>
  <si>
    <t>RESULTAT før EKSTRAORD. POST.</t>
  </si>
  <si>
    <t xml:space="preserve">FINANSIELLE POSTER  I ALT: </t>
  </si>
  <si>
    <t>Prioritetsrenter</t>
  </si>
  <si>
    <t>Renteindtægter</t>
  </si>
  <si>
    <t>Løn administrativt personale</t>
  </si>
  <si>
    <t>KANTINEDRIFT</t>
  </si>
  <si>
    <t>Varme, el og rengøring</t>
  </si>
  <si>
    <t>Vedligeholdelse</t>
  </si>
  <si>
    <t>Skatter, afgifter og forsikring</t>
  </si>
  <si>
    <t>Undervisningsudgifter</t>
  </si>
  <si>
    <t>Løn, skolefritidsordning</t>
  </si>
  <si>
    <t>Forældrebetaling, sfo</t>
  </si>
  <si>
    <t>Øvrige statstilskud</t>
  </si>
  <si>
    <t>Driftstilskud</t>
  </si>
  <si>
    <t>Lin</t>
  </si>
  <si>
    <t>Angiv til venstre herfor, hvilken region jeres skole hører til!</t>
  </si>
  <si>
    <t>Region Nordjylland</t>
  </si>
  <si>
    <t>Region Midtjylland</t>
  </si>
  <si>
    <t>Sydjylland (del af Region Syddanmark)</t>
  </si>
  <si>
    <t>Fyn (del af Region Syddanmark)</t>
  </si>
  <si>
    <t>Region Sjælland</t>
  </si>
  <si>
    <t>Region Hovedstaden</t>
  </si>
  <si>
    <t>Elevtallet indtastes til venstre herfor!</t>
  </si>
  <si>
    <t>Der er dog én oplysning, som er af afgørende betydning, nemlig elevtallet. Af hensyn til tilskudsberegningen skal der skelnes mellem antallet af elever der er fyldt 13 år den 5. sep. og antallet af elever, der endnu ikke er så gamle. I første omgang skal det skønnede samlede elevtal, som I forventer pr. 5. sep., indtastes.</t>
  </si>
  <si>
    <t>Når der skal lægges budget for en nyoprettet friskole, er der af gode grunde meget få oplysninger at bygge forudsætningerne på.</t>
  </si>
  <si>
    <t>Hovedparametre</t>
  </si>
  <si>
    <t>x</t>
  </si>
  <si>
    <t>SAMLET RESULTAT</t>
  </si>
  <si>
    <t>DRIFTSTILSKUD fra staten</t>
  </si>
  <si>
    <t>5/12 heraf:</t>
  </si>
  <si>
    <t>Antal elever i alt:</t>
  </si>
  <si>
    <t>Kommune</t>
  </si>
  <si>
    <t>Stedtillægs-område</t>
  </si>
  <si>
    <t>København</t>
  </si>
  <si>
    <t>Frederiksberg</t>
  </si>
  <si>
    <t>Ballerup</t>
  </si>
  <si>
    <t>Brøndby</t>
  </si>
  <si>
    <t>Dragør</t>
  </si>
  <si>
    <t>Gentofte</t>
  </si>
  <si>
    <t>Gladsaxe</t>
  </si>
  <si>
    <t>Glostrup</t>
  </si>
  <si>
    <t>Herlev</t>
  </si>
  <si>
    <t>Albertslund</t>
  </si>
  <si>
    <t>Hvidovre</t>
  </si>
  <si>
    <t>Høje-Taastrup</t>
  </si>
  <si>
    <t>Lyngby-Taarbæk</t>
  </si>
  <si>
    <t>Rødovre</t>
  </si>
  <si>
    <t>Ishøj</t>
  </si>
  <si>
    <t>Tårnby</t>
  </si>
  <si>
    <t>Vallensbæk</t>
  </si>
  <si>
    <t>Furesø</t>
  </si>
  <si>
    <t>Allerød</t>
  </si>
  <si>
    <t>Fredensborg</t>
  </si>
  <si>
    <t>Helsingør</t>
  </si>
  <si>
    <t>Hillerød</t>
  </si>
  <si>
    <t>Hørsholm</t>
  </si>
  <si>
    <t>Rudersdal</t>
  </si>
  <si>
    <t>Egedal</t>
  </si>
  <si>
    <t>Frederikssund</t>
  </si>
  <si>
    <t>Greve</t>
  </si>
  <si>
    <t>Køge</t>
  </si>
  <si>
    <t>Frederiksværk-Hundested</t>
  </si>
  <si>
    <t>Roskilde</t>
  </si>
  <si>
    <t>Solrød</t>
  </si>
  <si>
    <t>Gribskov</t>
  </si>
  <si>
    <t>Odsherred</t>
  </si>
  <si>
    <t>Holbæk</t>
  </si>
  <si>
    <t>Faxe</t>
  </si>
  <si>
    <t>Kalundborg</t>
  </si>
  <si>
    <t>Ringsted</t>
  </si>
  <si>
    <t>Slagelse</t>
  </si>
  <si>
    <t>Stevns</t>
  </si>
  <si>
    <t>Sorø</t>
  </si>
  <si>
    <t>Lejre</t>
  </si>
  <si>
    <t>Lolland</t>
  </si>
  <si>
    <t>Næstved</t>
  </si>
  <si>
    <t>Guldborgsund</t>
  </si>
  <si>
    <t>Vordingborg</t>
  </si>
  <si>
    <t>Bornholm</t>
  </si>
  <si>
    <t>Middelfart</t>
  </si>
  <si>
    <t>Assens</t>
  </si>
  <si>
    <t>Faaborg-Midtfyn</t>
  </si>
  <si>
    <t>Kerteminde</t>
  </si>
  <si>
    <t>Nyborg</t>
  </si>
  <si>
    <t>Svendborg</t>
  </si>
  <si>
    <t>Bogense</t>
  </si>
  <si>
    <t>Langeland</t>
  </si>
  <si>
    <t>Ærø</t>
  </si>
  <si>
    <t>Haderslev</t>
  </si>
  <si>
    <t>Billund</t>
  </si>
  <si>
    <t>Sønderborg</t>
  </si>
  <si>
    <t>Tønder</t>
  </si>
  <si>
    <t>Esbjerg</t>
  </si>
  <si>
    <t>Fanø</t>
  </si>
  <si>
    <t>Varde</t>
  </si>
  <si>
    <t>Vejen</t>
  </si>
  <si>
    <t>Aabenraa</t>
  </si>
  <si>
    <t>Fredericia</t>
  </si>
  <si>
    <t>Horsens</t>
  </si>
  <si>
    <t>Kolding</t>
  </si>
  <si>
    <t>Vejle</t>
  </si>
  <si>
    <t>Herning</t>
  </si>
  <si>
    <t>Holstebro</t>
  </si>
  <si>
    <t>Lemvig</t>
  </si>
  <si>
    <t>Struer</t>
  </si>
  <si>
    <t>Syddjurs</t>
  </si>
  <si>
    <t>Norddjurs</t>
  </si>
  <si>
    <t>Favrskov</t>
  </si>
  <si>
    <t>Odder</t>
  </si>
  <si>
    <t>Randers</t>
  </si>
  <si>
    <t>Silkeborg</t>
  </si>
  <si>
    <t>Samsø</t>
  </si>
  <si>
    <t>Skanderborg</t>
  </si>
  <si>
    <t>Århus</t>
  </si>
  <si>
    <t>Ikast-Brande</t>
  </si>
  <si>
    <t>Ringkøbing-Skjern</t>
  </si>
  <si>
    <t>Hedensted</t>
  </si>
  <si>
    <t>Morsø</t>
  </si>
  <si>
    <t>Skive</t>
  </si>
  <si>
    <t>Thisted</t>
  </si>
  <si>
    <t>Viborg</t>
  </si>
  <si>
    <t>Brønderslev-Dronninglund</t>
  </si>
  <si>
    <t>Frederikshavn</t>
  </si>
  <si>
    <t>Vesthimmerland</t>
  </si>
  <si>
    <t>Læsø</t>
  </si>
  <si>
    <t>Rebild</t>
  </si>
  <si>
    <t>Mariagerfjord</t>
  </si>
  <si>
    <t>Jammerbugt</t>
  </si>
  <si>
    <t>Ålborg</t>
  </si>
  <si>
    <t>Hjørring</t>
  </si>
  <si>
    <t>Undervisningstaxameter for elever under 13 år</t>
  </si>
  <si>
    <t>Grundtilskud (højst for 40 elever)</t>
  </si>
  <si>
    <t>Fællesudgiftstaxameter 1-220 elever</t>
  </si>
  <si>
    <t xml:space="preserve">Fællesudgiftstaxameter 221 - </t>
  </si>
  <si>
    <t>Undervisningstaxameter for elever på 13 år og derover ex 10. kl.</t>
  </si>
  <si>
    <t>Undervisningstaxameter for 10. kl.-elever</t>
  </si>
  <si>
    <t>takst pr. elev</t>
  </si>
  <si>
    <t xml:space="preserve">Tilskud </t>
  </si>
  <si>
    <t>Hvilket stedtillægsområde er skolen beliggende i?
(Se oversigten her på arket i området E17:F114)</t>
  </si>
  <si>
    <t>overføres</t>
  </si>
  <si>
    <t>Øvrige statstilskud består af tilskud til SFO, bygninger og særtilskud.</t>
  </si>
  <si>
    <t>SFOtilskud gives pr. skoleår efter antallet af tilskudsberettigede elever (0. - 3. kl.) pr. 5. sep.</t>
  </si>
  <si>
    <t>Anledningen til at modtage særtilskud er under alle omstændigheder en underskudsforretning!</t>
  </si>
  <si>
    <t>SKOLEPENGEINDTÆGTER jan til juli</t>
  </si>
  <si>
    <t>A</t>
  </si>
  <si>
    <t>B</t>
  </si>
  <si>
    <t>C</t>
  </si>
  <si>
    <t>D</t>
  </si>
  <si>
    <t>E</t>
  </si>
  <si>
    <t>F</t>
  </si>
  <si>
    <t>G</t>
  </si>
  <si>
    <t>Barn nr. i fam.</t>
  </si>
  <si>
    <t>Skolepenge-sats pr. rate</t>
  </si>
  <si>
    <t>Moderation pr. rate</t>
  </si>
  <si>
    <t>Antal børn</t>
  </si>
  <si>
    <t>Antal  rater</t>
  </si>
  <si>
    <t>Skolepenge-indtægt
C x D x E</t>
  </si>
  <si>
    <t>Samlet moderation
B x D x E</t>
  </si>
  <si>
    <t>1.</t>
  </si>
  <si>
    <t>2.</t>
  </si>
  <si>
    <t>3.</t>
  </si>
  <si>
    <t>SUM:</t>
  </si>
  <si>
    <t>SKOLEPENGEINDTÆGTER aug til dec</t>
  </si>
  <si>
    <t>SFO-sats pr. rate</t>
  </si>
  <si>
    <t>Antal årlige rater</t>
  </si>
  <si>
    <t>SFO-indtægt
C x D x E</t>
  </si>
  <si>
    <t>Indtægter vedrørende SFO aug til dec</t>
  </si>
  <si>
    <t>Skolepenge netto-rate
A - B</t>
  </si>
  <si>
    <t>SFO netto-rate
A - B</t>
  </si>
  <si>
    <t>Elevtallene på dette ark er ikke nødvendigvis de samme som på de foregående sider!</t>
  </si>
  <si>
    <t>Indtægter vedrørende SFO jan til juli</t>
  </si>
  <si>
    <t>Elevtallene på dette ark er ikke nødvendigvis de samme som på arket '2.Øvrige Statstilskud'!</t>
  </si>
  <si>
    <t>Andre indtægter</t>
  </si>
  <si>
    <t>nr.</t>
  </si>
  <si>
    <t>Art</t>
  </si>
  <si>
    <t>Gaver og andre tilskud</t>
  </si>
  <si>
    <t>Sponsorstøtte</t>
  </si>
  <si>
    <t xml:space="preserve">Kommunalt tilskud til støttetimer </t>
  </si>
  <si>
    <t>Kontingent skolekreds</t>
  </si>
  <si>
    <t>Tilskud fra Gavefonden</t>
  </si>
  <si>
    <t>Indtægter vedr. foredrag</t>
  </si>
  <si>
    <t>Andre indtægter i alt</t>
  </si>
  <si>
    <t>Lærerlønninger er lidt omstændelige at beregne. Hvis I allerede ved, hvilke lærere I vil ansætte, kan I downloade særlige regneark til det formål fra vores hjemmeside.</t>
  </si>
  <si>
    <t>antal</t>
  </si>
  <si>
    <t>mdr.</t>
  </si>
  <si>
    <t>Lærerløn</t>
  </si>
  <si>
    <t>Skriv lederlønnen, som den forventes på årsbasis:</t>
  </si>
  <si>
    <t>under 100 elever</t>
  </si>
  <si>
    <t>minimum</t>
  </si>
  <si>
    <t>maksimum</t>
  </si>
  <si>
    <t>100-349 elever</t>
  </si>
  <si>
    <t>inkl. pension</t>
  </si>
  <si>
    <t>Hvis fx skolelederen ansættes før 1. august, altså inden skolen reelt er startet, kan det være på konsulentbasis. I så fald: Skriv udgiften i arket '21,Admudg.'</t>
  </si>
  <si>
    <t>Der er ikke specifikke krav til fordelingen mellem uddannede og ikke uddannede, og der er heller ikke krav til minimum normering eller åbningstid.</t>
  </si>
  <si>
    <t>I skolefritidsordningen (SFO) er personalet som regel uddannede pædagoger eller pædagogisk ansatte uden pædagogisk uddannelse.</t>
  </si>
  <si>
    <t>Antallet af børn er allerede indskrevet i arket '4.Forældrebetaling,SFO'.</t>
  </si>
  <si>
    <t>Antal SFO-børn</t>
  </si>
  <si>
    <t>Ugentlige åbningstid i skoleuger:</t>
  </si>
  <si>
    <t>Ugentlige åbningstid i undervisningsfri uger:</t>
  </si>
  <si>
    <t>Antal uger</t>
  </si>
  <si>
    <t>Normering = 1 ansat pr. antal børn:</t>
  </si>
  <si>
    <t>Norm.</t>
  </si>
  <si>
    <t>Timer /uge</t>
  </si>
  <si>
    <t>Hvis der er mindst 30 børn i SFOen, SKAL der være en daglig leder( afdelingsleder).</t>
  </si>
  <si>
    <t>Pæd. uddannet uden daglig ledelse, ca.:</t>
  </si>
  <si>
    <t>Ikke pæd. udd. uden daglig ledelse, ca.:</t>
  </si>
  <si>
    <t>Pæd. uddannet med daglig ledelse, ca.:</t>
  </si>
  <si>
    <t>Ikke pæd. udd. med daglig ledelse ca.:</t>
  </si>
  <si>
    <t>Afdelingsleder (uafhængig af udd.), ca.:</t>
  </si>
  <si>
    <t>Månedslønninger inkl. pension mv.</t>
  </si>
  <si>
    <t>årsværk</t>
  </si>
  <si>
    <t>gnsn. mdsløn</t>
  </si>
  <si>
    <t>Der regnes med et gennemsnit for hele perioden:</t>
  </si>
  <si>
    <t>Undervisningsudgifter er alt til brug for undervisningen udover lønnen.</t>
  </si>
  <si>
    <t>Det drejer sig om:</t>
  </si>
  <si>
    <t>fotokopiering</t>
  </si>
  <si>
    <t>undervisningsmaterialer</t>
  </si>
  <si>
    <t>inventar og udstyr vedligeholdelse</t>
  </si>
  <si>
    <t>inventar og udstyr anskaffelse</t>
  </si>
  <si>
    <t>inventar og udstyr , leje, leasing</t>
  </si>
  <si>
    <t>Andre udgifter vedr. uv. i alt</t>
  </si>
  <si>
    <t>befordring melem skole og hjem</t>
  </si>
  <si>
    <t>materialer</t>
  </si>
  <si>
    <t>afskrivning</t>
  </si>
  <si>
    <t>mad og drikkevarer</t>
  </si>
  <si>
    <t>øvrige omkostninger</t>
  </si>
  <si>
    <t>Løn, ejendom</t>
  </si>
  <si>
    <t>Pedel og rengøringspersonale.</t>
  </si>
  <si>
    <t>Nogle steder gør forældrene rent helt eller delvist.</t>
  </si>
  <si>
    <t>I alt</t>
  </si>
  <si>
    <t>pension beregnes automatisk</t>
  </si>
  <si>
    <t>Hvis skolen ikke selv ejer sine bygninger, må den leje dem.</t>
  </si>
  <si>
    <t>Jeres bud på løn til rengøring og pedel:</t>
  </si>
  <si>
    <t>Jeres bud på lokaleleje:</t>
  </si>
  <si>
    <t>5 mdr.</t>
  </si>
  <si>
    <t>7. mdr.</t>
  </si>
  <si>
    <t>Budgettet er et rent driftsbudget.</t>
  </si>
  <si>
    <t>ejendomsskat</t>
  </si>
  <si>
    <t>varme</t>
  </si>
  <si>
    <t>elektricitet</t>
  </si>
  <si>
    <t>vand</t>
  </si>
  <si>
    <t>rengøringsmidler</t>
  </si>
  <si>
    <t>rengøringsselskab</t>
  </si>
  <si>
    <t>andre ejendomsomkostninger</t>
  </si>
  <si>
    <t>Nogle kommuner opkræver ikke ejendomsskat af friskoler</t>
  </si>
  <si>
    <t>forsikringer</t>
  </si>
  <si>
    <t>afgifter herunder renovation</t>
  </si>
  <si>
    <t>Øvrige ejendomsudgifter</t>
  </si>
  <si>
    <t>skat, afgifter og forsikringer</t>
  </si>
  <si>
    <t>varme, el, vand, rengøring</t>
  </si>
  <si>
    <t>Afskrivning og øvrige ejend.udg.</t>
  </si>
  <si>
    <t>Sekretærløn:</t>
  </si>
  <si>
    <t>revision</t>
  </si>
  <si>
    <t>andre konsulentydelser</t>
  </si>
  <si>
    <t>tab på debitorer (skolepenge)</t>
  </si>
  <si>
    <t>markedsføring</t>
  </si>
  <si>
    <t>kontorartikler, porto, tlf. mv.</t>
  </si>
  <si>
    <t>kontorinventar, anskaffelse</t>
  </si>
  <si>
    <t>lovpligtige afgifter vedr. personale</t>
  </si>
  <si>
    <t>videreuddannelse</t>
  </si>
  <si>
    <t>Benyt erfarent skolerevisionsfirma!</t>
  </si>
  <si>
    <t>personaleudgifter</t>
  </si>
  <si>
    <t>Gule felter skal udfyldes her på arket, øvrige har særlige ark til specifikationer.</t>
  </si>
  <si>
    <t>*) Tilskud til børnehaver skal komme fra kommunerne.</t>
  </si>
  <si>
    <t>Hvis ikke, bilagsarkene er udfyldt, hentes tallene fra Råbudgettet</t>
  </si>
  <si>
    <t>Vi anbefaler, at I ikke budgetterer med andre særtilskud!</t>
  </si>
  <si>
    <t>SFO-udgifter er alt til brug for SFO udover lønnen.</t>
  </si>
  <si>
    <t>Administrationudgifter er alt udover lønnen.</t>
  </si>
  <si>
    <t>Minimum normering = 1 ansat pr. antal børn:</t>
  </si>
  <si>
    <t>Der skal regnes med en feriepengeforpligtelse på 15% af al udbetalt løn pr. 31. dec.</t>
  </si>
  <si>
    <t>Den første uge af august er ferie for lærerne. De skal derfor ikke have løn i den periode fra skolens start.</t>
  </si>
  <si>
    <t>I juli måned holder lærerne 4 ugers ferie. Hvis de har været ansat fra 1. august året før, har de kun optjent ret til ca 10 dages løn i ferien. De skal derfor have lønfradrag for de sidste ca. 10 dage.
På samme måde skal de igen have lønfradrag for de 5 feriedage i august.</t>
  </si>
  <si>
    <t>Pr. 31. dec. skal feriepengeforpligtelsen reguleres for den øgede lønudgift i det forgangne år i forhold til året før (de 5 måneder). Forpligtelsen udgør 15% af forskellen.</t>
  </si>
  <si>
    <t>Jeres bud på løn til sekretær:</t>
  </si>
  <si>
    <t>minus</t>
  </si>
  <si>
    <t>plus</t>
  </si>
  <si>
    <t>Skolen kan også vælge at lade være, og fx følge specifikke regler fra aftalen. I det følgende benyttes aftalens regler.</t>
  </si>
  <si>
    <t>Hvis der oprettes en SFO uden daglig leder, anbefaler vi, at personalet består af uddannede pædagoger.</t>
  </si>
  <si>
    <t>Pæd. løn</t>
  </si>
  <si>
    <t>Feriefradrag og feriepengeforpligtelse</t>
  </si>
  <si>
    <t>resultat</t>
  </si>
  <si>
    <t>Skolepenge</t>
  </si>
  <si>
    <t>Lokaleleje</t>
  </si>
  <si>
    <t>Summen af antallet af skoleleder, lærere og børnehaveklasseledere kan som tommelfingerregel budgetteres som ca en pr. 13 - 14 elever.</t>
  </si>
  <si>
    <t>Dansk Friskoleforenings (tidligere) regioner svarer til Danmarks officielle regionsopdeling, idet Region Syddanmark dog er opdelt i to, nemlig Fyn og Sydjylland.
Herunder er vore regioner nummererede:</t>
  </si>
  <si>
    <t>Tallene i "Råbudgettet" er de indberettede tal indhentet fra undervisningsministeriets regnskabsportal, som er renset for indtægter og udgifter vedrørende evt. børnehavedrift.</t>
  </si>
  <si>
    <t>Andre indtægter (ekskl. evt. børnehave)</t>
  </si>
  <si>
    <t>INDTÆGTER I ALT(ekskl. evt. børnehave):</t>
  </si>
  <si>
    <t>Løn, undervisning (ekskl. evt. børnehave)</t>
  </si>
  <si>
    <t xml:space="preserve">UNDERVISNING I ALT(ekskl. evt. børnehave):  </t>
  </si>
  <si>
    <t>Lokaleleje (ekskl. evt. børnehave)</t>
  </si>
  <si>
    <t>Øvr. ejend.udg. herunder afskrivn. (ekskl. evt. børnehave)</t>
  </si>
  <si>
    <t xml:space="preserve">EJENDOMSDRIFT  I ALT (ekskl. evt. børnehave) </t>
  </si>
  <si>
    <t>Administrationsudgifter (ekskl. evt. børnehave)</t>
  </si>
  <si>
    <t xml:space="preserve">ADMINISTRATION M.V.  I ALT (ekskl. evt. børnehave):  </t>
  </si>
  <si>
    <t>DRIFTSOMKOSTNINGER (ekskl. evt. børnehave)</t>
  </si>
  <si>
    <t xml:space="preserve">RESULTAT (ekskl. Bh) før FIN. POSTER:  </t>
  </si>
  <si>
    <t>ÅRETS RESULTAT (ekskl. Bh)</t>
  </si>
  <si>
    <t>Skolepenge (ekskl. evt. børnehave)</t>
  </si>
  <si>
    <t>Vi anbefaler at skolerne som minimum udfylder fane 1-8  samt fane 22 med dagtilbudsbudget, såfremt der oprettes børnehave og/eller vuggestue.</t>
  </si>
  <si>
    <t>Børnehave</t>
  </si>
  <si>
    <t>Skal indtastes.</t>
  </si>
  <si>
    <t>Forplejning</t>
  </si>
  <si>
    <t>Oversigt</t>
  </si>
  <si>
    <t>Kommunalt tilskud pr. barn:</t>
  </si>
  <si>
    <t>Antal dage:</t>
  </si>
  <si>
    <t>Indtastes</t>
  </si>
  <si>
    <t>Bygningstilskud pr. barn</t>
  </si>
  <si>
    <t>Pris pr. dag:</t>
  </si>
  <si>
    <t>Administrationstilskud pr. barn</t>
  </si>
  <si>
    <t>Forplejning / barn / dag:</t>
  </si>
  <si>
    <t>Kommunalt tilskud i alt</t>
  </si>
  <si>
    <t>Forplejning / barn / år:</t>
  </si>
  <si>
    <t>Forældrebetaling pr. barn pr. år:</t>
  </si>
  <si>
    <t>Forplejning i alt:</t>
  </si>
  <si>
    <t>Private tilskud i alt (fx fra støtteforening)</t>
  </si>
  <si>
    <t>Madordning</t>
    <phoneticPr fontId="0" type="noConversion"/>
  </si>
  <si>
    <t>Indtægter forældrebetaling mv</t>
  </si>
  <si>
    <t>Antal børn:</t>
  </si>
  <si>
    <t>Antal børnpr. voksen (normering)</t>
  </si>
  <si>
    <t>Antal heltidsstillinger (normering)</t>
  </si>
  <si>
    <t>Indtægter i alt</t>
  </si>
  <si>
    <t>Vuggestue</t>
  </si>
  <si>
    <t>Forældrebetaling pr. barn pr.år:</t>
  </si>
  <si>
    <t>Indtægter:</t>
  </si>
  <si>
    <t>Kommunale tilskud</t>
  </si>
  <si>
    <t>Forældrebetaling</t>
  </si>
  <si>
    <t>Lønudgifter daginstitution</t>
  </si>
  <si>
    <t>Private tilskud</t>
  </si>
  <si>
    <t>Lønrefusioner vedr. daginstitution</t>
  </si>
  <si>
    <t>Lønafhængige omkostninger daginstitution</t>
  </si>
  <si>
    <t>Indtægter i alt:</t>
  </si>
  <si>
    <t>Lønomkostninger i alt</t>
  </si>
  <si>
    <t>Udgifter:</t>
  </si>
  <si>
    <t>Andre udgifter spec:</t>
  </si>
  <si>
    <t xml:space="preserve">Løn </t>
  </si>
  <si>
    <t>Lønafhængige omkostninger:</t>
  </si>
  <si>
    <t>Daglige aktiviteter</t>
  </si>
  <si>
    <t>Materialer</t>
  </si>
  <si>
    <t>Legetøj</t>
  </si>
  <si>
    <t>Kopimaskine</t>
  </si>
  <si>
    <t>Inventar og udstyr</t>
  </si>
  <si>
    <t>Ekskursioner</t>
  </si>
  <si>
    <t>Legeplads</t>
  </si>
  <si>
    <t>Prioritetsomkostninger</t>
  </si>
  <si>
    <t>Andre udgifter</t>
  </si>
  <si>
    <t>Udgifter i alt:</t>
  </si>
  <si>
    <t>Daglige aktiviteter i alt</t>
  </si>
  <si>
    <t xml:space="preserve">Årets resultat: </t>
  </si>
  <si>
    <t>Lokaler / Bygninger</t>
  </si>
  <si>
    <t>Husleje</t>
  </si>
  <si>
    <t>Skatter afgifter, renovation</t>
  </si>
  <si>
    <t>El, vand, varme</t>
  </si>
  <si>
    <t>Rengøring løn  -PAS PÅ med dobbeltløn!</t>
  </si>
  <si>
    <t>Rengøringsartikler</t>
  </si>
  <si>
    <t>Pedel løn -- Pas på med dobbeltløn!</t>
  </si>
  <si>
    <t>Bygningsforsikringer</t>
  </si>
  <si>
    <t>Afskrivninger bygninger</t>
  </si>
  <si>
    <t>Lokaler / Bygninger i alt</t>
  </si>
  <si>
    <t>Financielle poster</t>
  </si>
  <si>
    <t>Renteudgifter</t>
  </si>
  <si>
    <t>Forplejning spec:</t>
  </si>
  <si>
    <t>Grøntsager</t>
  </si>
  <si>
    <t>Frugt</t>
  </si>
  <si>
    <t>Forplejning i alt</t>
  </si>
  <si>
    <t>Personaleudgifter</t>
  </si>
  <si>
    <t>Kørselsgodtgørelse</t>
  </si>
  <si>
    <t>Kurser</t>
  </si>
  <si>
    <t>Efteruddannelse</t>
  </si>
  <si>
    <t>Vikarer</t>
  </si>
  <si>
    <t>Personaleudgifter i alt</t>
  </si>
  <si>
    <t>Administration</t>
  </si>
  <si>
    <t>Sekretær løn - PAS PÅ med dobbelt løn</t>
  </si>
  <si>
    <t>Edb/lønsystem</t>
  </si>
  <si>
    <t>Porto</t>
  </si>
  <si>
    <t>Telefon</t>
  </si>
  <si>
    <t>Annoncer</t>
  </si>
  <si>
    <t>Abonnementer</t>
  </si>
  <si>
    <t>Repræsentation</t>
  </si>
  <si>
    <t>Forsikringer ej bygninger</t>
  </si>
  <si>
    <t>Kontingent Dansk Friskoleforening</t>
  </si>
  <si>
    <t>Administration i alt</t>
  </si>
  <si>
    <t>Udgifter i alt</t>
  </si>
  <si>
    <t>Resultat daginstitution</t>
  </si>
  <si>
    <t>også kaldet 'FørSFO', 'FørSkole' eller 'Vippeordning'.</t>
  </si>
  <si>
    <t>aug-dec</t>
  </si>
  <si>
    <t>jan-dec</t>
  </si>
  <si>
    <t>Finansielle poster i alt</t>
  </si>
  <si>
    <t>Kommunalt tilskud pr. barn: (årlig takst)</t>
  </si>
  <si>
    <t>Bygningstilskud pr. barn (årlig takst)</t>
  </si>
  <si>
    <t>Administrationstilskud pr. barn (årlig takst)</t>
  </si>
  <si>
    <t>Lønudgifter(Se lønsatser i arket '8.Loen,SFO')</t>
  </si>
  <si>
    <t>Nogle kommuner giver tilskud til heltidsskolefritidsordninger.</t>
  </si>
  <si>
    <t>På kommunernes hjemmeside kan tilskudstakster pr. barn til private dagtilbud findes.</t>
  </si>
  <si>
    <t>til 'Budget'</t>
  </si>
  <si>
    <t>På næste ark 'Råbudget' ses alle hovedtal baseret på antallet af elever og geografisk placering af skolen.
Dette ark kan umiddelbart bruges som foreløbigt budget, men der er mulighed for at gå tættere på for udvalgte poster, ved at udfylde fanerne 1-21 med skolens egne forventede tal. Disse tal videreføres til fanen "Budget", og vil dermed være skolens eget budget.</t>
  </si>
  <si>
    <t>barsel.dk</t>
  </si>
  <si>
    <t>Prioritetsrenter(Indtastes som negativt beløb)</t>
  </si>
  <si>
    <r>
      <t>Renteudg. excl. Prioritetsrenter</t>
    </r>
    <r>
      <rPr>
        <sz val="9"/>
        <rFont val="Arial"/>
        <family val="2"/>
      </rPr>
      <t>(Indtastes som negativt beløb)</t>
    </r>
  </si>
  <si>
    <t>Når elevtallet er indtastet kan man se gennemsnitstal for samtlige hovedtal i regnskabet for regnskabsåret 2016 opdelt i friskoleforeningens regionsopdeling og efter 4 forskellige skolestørrelser.</t>
  </si>
  <si>
    <t>Skoleaktier</t>
  </si>
  <si>
    <t>0-55 eleve=7.000,-. 56-109 elever=12.000,-. 110-219 elever=18.000,-. Over 220 elever=24.000,- pr. år.</t>
  </si>
  <si>
    <t>350-699 elever</t>
  </si>
  <si>
    <t>700 elever eller derover</t>
  </si>
  <si>
    <t>Er skolen i stedtillægsområde 4-6 tilføres ekstra 2%</t>
  </si>
  <si>
    <t>Specialundervisningstilskud udgør:</t>
  </si>
  <si>
    <t>SPS-elev nr. 1</t>
  </si>
  <si>
    <t>SPS-elev nr. 2</t>
  </si>
  <si>
    <t>SPS-elev nr. 3</t>
  </si>
  <si>
    <t>Krav til at modtage tilskud i skolens første 5 mdr. er at der søges særligt herom ved UMV.</t>
  </si>
  <si>
    <t>Feriepengeforpligtigelse</t>
  </si>
  <si>
    <t>Budgettet beregner skyldige feridage(se noter):</t>
  </si>
  <si>
    <t>indskrivningsgebyr</t>
  </si>
  <si>
    <t>IT og administrationsprogram</t>
  </si>
  <si>
    <t>Statstilskud</t>
  </si>
  <si>
    <t>August</t>
  </si>
  <si>
    <t>September</t>
  </si>
  <si>
    <t>Oktober</t>
  </si>
  <si>
    <t>November</t>
  </si>
  <si>
    <t>December</t>
  </si>
  <si>
    <t>Januar</t>
  </si>
  <si>
    <t>Februar</t>
  </si>
  <si>
    <t>Marts</t>
  </si>
  <si>
    <t>April</t>
  </si>
  <si>
    <t>Maj</t>
  </si>
  <si>
    <t>Juni</t>
  </si>
  <si>
    <t>Juli</t>
  </si>
  <si>
    <t>SFO</t>
  </si>
  <si>
    <t>Depositum</t>
  </si>
  <si>
    <t>Før skolestart</t>
  </si>
  <si>
    <t>Løn uv</t>
  </si>
  <si>
    <t>Løn SFO</t>
  </si>
  <si>
    <t>Løn adm</t>
  </si>
  <si>
    <t>UV-udgifter</t>
  </si>
  <si>
    <t>Ejd. Udgifter</t>
  </si>
  <si>
    <t>Adm. Udgifter</t>
  </si>
  <si>
    <t>Indmeldelsesgebyr</t>
  </si>
  <si>
    <t>Depositum bygninger</t>
  </si>
  <si>
    <t>SFO tilskud</t>
  </si>
  <si>
    <t>Bygningstilskud</t>
  </si>
  <si>
    <t>Inklustionstilskud</t>
  </si>
  <si>
    <t>Primo</t>
  </si>
  <si>
    <t>Ultimo likviditet</t>
  </si>
  <si>
    <t>Kostpenge</t>
  </si>
  <si>
    <t>Samlet adm. Udgifter</t>
  </si>
  <si>
    <t>Udgifter til ansættelse personale</t>
  </si>
  <si>
    <t>Best. udgifter</t>
  </si>
  <si>
    <t>Inventar</t>
  </si>
  <si>
    <t>Øvrige</t>
  </si>
  <si>
    <t>Etablering og vedligehol</t>
  </si>
  <si>
    <t>Medlemskab Friskolerne</t>
  </si>
  <si>
    <t>SFO udgifter</t>
  </si>
  <si>
    <t>Driftsresultat</t>
  </si>
  <si>
    <t>Forudbetalinger</t>
  </si>
  <si>
    <t>Feriepengeforpligtigelse undervisning</t>
  </si>
  <si>
    <t>Feriepengeforpligtigelse SFO</t>
  </si>
  <si>
    <t>Likviditetsresultat 2021</t>
  </si>
  <si>
    <t>Antal årselever i regnskabsåret (grundskolen)</t>
  </si>
  <si>
    <t>Resultatopgørelse</t>
  </si>
  <si>
    <t>Nystartet skole - 5 måneder</t>
  </si>
  <si>
    <t>Indtægter</t>
  </si>
  <si>
    <t>1 Statstilskud</t>
  </si>
  <si>
    <t>Note 1 - Statstilskud</t>
  </si>
  <si>
    <t>Grundtilskud</t>
  </si>
  <si>
    <t>Undervisningstilskud</t>
  </si>
  <si>
    <t>Fællesudgiftstilskud</t>
  </si>
  <si>
    <t>Tilskud til skolefritidsordning (0.-3. klasse)</t>
  </si>
  <si>
    <t>Tilskud til inklusion til elever med særlige behov i den almindelige undervisning</t>
  </si>
  <si>
    <t>Tilskud til specialundervisning og anden specialpædagogisk bistand</t>
  </si>
  <si>
    <t>Tilskud til personlig assistance</t>
  </si>
  <si>
    <t>Tilskud til kostafdelinger, grundskolen</t>
  </si>
  <si>
    <t>Særlige tilskud</t>
  </si>
  <si>
    <t>Tilskud til støtteundervisning i dansk af to-sprogede elever (fra Fordelingssekretariatet)</t>
  </si>
  <si>
    <t>Tilskud til kompensation til tyske mindretalsskoler (fra Deutscher Schul- und Sprachverein)</t>
  </si>
  <si>
    <t>Tilskud til tyske mindretalsskoler (fra Deutscher Schul- und Sprachverein)</t>
  </si>
  <si>
    <t>Statstilskud i alt</t>
  </si>
  <si>
    <t>2 Skolepenge og betaling fra pasningsordninger</t>
  </si>
  <si>
    <t>Note 2 - Skolepenge og betaling fra pasningsordninger</t>
  </si>
  <si>
    <t>Skolepenge, netto</t>
  </si>
  <si>
    <t>Tilskud til nedbringelse af skolepenge (fra Fordelingssekretariatet eller Deutscher Schul- und Sprachverein)</t>
  </si>
  <si>
    <t>Skolefritidsordningsbetaling, netto (0 - 3. klasse)</t>
  </si>
  <si>
    <t>Tilskud til nedbringelse af skolefritidsordning (0 - 3. klasse) (fra Fordelingssekretariatet eller Deutscher Schul- und Sprachverein)</t>
  </si>
  <si>
    <t>Klubtilbudsbetaling (SFO) for børn fra 4. klassetrin</t>
  </si>
  <si>
    <t>Opholdsbetaling fra forældre, netto</t>
  </si>
  <si>
    <t>Opholdsbetaling fra offentlige myndigheder</t>
  </si>
  <si>
    <t>Tilskud til nedbringelse af opholdsbetaling (fra Fordelingssekretariatet)</t>
  </si>
  <si>
    <t>Dagtilbudsbetaling</t>
  </si>
  <si>
    <t>Heltidsskolefritidsordningsbetaling</t>
  </si>
  <si>
    <t>Betaling for materialer, ekskursioner, rejser m.v.</t>
  </si>
  <si>
    <t>Indskrivningsgebyrer</t>
  </si>
  <si>
    <t>Skolepenge i alt</t>
  </si>
  <si>
    <t>Skolepenge pr. årselev</t>
  </si>
  <si>
    <t>3 Andre indtægter og tilskud</t>
  </si>
  <si>
    <t>Note 3 - Andre indtægter og tilskud</t>
  </si>
  <si>
    <t>Lejeindtægter fra lokaler m.v.</t>
  </si>
  <si>
    <t>Lejeindtægter fra boliger, boligbidrag m.v. (ansatte)</t>
  </si>
  <si>
    <t>Ansattes betaling for lys og varme m.v.</t>
  </si>
  <si>
    <t>Ansattes betaling for kost</t>
  </si>
  <si>
    <t>Salg fra kostafdeling/kantine</t>
  </si>
  <si>
    <t>Betaling for skolemad</t>
  </si>
  <si>
    <t>Kontingent skolekredsmedlemmer og lignende</t>
  </si>
  <si>
    <t>Donationer, grundskolen</t>
  </si>
  <si>
    <t>Donationer, skolefritidsordning</t>
  </si>
  <si>
    <t>Donationer, dagtilbud</t>
  </si>
  <si>
    <t>Donationer, heltidsskolefritidsordningen</t>
  </si>
  <si>
    <t>Donationer, særlige tilbud om grundskoleundervisning til visse tosprogede elever</t>
  </si>
  <si>
    <t>Donationer (Periodiserede), modtaget tidligere år</t>
  </si>
  <si>
    <t>Indtægter ved administrative opgaver for andre skoler</t>
  </si>
  <si>
    <t>Kommunale tilskud, klubtilbud (SFO) for børn fra 4. klassetrin</t>
  </si>
  <si>
    <t>Kommunale tilskud dagtilbud</t>
  </si>
  <si>
    <t>Kommunale tilskud heltidsskolefritidsordning</t>
  </si>
  <si>
    <t>Kommunale tilskud særlige tilbud om grundskoleundervisning til visse tosprogede elever</t>
  </si>
  <si>
    <t>Kommunale tilskud, støttekrævende elever i grundskolen</t>
  </si>
  <si>
    <t>Kommunale tilskud, støttekrævende elever i skolefritidsordning</t>
  </si>
  <si>
    <t>Kommunale tilskud skolefritidsordning (0.-3. klasse)</t>
  </si>
  <si>
    <t>Kommunale tilskud, øvrige</t>
  </si>
  <si>
    <t>Tilskud til efter- og videreuddannelse</t>
  </si>
  <si>
    <t>Øvrige indtægter</t>
  </si>
  <si>
    <t>Andre indtægter og tilskud i alt</t>
  </si>
  <si>
    <t>Andre indtægter pr. årselev</t>
  </si>
  <si>
    <t>Indtægter i alt jf. årsrapport</t>
  </si>
  <si>
    <t>Omkostninger</t>
  </si>
  <si>
    <t>Undervisning</t>
  </si>
  <si>
    <t>4 Lønomkostninger undervisning og pasningsordninger</t>
  </si>
  <si>
    <t>Note 4 - Lønomkostninger undervisning og pasningsordninger</t>
  </si>
  <si>
    <t>Løn og lønafhængige omkostninger</t>
  </si>
  <si>
    <t>Lønrefusioner</t>
  </si>
  <si>
    <t>Tilskud efter lov om barselsudligning</t>
  </si>
  <si>
    <t>Tilskud fra vikarpuljen (fra Fordelingssekretariatet)</t>
  </si>
  <si>
    <t>Tilskud til sygeundervisning (fra Fordelingssekretariatet)</t>
  </si>
  <si>
    <t>Tilskud til særlige lærerlønudgifter, fx fratrædelsesordninger (fra Fordelingssekretariatet)</t>
  </si>
  <si>
    <t>Øvrige omkostninger undervisning pr. årselev</t>
  </si>
  <si>
    <t>Undervisning i alt</t>
  </si>
  <si>
    <t>Skolefritidsordning</t>
  </si>
  <si>
    <t>Tilskud til vikarpuljen (fra Fordelingssekretariatet)</t>
  </si>
  <si>
    <t>Skolefritidsordning i alt</t>
  </si>
  <si>
    <t>Dagtilbud</t>
  </si>
  <si>
    <t>Dagtilbud i alt</t>
  </si>
  <si>
    <t>Heltidsskolefritidsordning</t>
  </si>
  <si>
    <t>Heltidsskolefritidsordning i alt</t>
  </si>
  <si>
    <t>Særlige tilbud om grundskoleundervisning til visse tosprogede elever</t>
  </si>
  <si>
    <t>Særlige tilbud om grundskoleundervisning til visse tosprogede elever i alt</t>
  </si>
  <si>
    <t>Lønomkostninger undervisning og pasningsordninger i alt</t>
  </si>
  <si>
    <t>5 Andre omkostninger undervisning og pasningsordninger</t>
  </si>
  <si>
    <t>Note 5 - Andre omkostninger undervisning og pasningsordninger</t>
  </si>
  <si>
    <t>Overenskomst med udbyder af erhvervsuddannelser</t>
  </si>
  <si>
    <t>Undervisningsmaterialer inklusiv bøger m.v. samt it-omkostninger</t>
  </si>
  <si>
    <t>Fotokopiering</t>
  </si>
  <si>
    <t>Lejrskoler, rejser og ekskursioner</t>
  </si>
  <si>
    <t>Befordringsudgifter inkl. drift af busser, netto</t>
  </si>
  <si>
    <t>Befordring mellem skole og hjem, netto</t>
  </si>
  <si>
    <t>Pædagogiske kurser, netto</t>
  </si>
  <si>
    <t>Vederlag  til tilsynsførende</t>
  </si>
  <si>
    <t>Tjenesterejser</t>
  </si>
  <si>
    <t>Inventar og udstyr, leje og leasing</t>
  </si>
  <si>
    <t>Inventar og udstyr, småanskaffelser</t>
  </si>
  <si>
    <t>Inventar og udstyr, vedligeholdelse</t>
  </si>
  <si>
    <t>Immaterielle anlægsaktiver, afskrivninger</t>
  </si>
  <si>
    <t>Inventar og udstyr, afskrivninger</t>
  </si>
  <si>
    <t>Køb af hjælpemidler til elever med særlige behov, netto</t>
  </si>
  <si>
    <t>Øvrige omkostninger</t>
  </si>
  <si>
    <t>Mad og drikkevarer</t>
  </si>
  <si>
    <t>Pædagogiske kurser</t>
  </si>
  <si>
    <t>IT-omkostninger</t>
  </si>
  <si>
    <t>Øvrige omkostninger SFO pr. årselev</t>
  </si>
  <si>
    <t>Andre omkostninger undervisning og pasningsordninger i alt</t>
  </si>
  <si>
    <t>Ejendomsdrift</t>
  </si>
  <si>
    <t>6 Lønomkostninger ejendomsdrift</t>
  </si>
  <si>
    <t>Note 6 - Lønomkostninger ejendomsdrift</t>
  </si>
  <si>
    <t>Lønomkostninger ejendomsdrift i alt</t>
  </si>
  <si>
    <t>Lønomkostninger ejendom pr. årselev</t>
  </si>
  <si>
    <t>7 Andre omkostninger ejendomsdrift</t>
  </si>
  <si>
    <t>Note 7 - Andre omkostninger ejendomsdrift</t>
  </si>
  <si>
    <t>Lejeomkostninger, bygninger og arealer</t>
  </si>
  <si>
    <t>Timelejemål</t>
  </si>
  <si>
    <t>Ejendomsskatter</t>
  </si>
  <si>
    <t>Ejendomsforsikringer</t>
  </si>
  <si>
    <t>Alarmer</t>
  </si>
  <si>
    <t>Varme, el og vand inklusive tilhørende afgifter</t>
  </si>
  <si>
    <t>Rengøring og renovation</t>
  </si>
  <si>
    <t>Bygninger, indretning af lejede lokaler, inventar og udstyr, vedligeholdelse</t>
  </si>
  <si>
    <t>Bygninger, indretning af lejede lokaler, inventar og udstyr, afskrivninger</t>
  </si>
  <si>
    <t>Ejendomsdrift i alt</t>
  </si>
  <si>
    <t>Skolefritidsordning (0.-3. klasse) samt klubtilbud (skolefritidsordning) for børn fra 4. klassetrin</t>
  </si>
  <si>
    <t>Lejeomkostninger</t>
  </si>
  <si>
    <t>Skolefritidsordning (0.-3. klasse) samt klubtilbud (skolefritidsordning) for børn fra 4. klassetrin i alt</t>
  </si>
  <si>
    <t>Andre omkostninger ejendomsdrift i alt</t>
  </si>
  <si>
    <t>Andre omkostninger ejendom pr. årselev</t>
  </si>
  <si>
    <t>Kostafdeling/kantinedrift/skolemadsordning</t>
  </si>
  <si>
    <t>8 Lønomkostninger kostafdeling, kantinedrift og skolemadsordning</t>
  </si>
  <si>
    <t>Note 8 - Lønomkostninger kostafdeling, kantinedrift og skolemadsordning</t>
  </si>
  <si>
    <t>Lønomkostninger kostafdeling, kantinedrift og skolemadsordning i alt</t>
  </si>
  <si>
    <t>9 Andre omkostninger kostafdeling, kantinedrift og skolemadsordning</t>
  </si>
  <si>
    <t>Note 9 - Andre omkostninger kostafdeling, kantinedrift og skolemadsordning</t>
  </si>
  <si>
    <t>Madvarer</t>
  </si>
  <si>
    <t>Fritidsaktiviteter/weekends</t>
  </si>
  <si>
    <t>Inventar og udstyr, afskrivning</t>
  </si>
  <si>
    <t>Kostafdeling/kantinedrift/skolemadsordning i alt</t>
  </si>
  <si>
    <t>Kostafdeling i alt</t>
  </si>
  <si>
    <t>Administration m.v.</t>
  </si>
  <si>
    <t>10 Lønomkostninger administration</t>
  </si>
  <si>
    <t>Note 10 - Lønomkostninger administration</t>
  </si>
  <si>
    <t>Lønomkostninger administration i alt</t>
  </si>
  <si>
    <t>Lønomkostninger administration pr. årselev</t>
  </si>
  <si>
    <t>11 Andre omkostninger administration</t>
  </si>
  <si>
    <t>Note 11 - Andre omkostninger administration</t>
  </si>
  <si>
    <t>Revision</t>
  </si>
  <si>
    <t>Regnskabmæssig assistance</t>
  </si>
  <si>
    <t>Andre konsulentydelser</t>
  </si>
  <si>
    <t>Forsikringer</t>
  </si>
  <si>
    <t>Markedsføring</t>
  </si>
  <si>
    <t>Omkostninger ved ansættelse af personale</t>
  </si>
  <si>
    <t>Personaleomkostninger</t>
  </si>
  <si>
    <t>Bestyrelsesomkostninger</t>
  </si>
  <si>
    <t>Lovpligtige afgifter personale</t>
  </si>
  <si>
    <t>Kontorartikler, porto, telefon</t>
  </si>
  <si>
    <t>Kontingent til skoleforeninger</t>
  </si>
  <si>
    <t>Vikarkassebidrag (Fordelingssekretariatet)</t>
  </si>
  <si>
    <t>Tab på skolepenge</t>
  </si>
  <si>
    <t>Andre omkostninger administration i alt</t>
  </si>
  <si>
    <t>Andre omkostninger administration pr. årselev</t>
  </si>
  <si>
    <t>Administration m.v. i alt</t>
  </si>
  <si>
    <t>Omkostninger vedr. drift  i alt jf. årsrapport</t>
  </si>
  <si>
    <t>Omkostninger vedr. drift  i alt</t>
  </si>
  <si>
    <t>Resultat før finansielle poster</t>
  </si>
  <si>
    <t>Finansielle poster</t>
  </si>
  <si>
    <t>12 Finansielle indtægter m.v.</t>
  </si>
  <si>
    <t>Note 12 - Finansielle indtægter m.v.</t>
  </si>
  <si>
    <t>Renteindtægter, bankindeståender m.v.</t>
  </si>
  <si>
    <t>Gevinst ved indfrielse af afledte finansielle instrumenter</t>
  </si>
  <si>
    <t>Renter og udbytter, værdipapirer</t>
  </si>
  <si>
    <t>Realiserede og urealiserede kursgevinster af værdipapirer</t>
  </si>
  <si>
    <t>Finansielle indtægter m.v. i alt</t>
  </si>
  <si>
    <t>13 Finansielle omkostninger m.v.</t>
  </si>
  <si>
    <t>Note 13 - Finansielle omkostninger m.v.</t>
  </si>
  <si>
    <t>Renteudgifter, pengeinstitutter</t>
  </si>
  <si>
    <t>Tab ved indfrielse af afledte finansielle instrumenter</t>
  </si>
  <si>
    <t>Øvrige renteudgifter m.v.</t>
  </si>
  <si>
    <t>Realiserede og urealiserede kurstab af værdipapirer</t>
  </si>
  <si>
    <t>Summering</t>
  </si>
  <si>
    <t>Prioritetsrenter inklusive bidrag og provision m.v.</t>
  </si>
  <si>
    <t>Finansielle omkostninger m.v. i alt</t>
  </si>
  <si>
    <t>Årets resultat pr. årselev</t>
  </si>
  <si>
    <t>Årets resultat jfr. årsrapport</t>
  </si>
  <si>
    <t>Årets resultat</t>
  </si>
  <si>
    <t>14 Særlige poster</t>
  </si>
  <si>
    <t>Note nr. 14 - Særlige poster</t>
  </si>
  <si>
    <t>Særlige indtægter</t>
  </si>
  <si>
    <t>Særlige omkostninger</t>
  </si>
  <si>
    <t>Særlige poster i alt</t>
  </si>
  <si>
    <t>Årets resultat eksklusiv særlige poster</t>
  </si>
  <si>
    <t>Balance</t>
  </si>
  <si>
    <t>Aktiver</t>
  </si>
  <si>
    <t>Anlægsaktiver</t>
  </si>
  <si>
    <t>15 Immaterielle anlægsaktiver</t>
  </si>
  <si>
    <t>Note 15 – Immaterielle anlægsaktiver</t>
  </si>
  <si>
    <t>Tilgang i årets løb</t>
  </si>
  <si>
    <t>Afgang i årets løb</t>
  </si>
  <si>
    <t>Årets af – og nedskrivninger</t>
  </si>
  <si>
    <t>Regnskabsmæssig værdi ultimo</t>
  </si>
  <si>
    <t>Immaterielle anlægsaktiver</t>
  </si>
  <si>
    <t>16 Materielle anlægsaktiver</t>
  </si>
  <si>
    <t>Note 16 - Materielle anlægsaktiver</t>
  </si>
  <si>
    <t>Grunde og bygninger</t>
  </si>
  <si>
    <t>Tilgang i årets løb, Grunde og bygninger</t>
  </si>
  <si>
    <t>Afgang i årets løb, Grunde og bygninger</t>
  </si>
  <si>
    <t>Årets af- og nedskrivninger</t>
  </si>
  <si>
    <t>Offentlig ejendomsvurdering (gældende jf. skat.dk)</t>
  </si>
  <si>
    <t>Værdien af afsluttede ikke vurderede ny- og om-/tilbygninger</t>
  </si>
  <si>
    <t>Indretning af lejede lokaler</t>
  </si>
  <si>
    <t>Tilgang i årets løb, Indretning af lejede lokaler</t>
  </si>
  <si>
    <t>Afgang i årets løb, Indretning af lejede lokaler</t>
  </si>
  <si>
    <t>Tilgang i årets løb, Inventar og udstyr</t>
  </si>
  <si>
    <t>Afgang i årets løb, Inventar og udstyr</t>
  </si>
  <si>
    <t>Bus, traktorer og andre køretøjer</t>
  </si>
  <si>
    <t>Tilgang i årets løb, Bus, traktorer og andre køretøjer</t>
  </si>
  <si>
    <t>Afgang i årets løb, Bus, traktorer og andre køretøjer</t>
  </si>
  <si>
    <t>Forudbetalte og uafsluttede anlægsaktiver</t>
  </si>
  <si>
    <t>Materielle anlægsaktiver</t>
  </si>
  <si>
    <t>17 Finansielle anlægsaktiver</t>
  </si>
  <si>
    <t>Note 17 - Finansielle anlægsaktiver</t>
  </si>
  <si>
    <t>Deposita</t>
  </si>
  <si>
    <t>Afledte finansielle instrumenter (positiv dagsværdi)</t>
  </si>
  <si>
    <t>Finansielle anlægsaktiver  i alt</t>
  </si>
  <si>
    <t>Anlægsaktiver i alt</t>
  </si>
  <si>
    <t xml:space="preserve">Omsætningsaktiver </t>
  </si>
  <si>
    <t>18 Varebeholdninger</t>
  </si>
  <si>
    <t>Note 18 - Varebeholdninger</t>
  </si>
  <si>
    <t>Varebeholdninger</t>
  </si>
  <si>
    <t>Varebeholdninger i alt</t>
  </si>
  <si>
    <t>19 Tilgodehavende skolepenge</t>
  </si>
  <si>
    <t>Note 19 - Tilgodehavende skolepenge</t>
  </si>
  <si>
    <t>Tilgodehavende skolepenge</t>
  </si>
  <si>
    <t>Hensat til tab på tilgodehavende skolepenge</t>
  </si>
  <si>
    <t>Tilgodehavende skolepenge i alt</t>
  </si>
  <si>
    <t>20 Andre tilgodehavender</t>
  </si>
  <si>
    <t>Note 20 - Andre tilgodehavender</t>
  </si>
  <si>
    <t>Mellemregning med ministeriet</t>
  </si>
  <si>
    <t>Mellemregning med kommunen</t>
  </si>
  <si>
    <t>Tilgodehavende lønrefusioner fra staten, kommunen og andre</t>
  </si>
  <si>
    <t>Andre tilgodehavender</t>
  </si>
  <si>
    <t>Andre tilgodehavender i alt</t>
  </si>
  <si>
    <t>21 Periodeafgrænsningsposter</t>
  </si>
  <si>
    <t>Note 21 - Periodeafgrænsningsposter (omkostninger)</t>
  </si>
  <si>
    <t>Forudbetalte lønninger</t>
  </si>
  <si>
    <t>Forudbetalt leje</t>
  </si>
  <si>
    <t>Andre forudbetalinger</t>
  </si>
  <si>
    <t>Periodeafgrænsningsposter  i alt</t>
  </si>
  <si>
    <t>22 Værdipapirer</t>
  </si>
  <si>
    <t xml:space="preserve">Note 22 - Værdipapirer </t>
  </si>
  <si>
    <t>Aktier i pengeinstitutter</t>
  </si>
  <si>
    <t>Andele i forsyningsvirksomheder</t>
  </si>
  <si>
    <t>Obligationer</t>
  </si>
  <si>
    <t>Værdipapirer i alt</t>
  </si>
  <si>
    <t>23 Likvide beholdninger</t>
  </si>
  <si>
    <t>Note 23 - Likvide beholdninger</t>
  </si>
  <si>
    <t>Kassebeholdninger</t>
  </si>
  <si>
    <t>Indestående i penginstitutter</t>
  </si>
  <si>
    <t>Aftalekonti</t>
  </si>
  <si>
    <t>Likvide beholdninger i alt</t>
  </si>
  <si>
    <t>Omsætningsaktiver i alt</t>
  </si>
  <si>
    <t>Aktiver i alt jf. årsrapport</t>
  </si>
  <si>
    <t>Aktiver i alt</t>
  </si>
  <si>
    <t>Passiver</t>
  </si>
  <si>
    <t>Egenkapital</t>
  </si>
  <si>
    <t>24 Opskrivninger i alt</t>
  </si>
  <si>
    <t>Note 24 – Opskrivninger i alt</t>
  </si>
  <si>
    <t>Opskrivninger i alt</t>
  </si>
  <si>
    <t>25 Egenkapital i øvrigt</t>
  </si>
  <si>
    <t>Note 25 - Egenkapital i øvrigt</t>
  </si>
  <si>
    <t>Saldo primo</t>
  </si>
  <si>
    <t>Nettoeffekt ved rettelse af væsentlige fejl</t>
  </si>
  <si>
    <t>Nettoeffekt ved ændring af regnskabspraksis</t>
  </si>
  <si>
    <t>Værdiregulering af afledte finansielle instrumenter</t>
  </si>
  <si>
    <t>Legatkapital til uddeling</t>
  </si>
  <si>
    <t>Øvrige bevægelser</t>
  </si>
  <si>
    <t>Saldo ultimo</t>
  </si>
  <si>
    <t>Egenkapital i alt</t>
  </si>
  <si>
    <t>26 Hensatte forpligtelser</t>
  </si>
  <si>
    <t>Note 26 - Hensatte forpligtelser</t>
  </si>
  <si>
    <t>Hensatte forpligtelser i alt</t>
  </si>
  <si>
    <t>Gæld</t>
  </si>
  <si>
    <t>27 Statslån</t>
  </si>
  <si>
    <t>Note 27 - Statslån</t>
  </si>
  <si>
    <t>Rente- og afdragsfrie statslån</t>
  </si>
  <si>
    <t>Statslån i øvrigt</t>
  </si>
  <si>
    <t>Statslån i alt</t>
  </si>
  <si>
    <t>28 Kommunal gæld</t>
  </si>
  <si>
    <t>Note 28 - Kommunal gæld</t>
  </si>
  <si>
    <t>Rente- og afdragsfri kommunal gæld</t>
  </si>
  <si>
    <t>Kommunal gæld i øvrigt</t>
  </si>
  <si>
    <t>Kommunal gæld i alt</t>
  </si>
  <si>
    <t>29 Realkreditgæld</t>
  </si>
  <si>
    <t>Note 29 - Realkreditgæld</t>
  </si>
  <si>
    <t>Realkreditgæld</t>
  </si>
  <si>
    <t>Afledte finansielle instrumenter</t>
  </si>
  <si>
    <t>Tab/gevinst ved indfrielse af finansielle instrumenter, ved reel låneomlægning af sammenlignelige lån (amortiseret)</t>
  </si>
  <si>
    <t>Realkreditgæld i alt</t>
  </si>
  <si>
    <t>30 Gæld finansiel leasing</t>
  </si>
  <si>
    <t>Note 30 - Gæld finansiel leasing</t>
  </si>
  <si>
    <t>Gæld finansiel leasing i alt</t>
  </si>
  <si>
    <t>31 Andre langfristede gældsforpligtelser</t>
  </si>
  <si>
    <t>Note 31 - Andre langfristede gældsforpligtelser</t>
  </si>
  <si>
    <t>Skyldige indefrosne feriemidler</t>
  </si>
  <si>
    <t>Årets forudmodtagne donationer (til forbrug efter 1 år)</t>
  </si>
  <si>
    <t>Resterende andel af forudmodtagne donationer fra tidligere år</t>
  </si>
  <si>
    <t>Øvrige langfristede gældsforpligtelser</t>
  </si>
  <si>
    <t>Andre langfristede gældsforpligtelser i alt</t>
  </si>
  <si>
    <t>32 Periodiseret anlægstilskud</t>
  </si>
  <si>
    <t>Note 32 - Periodiseret anlægstilskud</t>
  </si>
  <si>
    <t>Årets modtagne donationer</t>
  </si>
  <si>
    <t>Årets indtægtsførsel</t>
  </si>
  <si>
    <t>Periodiseret anlægstilskud i alt</t>
  </si>
  <si>
    <t>Langfristet gæld i alt</t>
  </si>
  <si>
    <t>Næste års afdrag på langfristede gældsforpligtelser</t>
  </si>
  <si>
    <t>33 Gæld til pengeinstitutter</t>
  </si>
  <si>
    <t>Note 33 - Gæld til pengeinstitutter</t>
  </si>
  <si>
    <t>Oplysning om samlet trækningsret pr. 31. december kassekredit</t>
  </si>
  <si>
    <t>Anvendt kassekredit ultimo (pr. 31. december)</t>
  </si>
  <si>
    <t>Resterende trækningsmulighed kassekredit</t>
  </si>
  <si>
    <t>Oplysning om samlet trækningsret pr. 31. december byggekredit</t>
  </si>
  <si>
    <t>Anvendt byggekredit ultimo (pr. 31. december)</t>
  </si>
  <si>
    <t>Resterende trækningsmulighed byggekredit</t>
  </si>
  <si>
    <t>Anvendt kassekredit og byggekredit i alt (pr. 31. december)</t>
  </si>
  <si>
    <t>34 Anden gæld</t>
  </si>
  <si>
    <t>Note 34 - Anden gæld</t>
  </si>
  <si>
    <t>Skyldig løn</t>
  </si>
  <si>
    <t>Skyldig a-skat og AM-bidrag</t>
  </si>
  <si>
    <t>Skyldig ATP, øvrige sociale bidrag og feriepenge</t>
  </si>
  <si>
    <t>Skyldig feriepengeforpligtelse</t>
  </si>
  <si>
    <t>Deposita elever</t>
  </si>
  <si>
    <t>Anden gæld</t>
  </si>
  <si>
    <t>Anden gæld i alt</t>
  </si>
  <si>
    <t>35 Periodeafgrænsningsposter (indtægter)</t>
  </si>
  <si>
    <t>Note 35 - Periodeafgrænsningsposter (indtægter)</t>
  </si>
  <si>
    <t>Forudmodtagne statstilskud</t>
  </si>
  <si>
    <t>Forudmodtagne kommunale tilskud</t>
  </si>
  <si>
    <t>Forudmodtagne skolepenge</t>
  </si>
  <si>
    <t>Forudmodtagne donationer (til forbrug i det kommende år)</t>
  </si>
  <si>
    <t>Andre forudmodtagne indtægter</t>
  </si>
  <si>
    <t>Periodeafgrænsningsposter i alt</t>
  </si>
  <si>
    <t>Kortfristet gæld i alt</t>
  </si>
  <si>
    <t>Gæld i alt</t>
  </si>
  <si>
    <t>Passiver i alt jf. årsrapport</t>
  </si>
  <si>
    <t>Passiver i alt</t>
  </si>
  <si>
    <t xml:space="preserve"> Andre forpligtelser</t>
  </si>
  <si>
    <t>Andre forpligtelser</t>
  </si>
  <si>
    <t>Operationel leasingforpligtelser</t>
  </si>
  <si>
    <t>Lejeforpligtelser</t>
  </si>
  <si>
    <t>Ejerpantebrev</t>
  </si>
  <si>
    <t>Sikkerhedstillelse</t>
  </si>
  <si>
    <t>Udstyr stillet til rådighed for skolen</t>
  </si>
  <si>
    <t>Andre forpligtelser i øvrigt</t>
  </si>
  <si>
    <t>Andre forpligtelser i alt</t>
  </si>
  <si>
    <t>Særlige specifikationer</t>
  </si>
  <si>
    <t>Beregning af egendækning</t>
  </si>
  <si>
    <t>Skolepenge, netto (note 2)</t>
  </si>
  <si>
    <t>Tilskud til nedbringelse af skolepenge (fra Fordelingssekretariatet eller Deutscher Schul- und Sprachverein) (note 2)</t>
  </si>
  <si>
    <t>Betaling for materialer, ekskursioner, rejser mv. (note 2)</t>
  </si>
  <si>
    <t>Indskrivningsgebyrer (note 2)</t>
  </si>
  <si>
    <t>Tilskud til kompensation til tyske mindretalsskoler (fra Deutscher Schul-und Sprachverein) (note 1)</t>
  </si>
  <si>
    <t>Tilskud til tyske mindretalsskoler (fra Deutscher Schul- und Sprachverein) (note 1)</t>
  </si>
  <si>
    <t>Fra note 3 andre indtægter og tilskud medtages</t>
  </si>
  <si>
    <t>Lejeindtægter fra lokaler</t>
  </si>
  <si>
    <t>Finansielle indtægter m.v.</t>
  </si>
  <si>
    <t>Egendækning i alt</t>
  </si>
  <si>
    <t>Antal årselever i grundskolen i regnskabsåret</t>
  </si>
  <si>
    <t>Egendækning pr. årselev</t>
  </si>
  <si>
    <t>Dagtilbud - vuggestue og børnehave</t>
  </si>
  <si>
    <t>Dagtilbudsbetaling (note 2)</t>
  </si>
  <si>
    <t>Donationer, dagtilbud (note 3)</t>
  </si>
  <si>
    <t>Kommunale tilskud, dagtilbud (note 3)</t>
  </si>
  <si>
    <t>Lønomkostninger, dagtilbud (note 4)</t>
  </si>
  <si>
    <t>Andre omkostninger, dagtilbud (note 5)</t>
  </si>
  <si>
    <t>Lejeomkostninger, dagtilbud (note 7)</t>
  </si>
  <si>
    <t>Prioritetsrenter, dagtilbud (note 13)</t>
  </si>
  <si>
    <t>Direkte omkostninger i alt</t>
  </si>
  <si>
    <t>Heltidsskolefritidsordningsbetaling (note 2)</t>
  </si>
  <si>
    <t>Donationer, heltidsskolefritidsordning (note 3)</t>
  </si>
  <si>
    <t>Kommunale tilskud, heltidsskolefritidsordning (note 2)</t>
  </si>
  <si>
    <t>Lønomkostninger, heltidsskolefritidsordning (note 4)</t>
  </si>
  <si>
    <t>Andre omkostninger, heltidsskolefritidsordning (note 5)</t>
  </si>
  <si>
    <t>Kommunale tilskud, særlige tilbud om grundskoleundervisning til visse tosprogede elever</t>
  </si>
  <si>
    <t>Lønomkostninger, særlige tilbud om grundskoleundervisning til visse tosprogede elever</t>
  </si>
  <si>
    <t>Andre omkostninger, særlige tilbud om grundskoleundervisning til visse tosprogede elever</t>
  </si>
  <si>
    <t>Direkte omkostninger</t>
  </si>
  <si>
    <t>Tilskud til skolefritidsordning (0.-3. klasse) (note 1)</t>
  </si>
  <si>
    <t>Skolefritidsordningsbetaling, netto (0.-3. klasse) (note 2)</t>
  </si>
  <si>
    <t>Tilskud til nedbringelse af skolefritidsordningsbetaling (0.3. klasse) fra Fordelingssekretariatet eller Deutscher Schul und Sprachverein) (note 2)</t>
  </si>
  <si>
    <t>Klubtilbudsbetaling (skolefritidsordning) for børn fra 4. klassetrin (note 2)</t>
  </si>
  <si>
    <t>Donationer skolefritidsordning (note 3)</t>
  </si>
  <si>
    <t>Kommunale tilskud, SFO 4. klasse og opefter (note 3)</t>
  </si>
  <si>
    <t>Kommunale tilskud skolefritidsordning (0.-3. klasse) (note 3)</t>
  </si>
  <si>
    <t>Lønomkostninger, skolefritidsordning (note 4)</t>
  </si>
  <si>
    <t>Andre omkostninger, skolefritidsordning (note 5)</t>
  </si>
  <si>
    <t>Lejeomkostninger, skolefritidsordning (0.-3. klasse) og/eller klubtilbud (skolefritidsordning) for børn fra 4. klassetrin (note 7)</t>
  </si>
  <si>
    <t>Prioritetsrenter, skolefritidsordning (0.-3. klasse) og/eller klubtilbud (skolefritidsordning) for børn fra 4. klassetrin (note 13)</t>
  </si>
  <si>
    <t>Indberettede nøgletal</t>
  </si>
  <si>
    <t>Omsætning</t>
  </si>
  <si>
    <t>Heraf statstilskud</t>
  </si>
  <si>
    <t>Omsætningsaktiver</t>
  </si>
  <si>
    <t>Balancesum</t>
  </si>
  <si>
    <t>Hensatte forpligtelser</t>
  </si>
  <si>
    <t>Langfristede gældsforpligtelser</t>
  </si>
  <si>
    <t>Kortfristede gældsforpligtelser</t>
  </si>
  <si>
    <t>Pengestrømsopgørelse</t>
  </si>
  <si>
    <t>Driftsaktivitet</t>
  </si>
  <si>
    <t>Investeringsaktivitet</t>
  </si>
  <si>
    <t>Finansieringsaktivitet</t>
  </si>
  <si>
    <t>Pengestrøm, netto</t>
  </si>
  <si>
    <t>Likvider, primo</t>
  </si>
  <si>
    <t>Likvider, ultimo</t>
  </si>
  <si>
    <t>Samlet trækningsret pr. 31. december kassekredit note 33</t>
  </si>
  <si>
    <t>Samlet trækningsret pr. 31. december byggekredit note 33</t>
  </si>
  <si>
    <t>Samlet likviditet til rådighed ultimo</t>
  </si>
  <si>
    <t>Nøgletal m.v. vedr. institutionens ordinære drift</t>
  </si>
  <si>
    <t>Antal elever i grundskolen pr. 5. september</t>
  </si>
  <si>
    <t>Antal elever i skolefritidsordning pr. 5. september 0.-3. klasse</t>
  </si>
  <si>
    <t>Antal elever i kostafdeling pr. 5. september</t>
  </si>
  <si>
    <t>Aktivitetsudvikling (i procent)</t>
  </si>
  <si>
    <t>Antal årselever i skolefritidsordning i regnskabsåret 0.-3. klasse</t>
  </si>
  <si>
    <t>Gennemsnitligt antal årselever i fritidsordningen for 4. klasse og opefter</t>
  </si>
  <si>
    <t>Antal årselever i skolefritidsordningen i alt i regnskabsåret</t>
  </si>
  <si>
    <t>Antal årselever i kostafdeling i regnskabsåret</t>
  </si>
  <si>
    <t>Gennemsnitligt antal børn i dagtilbud</t>
  </si>
  <si>
    <t>Skolepenge pr. årselev, inkl. tilskud til nedbringelse af skolepenge</t>
  </si>
  <si>
    <t>Skolefritidsordningsbetaling pr. årselev</t>
  </si>
  <si>
    <t>Opholdsbetaling pr. årselev</t>
  </si>
  <si>
    <t>Dagtilbudsbetaling pr. barn</t>
  </si>
  <si>
    <t>Antal lærerårsværk i grundskolen</t>
  </si>
  <si>
    <t>Antal årsværk i skolefritidsordningen</t>
  </si>
  <si>
    <t>Antal årsværk i dagtilbud</t>
  </si>
  <si>
    <t>Antal årsværk for øvrigt personale</t>
  </si>
  <si>
    <t>Antal årsværk i alt</t>
  </si>
  <si>
    <t>Heraf procentvis andel ansat på særlige vilkår (sociale klausuler)</t>
  </si>
  <si>
    <t>Årselever pr. lærerårsværk i grundskolen</t>
  </si>
  <si>
    <t>Årselever pr. årsværk i skolefritidsordningen</t>
  </si>
  <si>
    <t>Lærerlønomkostninger pr. årselev, i grundskolen</t>
  </si>
  <si>
    <t>Øvrige lønomkostninger pr. årselev, i grundskolen</t>
  </si>
  <si>
    <t>Lønomkostninger i alt pr. årselev, i grundskolen</t>
  </si>
  <si>
    <t>Lønomkostninger pr. årselev i skolefritidsordningen</t>
  </si>
  <si>
    <t>Lønomkostninger pr. barn i dagtilbud</t>
  </si>
  <si>
    <t>Undervisningsomkostninger pr. årselev, i grundskolen</t>
  </si>
  <si>
    <t>Omkostninger til skolefritidsordningen pr. årselev i skolefritidsordningen</t>
  </si>
  <si>
    <t>Omkostninger til dagtilbud pr. gennemsnitligt antal børn i dagtilbud</t>
  </si>
  <si>
    <t>Ejendomsomkostninger pr. årselev, i grundskolen</t>
  </si>
  <si>
    <t>Kostafdelingsomkostninger pr. årselev i kostafdelingen</t>
  </si>
  <si>
    <t>Administrationsomkostninger pr. årselev, i grundskolen</t>
  </si>
  <si>
    <t>Samlede omkostninger ekslusiv kostafdeling pr. årselev i grundskolen</t>
  </si>
  <si>
    <t>Nøgletal</t>
  </si>
  <si>
    <t>Overskudsgrad</t>
  </si>
  <si>
    <t>Overskudsgrad eksklusiv særlige poster</t>
  </si>
  <si>
    <t>Likviditetsgrad</t>
  </si>
  <si>
    <t>Soliditetsgrad</t>
  </si>
  <si>
    <t>Finansieringsgrad</t>
  </si>
  <si>
    <t>Lønomkostninger undervisning pr. årselev</t>
  </si>
  <si>
    <t>Lønomkostninger SFO pr. årselev</t>
  </si>
  <si>
    <t>overføres automatisk til arket 'Budget'.</t>
  </si>
  <si>
    <t>Bygningstilskud får skolen automatisk, fra den 1. januar efter antallet af elever i alt pr. 5. sep. året før.</t>
  </si>
  <si>
    <t>SÆRTILSKUD til spraktisk medhjælp og undervisning  i ekstra dansk for 2-sprogede.</t>
  </si>
  <si>
    <t>Det er muligt at søge tilskud til ovennævnte. Tilskuddet er dog ikke med i budgettet - hverken indtægtsmæssig eller udgiftsmæssig.</t>
  </si>
  <si>
    <t>SÆRTILSKUD til Specialundervisningselever</t>
  </si>
  <si>
    <t>Der ydes et inklusionstilskud afhængig af elevantallet. Tilskuddet medregnes automatisk i budgettet</t>
  </si>
  <si>
    <t>Lejeindtægter overskudskapacitet</t>
  </si>
  <si>
    <t>Andre arrangementer</t>
  </si>
  <si>
    <t>Frugtpenge</t>
  </si>
  <si>
    <t>Copydan</t>
  </si>
  <si>
    <t>Lejrskole</t>
  </si>
  <si>
    <t>Tjenesterejser Undervisning</t>
  </si>
  <si>
    <t>Inventar og udstyr leje og leasing</t>
  </si>
  <si>
    <t>Inventar og udstyr småanskaffelser</t>
  </si>
  <si>
    <t>Inventar og udstyr vedligeholdelse</t>
  </si>
  <si>
    <t>It. Omkostninger</t>
  </si>
  <si>
    <t>Afskrivninger</t>
  </si>
  <si>
    <t>Tilsynsførende</t>
  </si>
  <si>
    <t>Afsrkivninger</t>
  </si>
  <si>
    <t>Daginstitutionsindtægter</t>
  </si>
  <si>
    <t>Daginstitutionsudgifter</t>
  </si>
  <si>
    <t>7 mdr.</t>
  </si>
  <si>
    <t>12 mdr.</t>
  </si>
  <si>
    <t>Skolepenge og SFO betaling</t>
  </si>
  <si>
    <t>Skolen taster selv skolepengestørrelser. Vi anbefaler at undersøge hvad andre sammenlignelige friskoler i nærområdet tager i skolepenge. Skolepenge kan være koblet op på hvor mange børn familien har på skolen. Det typiske er at barn nr. 1 har en pris, barn nr. 2 en anden og barn nr. 3 evt. en lavere pris eller måske gratis.  Det samme gør sig gældende for skolens SFO.</t>
  </si>
  <si>
    <t>Andre indtægter er indtægter skolen generer udover skolepenge. Det kan være indskrivningsgebyrer, kost/skolefrugt, salg af materialer, donationer og andre gaver mm. Donationer skal altid offentliggøres i skolens regnskab med navn og beløb. Donationer skolen modtager der beløber sig til over kr. 20.000,- skal skolen erklære sig uafhængig af.</t>
  </si>
  <si>
    <t>Løn til skolens undervisning</t>
  </si>
  <si>
    <t>Løn til skolens SFO</t>
  </si>
  <si>
    <t>En tommelfingerregl er at for hver 20ende SFO-elev har skolen 1 fuldtids pædagogisk personale ansat.</t>
  </si>
  <si>
    <t>En tommelfingerregl er at for hver 13 elev har skolen 1 leder/lærer ansat. Det vil sige har skolen 50 elever må skolen ansætte 3,8 personale i undervisning hvoraf skolelederen er den ene. Skolens udgift til feriepengeforpligtigelse er indregnet i budgettet.</t>
  </si>
  <si>
    <t xml:space="preserve">Skolen skal selv give et bud på driftsudgifter til undervisning, SFO, Ejendom, Administration mm. </t>
  </si>
  <si>
    <t>I fanen "Regnskabsdata" er der vist flere forskellige skolers regnskaber. Regnskaberne er anonymiseret og hentet fra Undervisningsministeriets hjemmeside. Øverst i fanen kan aflæses den enkelte skoles årselevtal. Under hver indtægt og udgifssum kan aflæses hhv. indtægt og udgift pr. årselev. Vi opfordrer skolen til at skele til disse budgetter når skolen skal anslå indtægter og udgifter. På denne måde får skolen også en indsigt i hvilke indtægtsposter og udgifter en friskole har.</t>
  </si>
  <si>
    <t>Bygningsudgifter er tit det der afgør hvor godt en friskole klarer sig økonomisk. Lønudgifterne skal tilpasses elevtallet efter ovennævnte nøgletal og de generelle driftsudgifter er ligeledes ofte afhængig af elevtallet. Skolens bygninger og forbrug hertil er dog ens uagtet antal elever.</t>
  </si>
  <si>
    <t>Lønudgifter til skolens administration og ejendom</t>
  </si>
  <si>
    <t>Der skal varetages mange og til tider krævende opgaver på en friskoles kontor. Derfor er det vigtigt at skolen afsætter midler til en dygtig skolesekretær der har meget talstærk og som trives med de mange udfordringer man finder på en friskole.</t>
  </si>
  <si>
    <t>Lønudgifter til skolens ejendom er meget forskellig fra skole til skole. Mange friskoler vælger i stedet for lønnet personale at inddrage forældre til weekendrengøring og måske byens ældre til de almindelige pedelopgaver som feks. maling af vinduer, havearbejde mm. Til den daglige rengøring kan skolen spare penge ved at tilbyde unge under 18 år arbejdet i at rengøre skolens toiletter og fællesarealer.</t>
  </si>
  <si>
    <t>Andre driftsudgifter</t>
  </si>
  <si>
    <t>Daginstitution</t>
  </si>
  <si>
    <t>Ønsker skolen at starte daginstitution og Førskoleordning er dette også muligt. Dette gøres i den særskilte fane "daginstitution". Indtægter og udgifter overføres til skolens samlede budget. Bemærk at en daginstitution IKKE må give underskud.</t>
  </si>
  <si>
    <t>Skolen arbejder med alle indtægts- og udgiftsfaner der alle samles i fanen "Budget".</t>
  </si>
  <si>
    <t>Spørgsmål til skoleopstart eller budgetlægning rettes til:</t>
  </si>
  <si>
    <t>Konsulenterne i Friskolernes Hus - Tove Dohn og Ole Carl Petersen</t>
  </si>
  <si>
    <t>Ole Carl Petersen. Email: ole-c@friskolerne.dk - tlf. 44227932</t>
  </si>
  <si>
    <t>Tove Dohn. Email: Tove@friskolerne.dk - tlf. 44227934</t>
  </si>
  <si>
    <t>Rigtig god arbejdslyst</t>
  </si>
  <si>
    <t>Løn Ejendom</t>
  </si>
  <si>
    <t>SPS-tilskud</t>
  </si>
  <si>
    <t>Andre indtægter der falder i særlige måneder der ikke er medtaget i fanen "andre indtægter"</t>
  </si>
  <si>
    <t>Finansielle udgifter</t>
  </si>
  <si>
    <t>Kost</t>
  </si>
  <si>
    <t>Andre udgifter der falder i særlige måneder der ikke er medtaget i driftsudgiftsfanerne</t>
  </si>
  <si>
    <t>Ekstra ordinære indtægter</t>
  </si>
  <si>
    <t>Ekstra ordinære udgifter</t>
  </si>
  <si>
    <t>Afdrag på lån</t>
  </si>
  <si>
    <t>Resultat</t>
  </si>
  <si>
    <t>Regulering generel statstilskud</t>
  </si>
  <si>
    <t>Regulering SFO tilskud</t>
  </si>
  <si>
    <t>Feriepegeforpligtigelse</t>
  </si>
  <si>
    <t>Forudbetalt statstilskud</t>
  </si>
  <si>
    <t>Ialat</t>
  </si>
  <si>
    <t>Likvidiget</t>
  </si>
  <si>
    <t>Indtast her evt. primo sum</t>
  </si>
  <si>
    <t>Sfo-udgifter (ekskl. evt. børnehave):</t>
  </si>
  <si>
    <t>DRIFTSBUDGET</t>
  </si>
  <si>
    <t>Driftsbudgettet viser det resultat der vil fremgå af skolens regnskab.</t>
  </si>
  <si>
    <t>LIKVIDITETSBUDGET</t>
  </si>
  <si>
    <t>Andre indtægter     opskrivning</t>
  </si>
  <si>
    <t>Dansk Friskoleforening har indgået overenskomst med BUPL/FOA om de ansattes vilkår. Skolen kan vælge at tegne overenskomst med BUPL/FOA på dette grundlag.</t>
  </si>
  <si>
    <t>Løn til skolesekretærer ligger typisk mellem 35.000 og 44.000 for en fuldtidsansat inkl. pension.</t>
  </si>
  <si>
    <t>Budget for nye skoleinitiativer med opstart 1. august 2026</t>
  </si>
  <si>
    <t>Budgettet viser budget for skoleårets første 5 mdr. i 2026 og for alle 12 måneder i 2027.</t>
  </si>
  <si>
    <t>Driftstilskud og øvrig statstilskud er koblet op på elevtallene. Taksterne der anvendes er finanslovens takster for 2025. December 2025 forventer vi finansloven for 2026 er vedtaget, hvorefter nye gældende takster kan lægges ind.</t>
  </si>
  <si>
    <t>Driftstilskuddet beregnes automatisk udfra elevtallene pr. 5. september 2026 og 2027.</t>
  </si>
  <si>
    <t>Gennemsnitlig løn</t>
  </si>
  <si>
    <t>Løn til rengøringspersonale og pedeller ligger gennemsnitlig på kr. 30.000,- for en fuldtidsansat inkl. pension.</t>
  </si>
  <si>
    <t>Samlet betaling, Fleks/barselsbidrag (ca. 11.000,- kr. pr. årsværk)</t>
  </si>
  <si>
    <t>279 pr. elev + grundbeløb kr. 9000</t>
  </si>
  <si>
    <t>Likviditetsresultat 2027</t>
  </si>
  <si>
    <t>Likviditetsresultat 2026</t>
  </si>
  <si>
    <t>Likeviditetsbudgettet viser budgettets likviditetsvirkning. Likviditetsbudgettet er en "rå" udgave. Statstilskudsreguleringer tæller i de korrekte måneder. Alle andre indtægter og udgifter påvirker likviditetsbudgettet jævnt hen over året. Der er mulighed for at tilføre en startkapital samt oplyse særlige indtægter og udgifter i enkelte måneder - tastes i de gule celler i række 3, 17, 34 og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</si>
</sst>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_k_r_-;\-* #,##0.00\ _k_r_-;_-* &quot;-&quot;??\ _k_r_-;_-@_-"/>
    <numFmt numFmtId="165" formatCode="#,##0.0"/>
    <numFmt numFmtId="166" formatCode="_(* #,##0.00_);_(* \(#,##0.00\);_(* &quot;-&quot;??_);_(@_)"/>
    <numFmt numFmtId="167" formatCode="_(* #,##0_);_(* \(#,##0\);_(* &quot;-&quot;_);_(@_)"/>
    <numFmt numFmtId="168" formatCode="&quot;kr.&quot;#,##0;[Red]\-&quot;kr.&quot;#,##0"/>
    <numFmt numFmtId="169" formatCode="_-&quot;kr.&quot;* #,##0.00_-;\-&quot;kr.&quot;* #,##0.00_-;_-&quot;kr.&quot;* &quot;-&quot;??_-;_-@_-"/>
    <numFmt numFmtId="170" formatCode="#,##0.0000"/>
    <numFmt numFmtId="171" formatCode="#,##0.00&quot;kr.&quot;;\-#,##0.00&quot;kr.&quot;"/>
    <numFmt numFmtId="172" formatCode="0.0%"/>
    <numFmt numFmtId="173" formatCode="000\-000"/>
    <numFmt numFmtId="174" formatCode="_-* #,##0\ _k_r_-;\-* #,##0\ _k_r_-;_-* &quot;-&quot;??\ _k_r_-;_-@_-"/>
    <numFmt numFmtId="175" formatCode="0.0000"/>
    <numFmt numFmtId="176" formatCode="_-* #,##0.00000\ _k_r_-;\-* #,##0.00000\ _k_r_-;_-* &quot;-&quot;??\ _k_r_-;_-@_-"/>
    <numFmt numFmtId="177" formatCode="_-* #,##0.00\ _k_r_._-;\-* #,##0.00\ _k_r_._-;_-* &quot;-&quot;??\ _k_r_._-;_-@_-"/>
    <numFmt numFmtId="178" formatCode="[$-10406]#,##0;\-#,##0"/>
  </numFmts>
  <fonts count="74">
    <font>
      <sz val="10"/>
      <name val="Helv"/>
    </font>
    <font>
      <sz val="12"/>
      <color theme="1"/>
      <name val="Calibri"/>
      <family val="2"/>
      <scheme val="minor"/>
    </font>
    <font>
      <sz val="12"/>
      <color theme="1"/>
      <name val="Calibri"/>
      <family val="2"/>
      <scheme val="minor"/>
    </font>
    <font>
      <sz val="12"/>
      <color theme="1"/>
      <name val="Calibri"/>
      <family val="2"/>
      <scheme val="minor"/>
    </font>
    <font>
      <sz val="10"/>
      <name val="Helv"/>
    </font>
    <font>
      <sz val="12"/>
      <name val="Arial"/>
      <family val="2"/>
    </font>
    <font>
      <sz val="10"/>
      <name val="Geneva"/>
      <family val="2"/>
    </font>
    <font>
      <sz val="12"/>
      <name val="Helv"/>
    </font>
    <font>
      <sz val="14"/>
      <name val="Helv"/>
    </font>
    <font>
      <sz val="9"/>
      <name val="Helv"/>
    </font>
    <font>
      <sz val="12"/>
      <name val="System"/>
    </font>
    <font>
      <sz val="10"/>
      <name val="Courier"/>
      <family val="1"/>
    </font>
    <font>
      <sz val="10"/>
      <name val="Arial"/>
      <family val="2"/>
    </font>
    <font>
      <u/>
      <sz val="10"/>
      <color theme="10"/>
      <name val="Helv"/>
    </font>
    <font>
      <u/>
      <sz val="10"/>
      <color theme="11"/>
      <name val="Helv"/>
    </font>
    <font>
      <b/>
      <sz val="10"/>
      <name val="Arial"/>
      <family val="2"/>
    </font>
    <font>
      <sz val="10"/>
      <color rgb="FF0000FF"/>
      <name val="Arial"/>
      <family val="2"/>
    </font>
    <font>
      <sz val="12"/>
      <color indexed="8"/>
      <name val="Arial"/>
      <family val="2"/>
    </font>
    <font>
      <b/>
      <sz val="20"/>
      <name val="Arial"/>
      <family val="2"/>
    </font>
    <font>
      <sz val="10"/>
      <color indexed="12"/>
      <name val="Arial"/>
      <family val="2"/>
    </font>
    <font>
      <sz val="9"/>
      <name val="Arial"/>
      <family val="2"/>
    </font>
    <font>
      <i/>
      <sz val="9"/>
      <name val="Arial"/>
      <family val="2"/>
    </font>
    <font>
      <i/>
      <sz val="10"/>
      <name val="Arial"/>
      <family val="2"/>
    </font>
    <font>
      <b/>
      <sz val="14"/>
      <name val="Arial"/>
      <family val="2"/>
    </font>
    <font>
      <sz val="10"/>
      <color indexed="17"/>
      <name val="Arial"/>
      <family val="2"/>
    </font>
    <font>
      <b/>
      <sz val="10"/>
      <color indexed="20"/>
      <name val="Arial"/>
      <family val="2"/>
    </font>
    <font>
      <sz val="10"/>
      <color indexed="16"/>
      <name val="Arial"/>
      <family val="2"/>
    </font>
    <font>
      <sz val="10"/>
      <color theme="0" tint="-0.34998626667073579"/>
      <name val="Arial"/>
      <family val="2"/>
    </font>
    <font>
      <i/>
      <u/>
      <sz val="10"/>
      <color theme="10"/>
      <name val="Arial"/>
      <family val="2"/>
    </font>
    <font>
      <b/>
      <sz val="9"/>
      <name val="Arial"/>
      <family val="2"/>
    </font>
    <font>
      <b/>
      <i/>
      <sz val="10"/>
      <color rgb="FFFF0000"/>
      <name val="Arial"/>
      <family val="2"/>
    </font>
    <font>
      <sz val="10"/>
      <color theme="0" tint="-4.9989318521683403E-2"/>
      <name val="Arial"/>
      <family val="2"/>
    </font>
    <font>
      <sz val="8"/>
      <name val="Helv"/>
    </font>
    <font>
      <u/>
      <sz val="10"/>
      <name val="Helv"/>
    </font>
    <font>
      <sz val="10"/>
      <name val="Verdana"/>
      <family val="2"/>
    </font>
    <font>
      <b/>
      <i/>
      <sz val="10"/>
      <name val="Arial"/>
      <family val="2"/>
    </font>
    <font>
      <sz val="10"/>
      <color indexed="58"/>
      <name val="Arial"/>
      <family val="2"/>
    </font>
    <font>
      <sz val="10"/>
      <color indexed="18"/>
      <name val="Arial"/>
      <family val="2"/>
    </font>
    <font>
      <b/>
      <sz val="10"/>
      <color theme="3"/>
      <name val="Arial"/>
      <family val="2"/>
    </font>
    <font>
      <b/>
      <sz val="10"/>
      <color indexed="18"/>
      <name val="Arial"/>
      <family val="2"/>
    </font>
    <font>
      <b/>
      <sz val="10"/>
      <color indexed="16"/>
      <name val="Arial"/>
      <family val="2"/>
    </font>
    <font>
      <b/>
      <sz val="11"/>
      <color theme="0"/>
      <name val="Arial"/>
      <family val="2"/>
    </font>
    <font>
      <b/>
      <sz val="10"/>
      <color theme="0"/>
      <name val="Arial"/>
      <family val="2"/>
    </font>
    <font>
      <sz val="10"/>
      <color theme="0"/>
      <name val="Arial"/>
      <family val="2"/>
    </font>
    <font>
      <b/>
      <sz val="12"/>
      <color theme="0"/>
      <name val="Arial"/>
      <family val="2"/>
    </font>
    <font>
      <b/>
      <sz val="12"/>
      <color theme="1"/>
      <name val="Arial"/>
      <family val="2"/>
    </font>
    <font>
      <b/>
      <sz val="11"/>
      <color theme="1"/>
      <name val="Arial"/>
      <family val="2"/>
    </font>
    <font>
      <i/>
      <sz val="10"/>
      <name val="Helv"/>
    </font>
    <font>
      <b/>
      <sz val="10"/>
      <color theme="1"/>
      <name val="Arial"/>
      <family val="2"/>
    </font>
    <font>
      <sz val="10"/>
      <color theme="1"/>
      <name val="Arial"/>
      <family val="2"/>
    </font>
    <font>
      <sz val="10"/>
      <color indexed="17"/>
      <name val="Arial"/>
      <family val="2"/>
    </font>
    <font>
      <sz val="8"/>
      <name val="Arial"/>
      <family val="2"/>
    </font>
    <font>
      <sz val="6"/>
      <name val="Arial"/>
      <family val="2"/>
    </font>
    <font>
      <b/>
      <sz val="10"/>
      <name val="Helv"/>
    </font>
    <font>
      <b/>
      <u/>
      <sz val="10"/>
      <name val="Helv"/>
    </font>
    <font>
      <sz val="10"/>
      <color theme="1"/>
      <name val="Helv"/>
    </font>
    <font>
      <sz val="10"/>
      <color theme="4"/>
      <name val="Helv"/>
    </font>
    <font>
      <sz val="10"/>
      <color indexed="8"/>
      <name val="Arial"/>
      <family val="2"/>
    </font>
    <font>
      <b/>
      <sz val="10"/>
      <color indexed="8"/>
      <name val="Arial"/>
      <family val="2"/>
    </font>
    <font>
      <b/>
      <sz val="11.95"/>
      <color theme="1"/>
      <name val="Arial"/>
      <family val="2"/>
    </font>
    <font>
      <b/>
      <sz val="11.95"/>
      <color theme="0"/>
      <name val="Arial"/>
      <family val="2"/>
    </font>
    <font>
      <sz val="11.95"/>
      <color theme="0"/>
      <name val="Arial"/>
      <family val="2"/>
    </font>
    <font>
      <b/>
      <sz val="14"/>
      <color theme="0"/>
      <name val="Arial"/>
      <family val="2"/>
    </font>
    <font>
      <b/>
      <sz val="16"/>
      <color theme="0"/>
      <name val="Arial"/>
      <family val="2"/>
    </font>
    <font>
      <b/>
      <sz val="9"/>
      <color theme="0"/>
      <name val="Arial"/>
      <family val="2"/>
    </font>
    <font>
      <sz val="10"/>
      <color theme="0"/>
      <name val="Helv"/>
    </font>
    <font>
      <sz val="16"/>
      <color theme="0"/>
      <name val="Helv"/>
    </font>
    <font>
      <sz val="12"/>
      <color theme="0"/>
      <name val="Helv"/>
    </font>
    <font>
      <sz val="18"/>
      <color theme="0"/>
      <name val="Helv"/>
    </font>
    <font>
      <b/>
      <sz val="10"/>
      <color theme="4" tint="-0.499984740745262"/>
      <name val="Helv"/>
    </font>
    <font>
      <sz val="10"/>
      <color theme="4" tint="-0.499984740745262"/>
      <name val="Calibri"/>
      <family val="2"/>
      <scheme val="minor"/>
    </font>
    <font>
      <sz val="10"/>
      <color theme="4" tint="-0.499984740745262"/>
      <name val="Helv"/>
    </font>
    <font>
      <b/>
      <sz val="12"/>
      <color theme="0"/>
      <name val="Helv"/>
    </font>
    <font>
      <sz val="11"/>
      <color theme="1"/>
      <name val="Arial"/>
      <family val="2"/>
    </font>
  </fonts>
  <fills count="34">
    <fill>
      <patternFill patternType="none"/>
    </fill>
    <fill>
      <patternFill patternType="gray125"/>
    </fill>
    <fill>
      <patternFill patternType="gray0625"/>
    </fill>
    <fill>
      <patternFill patternType="lightGray"/>
    </fill>
    <fill>
      <patternFill patternType="solid">
        <fgColor rgb="FFFFFF0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6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22"/>
      </patternFill>
    </fill>
    <fill>
      <patternFill patternType="solid">
        <fgColor theme="0" tint="-0.14999847407452621"/>
        <bgColor indexed="26"/>
      </patternFill>
    </fill>
    <fill>
      <patternFill patternType="solid">
        <fgColor theme="0" tint="-0.14999847407452621"/>
        <bgColor indexed="27"/>
      </patternFill>
    </fill>
    <fill>
      <patternFill patternType="solid">
        <fgColor rgb="FFFFFF00"/>
        <bgColor indexed="26"/>
      </patternFill>
    </fill>
    <fill>
      <patternFill patternType="solid">
        <fgColor rgb="FFFFFF00"/>
        <bgColor indexed="27"/>
      </patternFill>
    </fill>
    <fill>
      <patternFill patternType="solid">
        <fgColor indexed="43"/>
        <bgColor indexed="26"/>
      </patternFill>
    </fill>
    <fill>
      <patternFill patternType="solid">
        <fgColor theme="1"/>
        <bgColor indexed="22"/>
      </patternFill>
    </fill>
    <fill>
      <patternFill patternType="solid">
        <fgColor theme="1"/>
        <bgColor indexed="26"/>
      </patternFill>
    </fill>
    <fill>
      <patternFill patternType="solid">
        <fgColor theme="0"/>
        <bgColor indexed="22"/>
      </patternFill>
    </fill>
    <fill>
      <patternFill patternType="solid">
        <fgColor theme="0"/>
        <bgColor indexed="26"/>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249977111117893"/>
        <bgColor indexed="64"/>
      </patternFill>
    </fill>
    <fill>
      <patternFill patternType="solid">
        <fgColor theme="1"/>
        <bgColor indexed="0"/>
      </patternFill>
    </fill>
    <fill>
      <patternFill patternType="solid">
        <fgColor theme="0"/>
        <bgColor indexed="0"/>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4" tint="-0.499984740745262"/>
        <bgColor indexed="64"/>
      </patternFill>
    </fill>
  </fills>
  <borders count="207">
    <border>
      <left/>
      <right/>
      <top/>
      <bottom/>
      <diagonal/>
    </border>
    <border>
      <left style="thin">
        <color auto="1"/>
      </left>
      <right/>
      <top style="thin">
        <color auto="1"/>
      </top>
      <bottom style="thin">
        <color auto="1"/>
      </bottom>
      <diagonal/>
    </border>
    <border>
      <left/>
      <right style="medium">
        <color auto="1"/>
      </right>
      <top/>
      <bottom/>
      <diagonal/>
    </border>
    <border>
      <left style="medium">
        <color auto="1"/>
      </left>
      <right/>
      <top/>
      <bottom/>
      <diagonal/>
    </border>
    <border>
      <left style="thin">
        <color auto="1"/>
      </left>
      <right/>
      <top/>
      <bottom/>
      <diagonal/>
    </border>
    <border>
      <left/>
      <right style="medium">
        <color auto="1"/>
      </right>
      <top style="thin">
        <color auto="1"/>
      </top>
      <bottom/>
      <diagonal/>
    </border>
    <border>
      <left style="thin">
        <color auto="1"/>
      </left>
      <right/>
      <top style="thin">
        <color auto="1"/>
      </top>
      <bottom/>
      <diagonal/>
    </border>
    <border>
      <left style="medium">
        <color auto="1"/>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style="hair">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diagonal/>
    </border>
    <border>
      <left style="thick">
        <color auto="1"/>
      </left>
      <right/>
      <top style="thick">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hair">
        <color auto="1"/>
      </right>
      <top style="hair">
        <color auto="1"/>
      </top>
      <bottom style="hair">
        <color auto="1"/>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hair">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top/>
      <bottom style="hair">
        <color auto="1"/>
      </bottom>
      <diagonal/>
    </border>
    <border>
      <left style="medium">
        <color auto="1"/>
      </left>
      <right style="medium">
        <color auto="1"/>
      </right>
      <top/>
      <bottom style="hair">
        <color auto="1"/>
      </bottom>
      <diagonal/>
    </border>
    <border>
      <left style="medium">
        <color auto="1"/>
      </left>
      <right style="thin">
        <color auto="1"/>
      </right>
      <top/>
      <bottom style="hair">
        <color auto="1"/>
      </bottom>
      <diagonal/>
    </border>
    <border>
      <left style="medium">
        <color auto="1"/>
      </left>
      <right/>
      <top/>
      <bottom style="hair">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indexed="8"/>
      </bottom>
      <diagonal/>
    </border>
    <border>
      <left style="thin">
        <color indexed="8"/>
      </left>
      <right style="thin">
        <color indexed="8"/>
      </right>
      <top style="medium">
        <color auto="1"/>
      </top>
      <bottom style="thin">
        <color indexed="8"/>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medium">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auto="1"/>
      </left>
      <right/>
      <top/>
      <bottom style="thin">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diagonal/>
    </border>
    <border>
      <left/>
      <right/>
      <top style="thin">
        <color indexed="8"/>
      </top>
      <bottom style="thin">
        <color indexed="8"/>
      </bottom>
      <diagonal/>
    </border>
    <border>
      <left/>
      <right/>
      <top/>
      <bottom style="medium">
        <color auto="1"/>
      </bottom>
      <diagonal/>
    </border>
    <border>
      <left style="thin">
        <color auto="1"/>
      </left>
      <right style="thin">
        <color indexed="8"/>
      </right>
      <top/>
      <bottom style="medium">
        <color auto="1"/>
      </bottom>
      <diagonal/>
    </border>
    <border>
      <left/>
      <right style="thin">
        <color indexed="8"/>
      </right>
      <top/>
      <bottom style="thin">
        <color indexed="8"/>
      </bottom>
      <diagonal/>
    </border>
    <border>
      <left style="thin">
        <color indexed="8"/>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medium">
        <color auto="1"/>
      </left>
      <right/>
      <top style="thin">
        <color indexed="8"/>
      </top>
      <bottom style="thin">
        <color indexed="8"/>
      </bottom>
      <diagonal/>
    </border>
    <border>
      <left style="thin">
        <color indexed="8"/>
      </left>
      <right/>
      <top style="thin">
        <color indexed="8"/>
      </top>
      <bottom style="thin">
        <color indexed="8"/>
      </bottom>
      <diagonal/>
    </border>
    <border>
      <left style="thin">
        <color indexed="17"/>
      </left>
      <right/>
      <top style="thin">
        <color indexed="17"/>
      </top>
      <bottom style="thin">
        <color indexed="17"/>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style="medium">
        <color auto="1"/>
      </right>
      <top/>
      <bottom style="medium">
        <color auto="1"/>
      </bottom>
      <diagonal/>
    </border>
    <border>
      <left/>
      <right style="thin">
        <color indexed="8"/>
      </right>
      <top style="medium">
        <color auto="1"/>
      </top>
      <bottom/>
      <diagonal/>
    </border>
    <border>
      <left/>
      <right style="medium">
        <color indexed="8"/>
      </right>
      <top style="thin">
        <color indexed="8"/>
      </top>
      <bottom style="thin">
        <color indexed="8"/>
      </bottom>
      <diagonal/>
    </border>
    <border>
      <left style="medium">
        <color indexed="8"/>
      </left>
      <right style="medium">
        <color auto="1"/>
      </right>
      <top style="medium">
        <color indexed="8"/>
      </top>
      <bottom style="medium">
        <color indexed="8"/>
      </bottom>
      <diagonal/>
    </border>
    <border>
      <left/>
      <right/>
      <top style="thin">
        <color indexed="8"/>
      </top>
      <bottom/>
      <diagonal/>
    </border>
    <border>
      <left/>
      <right style="medium">
        <color auto="1"/>
      </right>
      <top style="thin">
        <color indexed="8"/>
      </top>
      <bottom/>
      <diagonal/>
    </border>
    <border>
      <left style="medium">
        <color auto="1"/>
      </left>
      <right/>
      <top style="thin">
        <color indexed="8"/>
      </top>
      <bottom/>
      <diagonal/>
    </border>
    <border>
      <left style="medium">
        <color indexed="8"/>
      </left>
      <right style="medium">
        <color auto="1"/>
      </right>
      <top style="medium">
        <color indexed="8"/>
      </top>
      <bottom style="medium">
        <color auto="1"/>
      </bottom>
      <diagonal/>
    </border>
    <border>
      <left/>
      <right style="medium">
        <color auto="1"/>
      </right>
      <top style="thin">
        <color indexed="8"/>
      </top>
      <bottom style="thin">
        <color indexed="8"/>
      </bottom>
      <diagonal/>
    </border>
    <border>
      <left style="medium">
        <color auto="1"/>
      </left>
      <right/>
      <top/>
      <bottom style="thin">
        <color indexed="16"/>
      </bottom>
      <diagonal/>
    </border>
    <border>
      <left/>
      <right/>
      <top/>
      <bottom style="thin">
        <color indexed="16"/>
      </bottom>
      <diagonal/>
    </border>
    <border>
      <left style="thin">
        <color indexed="8"/>
      </left>
      <right style="thin">
        <color indexed="16"/>
      </right>
      <top/>
      <bottom style="thin">
        <color indexed="16"/>
      </bottom>
      <diagonal/>
    </border>
    <border>
      <left style="thin">
        <color indexed="8"/>
      </left>
      <right style="thin">
        <color indexed="8"/>
      </right>
      <top/>
      <bottom style="thin">
        <color indexed="8"/>
      </bottom>
      <diagonal/>
    </border>
    <border>
      <left style="thin">
        <color indexed="17"/>
      </left>
      <right style="thin">
        <color indexed="17"/>
      </right>
      <top style="thin">
        <color indexed="17"/>
      </top>
      <bottom style="thin">
        <color indexed="17"/>
      </bottom>
      <diagonal/>
    </border>
    <border>
      <left style="thin">
        <color indexed="8"/>
      </left>
      <right style="medium">
        <color auto="1"/>
      </right>
      <top style="thin">
        <color indexed="8"/>
      </top>
      <bottom style="thin">
        <color auto="1"/>
      </bottom>
      <diagonal/>
    </border>
    <border>
      <left/>
      <right/>
      <top style="thin">
        <color auto="1"/>
      </top>
      <bottom style="thin">
        <color indexed="8"/>
      </bottom>
      <diagonal/>
    </border>
    <border>
      <left style="thin">
        <color indexed="8"/>
      </left>
      <right/>
      <top/>
      <bottom style="thin">
        <color indexed="8"/>
      </bottom>
      <diagonal/>
    </border>
    <border>
      <left style="medium">
        <color auto="1"/>
      </left>
      <right/>
      <top style="thin">
        <color indexed="8"/>
      </top>
      <bottom style="thin">
        <color auto="1"/>
      </bottom>
      <diagonal/>
    </border>
    <border>
      <left/>
      <right/>
      <top style="thin">
        <color indexed="8"/>
      </top>
      <bottom style="thin">
        <color auto="1"/>
      </bottom>
      <diagonal/>
    </border>
    <border>
      <left style="thin">
        <color indexed="8"/>
      </left>
      <right style="thin">
        <color indexed="8"/>
      </right>
      <top style="thin">
        <color indexed="8"/>
      </top>
      <bottom style="thin">
        <color auto="1"/>
      </bottom>
      <diagonal/>
    </border>
    <border>
      <left/>
      <right style="thin">
        <color indexed="16"/>
      </right>
      <top style="thin">
        <color indexed="16"/>
      </top>
      <bottom style="thin">
        <color indexed="16"/>
      </bottom>
      <diagonal/>
    </border>
    <border>
      <left style="thin">
        <color indexed="8"/>
      </left>
      <right style="medium">
        <color auto="1"/>
      </right>
      <top style="medium">
        <color auto="1"/>
      </top>
      <bottom style="thin">
        <color indexed="8"/>
      </bottom>
      <diagonal/>
    </border>
    <border>
      <left style="thin">
        <color indexed="8"/>
      </left>
      <right style="medium">
        <color auto="1"/>
      </right>
      <top style="thin">
        <color indexed="8"/>
      </top>
      <bottom/>
      <diagonal/>
    </border>
    <border>
      <left style="thin">
        <color auto="1"/>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auto="1"/>
      </left>
      <right style="medium">
        <color indexed="8"/>
      </right>
      <top style="thin">
        <color auto="1"/>
      </top>
      <bottom style="thin">
        <color auto="1"/>
      </bottom>
      <diagonal/>
    </border>
    <border>
      <left style="thin">
        <color auto="1"/>
      </left>
      <right style="medium">
        <color indexed="8"/>
      </right>
      <top/>
      <bottom style="thin">
        <color auto="1"/>
      </bottom>
      <diagonal/>
    </border>
    <border>
      <left style="thin">
        <color auto="1"/>
      </left>
      <right style="medium">
        <color indexed="8"/>
      </right>
      <top/>
      <bottom style="thin">
        <color indexed="8"/>
      </bottom>
      <diagonal/>
    </border>
    <border>
      <left/>
      <right style="medium">
        <color indexed="8"/>
      </right>
      <top style="thin">
        <color indexed="8"/>
      </top>
      <bottom/>
      <diagonal/>
    </border>
    <border>
      <left/>
      <right style="medium">
        <color indexed="8"/>
      </right>
      <top style="thin">
        <color auto="1"/>
      </top>
      <bottom style="thin">
        <color auto="1"/>
      </bottom>
      <diagonal/>
    </border>
    <border>
      <left style="thin">
        <color indexed="8"/>
      </left>
      <right style="medium">
        <color indexed="8"/>
      </right>
      <top/>
      <bottom style="thin">
        <color indexed="16"/>
      </bottom>
      <diagonal/>
    </border>
    <border>
      <left style="thin">
        <color indexed="8"/>
      </left>
      <right style="medium">
        <color indexed="8"/>
      </right>
      <top/>
      <bottom style="thin">
        <color indexed="8"/>
      </bottom>
      <diagonal/>
    </border>
    <border>
      <left style="thin">
        <color indexed="17"/>
      </left>
      <right style="medium">
        <color indexed="8"/>
      </right>
      <top style="thin">
        <color indexed="17"/>
      </top>
      <bottom style="thin">
        <color indexed="17"/>
      </bottom>
      <diagonal/>
    </border>
    <border>
      <left style="thin">
        <color indexed="8"/>
      </left>
      <right style="medium">
        <color indexed="8"/>
      </right>
      <top style="thin">
        <color indexed="8"/>
      </top>
      <bottom style="thin">
        <color auto="1"/>
      </bottom>
      <diagonal/>
    </border>
    <border>
      <left/>
      <right style="medium">
        <color indexed="8"/>
      </right>
      <top style="thin">
        <color indexed="16"/>
      </top>
      <bottom style="thin">
        <color indexed="16"/>
      </bottom>
      <diagonal/>
    </border>
    <border>
      <left/>
      <right style="medium">
        <color indexed="8"/>
      </right>
      <top/>
      <bottom style="thin">
        <color indexed="8"/>
      </bottom>
      <diagonal/>
    </border>
    <border>
      <left/>
      <right style="medium">
        <color indexed="8"/>
      </right>
      <top style="medium">
        <color auto="1"/>
      </top>
      <bottom style="thin">
        <color auto="1"/>
      </bottom>
      <diagonal/>
    </border>
    <border>
      <left/>
      <right style="medium">
        <color indexed="8"/>
      </right>
      <top/>
      <bottom style="medium">
        <color auto="1"/>
      </bottom>
      <diagonal/>
    </border>
    <border>
      <left/>
      <right style="thin">
        <color auto="1"/>
      </right>
      <top/>
      <bottom style="medium">
        <color auto="1"/>
      </bottom>
      <diagonal/>
    </border>
    <border>
      <left style="thin">
        <color indexed="8"/>
      </left>
      <right style="medium">
        <color indexed="8"/>
      </right>
      <top style="thin">
        <color auto="1"/>
      </top>
      <bottom style="thin">
        <color indexed="8"/>
      </bottom>
      <diagonal/>
    </border>
    <border>
      <left style="thin">
        <color indexed="8"/>
      </left>
      <right style="medium">
        <color indexed="8"/>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10"/>
      </left>
      <right style="thin">
        <color indexed="10"/>
      </right>
      <top style="thin">
        <color indexed="10"/>
      </top>
      <bottom/>
      <diagonal/>
    </border>
    <border>
      <left/>
      <right/>
      <top style="thin">
        <color indexed="10"/>
      </top>
      <bottom/>
      <diagonal/>
    </border>
    <border>
      <left/>
      <right style="thin">
        <color indexed="10"/>
      </right>
      <top style="thin">
        <color indexed="10"/>
      </top>
      <bottom/>
      <diagonal/>
    </border>
    <border>
      <left style="medium">
        <color indexed="64"/>
      </left>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medium">
        <color indexed="64"/>
      </top>
      <bottom style="medium">
        <color indexed="64"/>
      </bottom>
      <diagonal/>
    </border>
    <border>
      <left/>
      <right style="thin">
        <color indexed="10"/>
      </right>
      <top style="medium">
        <color indexed="64"/>
      </top>
      <bottom style="medium">
        <color indexed="64"/>
      </bottom>
      <diagonal/>
    </border>
    <border>
      <left style="thin">
        <color indexed="10"/>
      </left>
      <right style="thin">
        <color indexed="10"/>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style="medium">
        <color auto="1"/>
      </left>
      <right style="medium">
        <color auto="1"/>
      </right>
      <top style="medium">
        <color indexed="64"/>
      </top>
      <bottom style="hair">
        <color auto="1"/>
      </bottom>
      <diagonal/>
    </border>
    <border>
      <left style="medium">
        <color auto="1"/>
      </left>
      <right style="thin">
        <color auto="1"/>
      </right>
      <top style="medium">
        <color indexed="64"/>
      </top>
      <bottom style="hair">
        <color auto="1"/>
      </bottom>
      <diagonal/>
    </border>
    <border>
      <left style="thin">
        <color auto="1"/>
      </left>
      <right/>
      <top style="medium">
        <color indexed="64"/>
      </top>
      <bottom style="hair">
        <color auto="1"/>
      </bottom>
      <diagonal/>
    </border>
    <border>
      <left style="medium">
        <color indexed="64"/>
      </left>
      <right/>
      <top style="hair">
        <color auto="1"/>
      </top>
      <bottom style="hair">
        <color auto="1"/>
      </bottom>
      <diagonal/>
    </border>
    <border>
      <left style="medium">
        <color indexed="64"/>
      </left>
      <right/>
      <top style="thin">
        <color auto="1"/>
      </top>
      <bottom style="thin">
        <color auto="1"/>
      </bottom>
      <diagonal/>
    </border>
    <border>
      <left style="medium">
        <color auto="1"/>
      </left>
      <right style="medium">
        <color auto="1"/>
      </right>
      <top/>
      <bottom style="medium">
        <color indexed="64"/>
      </bottom>
      <diagonal/>
    </border>
    <border>
      <left style="medium">
        <color auto="1"/>
      </left>
      <right style="thin">
        <color auto="1"/>
      </right>
      <top/>
      <bottom style="medium">
        <color indexed="64"/>
      </bottom>
      <diagonal/>
    </border>
    <border>
      <left style="medium">
        <color indexed="64"/>
      </left>
      <right/>
      <top style="hair">
        <color auto="1"/>
      </top>
      <bottom/>
      <diagonal/>
    </border>
    <border>
      <left style="medium">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top style="hair">
        <color auto="1"/>
      </top>
      <bottom/>
      <diagonal/>
    </border>
    <border>
      <left/>
      <right style="medium">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top style="thin">
        <color auto="1"/>
      </top>
      <bottom/>
      <diagonal/>
    </border>
    <border>
      <left style="medium">
        <color auto="1"/>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16">
    <xf numFmtId="0" fontId="0" fillId="0" borderId="0"/>
    <xf numFmtId="164" fontId="3" fillId="0" borderId="0" applyFont="0" applyFill="0" applyBorder="0" applyAlignment="0" applyProtection="0"/>
    <xf numFmtId="9" fontId="3" fillId="0" borderId="0" applyFont="0" applyFill="0" applyBorder="0" applyAlignment="0" applyProtection="0"/>
    <xf numFmtId="166" fontId="5" fillId="0" borderId="0" applyFont="0" applyFill="0" applyBorder="0" applyAlignment="0" applyProtection="0"/>
    <xf numFmtId="41" fontId="5"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11" applyNumberFormat="0" applyFill="0" applyBorder="0" applyProtection="0">
      <alignment horizontal="center"/>
    </xf>
    <xf numFmtId="167" fontId="7" fillId="0" borderId="0" applyFont="0" applyFill="0" applyBorder="0" applyAlignment="0" applyProtection="0"/>
    <xf numFmtId="43" fontId="7" fillId="0" borderId="0" applyFont="0" applyFill="0" applyBorder="0" applyAlignment="0" applyProtection="0"/>
    <xf numFmtId="3" fontId="11" fillId="2" borderId="12" applyFill="0" applyBorder="0" applyAlignment="0">
      <alignment horizontal="center"/>
    </xf>
    <xf numFmtId="168" fontId="6" fillId="0" borderId="0" applyFont="0" applyFill="0" applyBorder="0" applyAlignment="0" applyProtection="0"/>
    <xf numFmtId="169" fontId="7" fillId="0" borderId="0" applyFont="0" applyFill="0" applyBorder="0" applyAlignment="0" applyProtection="0"/>
    <xf numFmtId="3" fontId="4" fillId="0" borderId="0" applyFont="0" applyFill="0" applyBorder="0" applyAlignment="0" applyProtection="0"/>
    <xf numFmtId="165" fontId="4" fillId="0" borderId="0" applyFont="0" applyFill="0" applyBorder="0" applyAlignment="0" applyProtection="0"/>
    <xf numFmtId="4"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0" fontId="5" fillId="0" borderId="0"/>
    <xf numFmtId="9" fontId="4" fillId="0" borderId="0" applyFont="0" applyFill="0" applyBorder="0" applyAlignment="0" applyProtection="0"/>
    <xf numFmtId="172" fontId="4" fillId="0" borderId="0" applyFont="0" applyFill="0" applyBorder="0" applyAlignment="0" applyProtection="0"/>
    <xf numFmtId="10" fontId="4" fillId="0" borderId="0" applyFont="0" applyFill="0" applyBorder="0" applyAlignment="0" applyProtection="0"/>
    <xf numFmtId="173" fontId="4" fillId="0" borderId="0" applyFont="0" applyFill="0" applyBorder="0" applyProtection="0">
      <alignment horizontal="center"/>
    </xf>
    <xf numFmtId="0" fontId="12" fillId="3" borderId="0" applyNumberFormat="0" applyFon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3" fontId="11" fillId="0" borderId="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 fillId="0" borderId="0"/>
    <xf numFmtId="0" fontId="34"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2" fillId="0" borderId="0"/>
    <xf numFmtId="0" fontId="4" fillId="0" borderId="0"/>
    <xf numFmtId="164" fontId="1" fillId="0" borderId="0" applyFont="0" applyFill="0" applyBorder="0" applyAlignment="0" applyProtection="0"/>
  </cellStyleXfs>
  <cellXfs count="679">
    <xf numFmtId="0" fontId="0" fillId="0" borderId="0" xfId="0"/>
    <xf numFmtId="0" fontId="12" fillId="0" borderId="0" xfId="0" applyFont="1"/>
    <xf numFmtId="0" fontId="15" fillId="0" borderId="0" xfId="0" applyFont="1" applyAlignment="1">
      <alignment horizontal="center"/>
    </xf>
    <xf numFmtId="0" fontId="12" fillId="0" borderId="5" xfId="0" applyFont="1" applyBorder="1"/>
    <xf numFmtId="0" fontId="12" fillId="0" borderId="0" xfId="0" applyFont="1" applyAlignment="1">
      <alignment horizontal="center"/>
    </xf>
    <xf numFmtId="0" fontId="12" fillId="0" borderId="4" xfId="0" applyFont="1" applyBorder="1"/>
    <xf numFmtId="0" fontId="12" fillId="0" borderId="2" xfId="0" applyFont="1" applyBorder="1"/>
    <xf numFmtId="0" fontId="12" fillId="4" borderId="13" xfId="0" applyFont="1" applyFill="1" applyBorder="1" applyAlignment="1" applyProtection="1">
      <alignment horizontal="center"/>
      <protection locked="0"/>
    </xf>
    <xf numFmtId="3" fontId="15" fillId="0" borderId="16" xfId="0" applyNumberFormat="1" applyFont="1" applyBorder="1"/>
    <xf numFmtId="0" fontId="12" fillId="0" borderId="14" xfId="0" applyFont="1" applyBorder="1"/>
    <xf numFmtId="0" fontId="15" fillId="0" borderId="0" xfId="0" applyFont="1"/>
    <xf numFmtId="0" fontId="12" fillId="0" borderId="0" xfId="0" applyFont="1" applyAlignment="1">
      <alignment wrapText="1"/>
    </xf>
    <xf numFmtId="0" fontId="12" fillId="4" borderId="13" xfId="0" applyFont="1" applyFill="1" applyBorder="1" applyProtection="1">
      <protection locked="0"/>
    </xf>
    <xf numFmtId="0" fontId="12" fillId="0" borderId="16" xfId="0" applyFont="1" applyBorder="1"/>
    <xf numFmtId="174" fontId="12" fillId="0" borderId="0" xfId="0" applyNumberFormat="1" applyFont="1"/>
    <xf numFmtId="174" fontId="15" fillId="0" borderId="0" xfId="0" applyNumberFormat="1" applyFont="1"/>
    <xf numFmtId="3" fontId="12" fillId="0" borderId="0" xfId="0" applyNumberFormat="1" applyFont="1"/>
    <xf numFmtId="0" fontId="18" fillId="0" borderId="0" xfId="0" applyFont="1" applyAlignment="1">
      <alignment horizontal="left"/>
    </xf>
    <xf numFmtId="3" fontId="12" fillId="0" borderId="14" xfId="0" applyNumberFormat="1" applyFont="1" applyBorder="1"/>
    <xf numFmtId="3" fontId="15" fillId="0" borderId="14" xfId="0" applyNumberFormat="1" applyFont="1" applyBorder="1"/>
    <xf numFmtId="0" fontId="15" fillId="5" borderId="22" xfId="0" applyFont="1" applyFill="1" applyBorder="1" applyAlignment="1">
      <alignment horizontal="center"/>
    </xf>
    <xf numFmtId="0" fontId="15" fillId="5" borderId="27" xfId="0" applyFont="1" applyFill="1" applyBorder="1" applyAlignment="1">
      <alignment horizontal="center" wrapText="1"/>
    </xf>
    <xf numFmtId="0" fontId="17" fillId="5" borderId="23" xfId="0" applyFont="1" applyFill="1" applyBorder="1"/>
    <xf numFmtId="0" fontId="17" fillId="5" borderId="24" xfId="0" applyFont="1" applyFill="1" applyBorder="1"/>
    <xf numFmtId="0" fontId="12" fillId="5" borderId="25" xfId="0" applyFont="1" applyFill="1" applyBorder="1" applyAlignment="1">
      <alignment horizontal="center"/>
    </xf>
    <xf numFmtId="0" fontId="12" fillId="5" borderId="26" xfId="0" applyFont="1" applyFill="1" applyBorder="1" applyAlignment="1">
      <alignment horizontal="center"/>
    </xf>
    <xf numFmtId="3" fontId="15" fillId="0" borderId="0" xfId="0" applyNumberFormat="1" applyFont="1"/>
    <xf numFmtId="3" fontId="12" fillId="0" borderId="16" xfId="0" applyNumberFormat="1" applyFont="1" applyBorder="1"/>
    <xf numFmtId="0" fontId="12" fillId="4" borderId="60" xfId="0" applyFont="1" applyFill="1" applyBorder="1" applyProtection="1">
      <protection locked="0"/>
    </xf>
    <xf numFmtId="0" fontId="19" fillId="4" borderId="60" xfId="0" applyFont="1" applyFill="1" applyBorder="1" applyProtection="1">
      <protection locked="0"/>
    </xf>
    <xf numFmtId="0" fontId="16" fillId="4" borderId="60" xfId="0" applyFont="1" applyFill="1" applyBorder="1" applyProtection="1">
      <protection locked="0"/>
    </xf>
    <xf numFmtId="0" fontId="20" fillId="0" borderId="0" xfId="0" applyFont="1"/>
    <xf numFmtId="0" fontId="21" fillId="0" borderId="0" xfId="0" applyFont="1"/>
    <xf numFmtId="0" fontId="12" fillId="0" borderId="68" xfId="0" applyFont="1" applyBorder="1"/>
    <xf numFmtId="0" fontId="0" fillId="0" borderId="3" xfId="0" applyBorder="1"/>
    <xf numFmtId="0" fontId="22" fillId="0" borderId="0" xfId="0" applyFont="1"/>
    <xf numFmtId="0" fontId="12" fillId="6" borderId="28" xfId="0" applyFont="1" applyFill="1" applyBorder="1" applyAlignment="1">
      <alignment horizontal="center"/>
    </xf>
    <xf numFmtId="3" fontId="15" fillId="6" borderId="29" xfId="14" applyFont="1" applyFill="1" applyBorder="1" applyAlignment="1">
      <alignment horizontal="center"/>
    </xf>
    <xf numFmtId="3" fontId="15" fillId="6" borderId="30" xfId="14" applyFont="1" applyFill="1" applyBorder="1" applyAlignment="1">
      <alignment horizontal="center"/>
    </xf>
    <xf numFmtId="3" fontId="12" fillId="0" borderId="18" xfId="14" applyFont="1" applyFill="1" applyBorder="1" applyAlignment="1">
      <alignment horizontal="center" vertical="top" wrapText="1"/>
    </xf>
    <xf numFmtId="3" fontId="12" fillId="0" borderId="13" xfId="14" applyFont="1" applyFill="1" applyBorder="1" applyAlignment="1">
      <alignment horizontal="center" vertical="top" wrapText="1"/>
    </xf>
    <xf numFmtId="3" fontId="12" fillId="0" borderId="31" xfId="14" applyFont="1" applyFill="1" applyBorder="1" applyAlignment="1">
      <alignment horizontal="center" vertical="top" wrapText="1"/>
    </xf>
    <xf numFmtId="3" fontId="12" fillId="0" borderId="32" xfId="14" applyFont="1" applyBorder="1" applyAlignment="1">
      <alignment horizontal="center"/>
    </xf>
    <xf numFmtId="3" fontId="24" fillId="4" borderId="33" xfId="0" applyNumberFormat="1" applyFont="1" applyFill="1" applyBorder="1" applyProtection="1">
      <protection locked="0"/>
    </xf>
    <xf numFmtId="3" fontId="19" fillId="0" borderId="35" xfId="0" applyNumberFormat="1" applyFont="1" applyBorder="1"/>
    <xf numFmtId="3" fontId="24" fillId="4" borderId="46" xfId="0" applyNumberFormat="1" applyFont="1" applyFill="1" applyBorder="1" applyProtection="1">
      <protection locked="0"/>
    </xf>
    <xf numFmtId="3" fontId="24" fillId="4" borderId="39" xfId="0" applyNumberFormat="1" applyFont="1" applyFill="1" applyBorder="1" applyProtection="1">
      <protection locked="0"/>
    </xf>
    <xf numFmtId="3" fontId="19" fillId="0" borderId="36" xfId="0" applyNumberFormat="1" applyFont="1" applyBorder="1"/>
    <xf numFmtId="3" fontId="19" fillId="0" borderId="37" xfId="0" applyNumberFormat="1" applyFont="1" applyBorder="1"/>
    <xf numFmtId="3" fontId="24" fillId="4" borderId="38" xfId="0" applyNumberFormat="1" applyFont="1" applyFill="1" applyBorder="1" applyProtection="1">
      <protection locked="0"/>
    </xf>
    <xf numFmtId="3" fontId="19" fillId="0" borderId="40" xfId="0" applyNumberFormat="1" applyFont="1" applyBorder="1"/>
    <xf numFmtId="3" fontId="12" fillId="0" borderId="52" xfId="14" applyFont="1" applyBorder="1" applyAlignment="1">
      <alignment horizontal="center"/>
    </xf>
    <xf numFmtId="3" fontId="24" fillId="4" borderId="53" xfId="0" applyNumberFormat="1" applyFont="1" applyFill="1" applyBorder="1" applyProtection="1">
      <protection locked="0"/>
    </xf>
    <xf numFmtId="3" fontId="24" fillId="4" borderId="54" xfId="0" applyNumberFormat="1" applyFont="1" applyFill="1" applyBorder="1" applyProtection="1">
      <protection locked="0"/>
    </xf>
    <xf numFmtId="3" fontId="19" fillId="0" borderId="55" xfId="0" applyNumberFormat="1" applyFont="1" applyBorder="1"/>
    <xf numFmtId="3" fontId="24" fillId="4" borderId="41" xfId="0" applyNumberFormat="1" applyFont="1" applyFill="1" applyBorder="1" applyProtection="1">
      <protection locked="0"/>
    </xf>
    <xf numFmtId="3" fontId="19" fillId="0" borderId="42" xfId="0" applyNumberFormat="1" applyFont="1" applyBorder="1"/>
    <xf numFmtId="3" fontId="19" fillId="0" borderId="43" xfId="0" applyNumberFormat="1" applyFont="1" applyBorder="1"/>
    <xf numFmtId="3" fontId="12" fillId="0" borderId="49" xfId="14" applyFont="1" applyBorder="1"/>
    <xf numFmtId="3" fontId="19" fillId="7" borderId="50" xfId="0" applyNumberFormat="1" applyFont="1" applyFill="1" applyBorder="1"/>
    <xf numFmtId="3" fontId="19" fillId="7" borderId="51" xfId="0" applyNumberFormat="1" applyFont="1" applyFill="1" applyBorder="1"/>
    <xf numFmtId="3" fontId="19" fillId="0" borderId="47" xfId="0" applyNumberFormat="1" applyFont="1" applyBorder="1"/>
    <xf numFmtId="3" fontId="19" fillId="7" borderId="47" xfId="0" applyNumberFormat="1" applyFont="1" applyFill="1" applyBorder="1"/>
    <xf numFmtId="3" fontId="19" fillId="0" borderId="45" xfId="0" applyNumberFormat="1" applyFont="1" applyBorder="1"/>
    <xf numFmtId="3" fontId="12" fillId="0" borderId="0" xfId="14" applyFont="1" applyBorder="1"/>
    <xf numFmtId="3" fontId="19" fillId="0" borderId="0" xfId="0" applyNumberFormat="1" applyFont="1"/>
    <xf numFmtId="3" fontId="24" fillId="4" borderId="34" xfId="0" applyNumberFormat="1" applyFont="1" applyFill="1" applyBorder="1" applyProtection="1">
      <protection locked="0"/>
    </xf>
    <xf numFmtId="3" fontId="19" fillId="0" borderId="44" xfId="0" applyNumberFormat="1" applyFont="1" applyBorder="1"/>
    <xf numFmtId="3" fontId="19" fillId="7" borderId="44" xfId="0" applyNumberFormat="1" applyFont="1" applyFill="1" applyBorder="1"/>
    <xf numFmtId="3" fontId="24" fillId="0" borderId="34" xfId="0" applyNumberFormat="1" applyFont="1" applyBorder="1"/>
    <xf numFmtId="3" fontId="24" fillId="4" borderId="38" xfId="87" applyFont="1" applyFill="1" applyBorder="1" applyProtection="1">
      <protection locked="0"/>
    </xf>
    <xf numFmtId="3" fontId="24" fillId="4" borderId="46" xfId="87" applyFont="1" applyFill="1" applyBorder="1" applyProtection="1">
      <protection locked="0"/>
    </xf>
    <xf numFmtId="3" fontId="24" fillId="4" borderId="39" xfId="87" applyFont="1" applyFill="1" applyBorder="1" applyProtection="1">
      <protection locked="0"/>
    </xf>
    <xf numFmtId="3" fontId="19" fillId="0" borderId="36" xfId="1" applyNumberFormat="1" applyFont="1" applyBorder="1"/>
    <xf numFmtId="3" fontId="19" fillId="0" borderId="37" xfId="1" applyNumberFormat="1" applyFont="1" applyBorder="1"/>
    <xf numFmtId="0" fontId="19" fillId="7" borderId="50" xfId="0" applyFont="1" applyFill="1" applyBorder="1"/>
    <xf numFmtId="0" fontId="19" fillId="7" borderId="51" xfId="0" applyFont="1" applyFill="1" applyBorder="1"/>
    <xf numFmtId="3" fontId="19" fillId="0" borderId="44" xfId="1" applyNumberFormat="1" applyFont="1" applyBorder="1"/>
    <xf numFmtId="0" fontId="19" fillId="7" borderId="44" xfId="0" applyFont="1" applyFill="1" applyBorder="1"/>
    <xf numFmtId="3" fontId="19" fillId="0" borderId="45" xfId="1" applyNumberFormat="1" applyFont="1" applyBorder="1"/>
    <xf numFmtId="3" fontId="24" fillId="0" borderId="39" xfId="87" applyFont="1" applyBorder="1" applyProtection="1"/>
    <xf numFmtId="0" fontId="12" fillId="0" borderId="0" xfId="0" applyFont="1" applyProtection="1">
      <protection locked="0"/>
    </xf>
    <xf numFmtId="3" fontId="15" fillId="6" borderId="56" xfId="14" applyFont="1" applyFill="1" applyBorder="1" applyAlignment="1" applyProtection="1">
      <alignment horizontal="center"/>
      <protection locked="0"/>
    </xf>
    <xf numFmtId="3" fontId="15" fillId="6" borderId="57" xfId="14" applyFont="1" applyFill="1" applyBorder="1" applyProtection="1">
      <protection locked="0"/>
    </xf>
    <xf numFmtId="1" fontId="25" fillId="6" borderId="58" xfId="14" applyNumberFormat="1" applyFont="1" applyFill="1" applyBorder="1" applyAlignment="1" applyProtection="1">
      <alignment horizontal="center"/>
      <protection locked="0"/>
    </xf>
    <xf numFmtId="1" fontId="25" fillId="6" borderId="59" xfId="14" applyNumberFormat="1" applyFont="1" applyFill="1" applyBorder="1" applyAlignment="1" applyProtection="1">
      <alignment horizontal="center"/>
      <protection locked="0"/>
    </xf>
    <xf numFmtId="3" fontId="12" fillId="0" borderId="32" xfId="14" applyFont="1" applyBorder="1" applyAlignment="1" applyProtection="1">
      <alignment horizontal="center"/>
      <protection locked="0"/>
    </xf>
    <xf numFmtId="3" fontId="12" fillId="4" borderId="60" xfId="87" applyFont="1" applyFill="1" applyBorder="1" applyProtection="1">
      <protection locked="0"/>
    </xf>
    <xf numFmtId="3" fontId="24" fillId="4" borderId="61" xfId="87" applyFont="1" applyFill="1" applyBorder="1" applyProtection="1">
      <protection locked="0"/>
    </xf>
    <xf numFmtId="3" fontId="24" fillId="4" borderId="62" xfId="1" applyNumberFormat="1" applyFont="1" applyFill="1" applyBorder="1" applyProtection="1">
      <protection locked="0"/>
    </xf>
    <xf numFmtId="3" fontId="24" fillId="4" borderId="63" xfId="87" applyFont="1" applyFill="1" applyBorder="1" applyProtection="1">
      <protection locked="0"/>
    </xf>
    <xf numFmtId="3" fontId="24" fillId="4" borderId="64" xfId="1" applyNumberFormat="1" applyFont="1" applyFill="1" applyBorder="1" applyProtection="1">
      <protection locked="0"/>
    </xf>
    <xf numFmtId="3" fontId="24" fillId="4" borderId="32" xfId="87" applyFont="1" applyFill="1" applyBorder="1" applyProtection="1">
      <protection locked="0"/>
    </xf>
    <xf numFmtId="3" fontId="12" fillId="4" borderId="4" xfId="87" applyFont="1" applyFill="1" applyBorder="1" applyProtection="1">
      <protection locked="0"/>
    </xf>
    <xf numFmtId="3" fontId="12" fillId="0" borderId="65" xfId="14" applyFont="1" applyBorder="1" applyAlignment="1" applyProtection="1">
      <alignment horizontal="center"/>
      <protection locked="0"/>
    </xf>
    <xf numFmtId="3" fontId="26" fillId="0" borderId="66" xfId="14" applyFont="1" applyBorder="1" applyProtection="1">
      <protection locked="0"/>
    </xf>
    <xf numFmtId="3" fontId="19" fillId="0" borderId="67" xfId="1" applyNumberFormat="1" applyFont="1" applyBorder="1" applyProtection="1">
      <protection locked="0"/>
    </xf>
    <xf numFmtId="3" fontId="19" fillId="0" borderId="48" xfId="1" applyNumberFormat="1" applyFont="1" applyBorder="1" applyProtection="1">
      <protection locked="0"/>
    </xf>
    <xf numFmtId="3" fontId="12" fillId="4" borderId="13" xfId="0" applyNumberFormat="1" applyFont="1" applyFill="1" applyBorder="1" applyProtection="1">
      <protection locked="0"/>
    </xf>
    <xf numFmtId="3" fontId="12" fillId="0" borderId="13" xfId="0" applyNumberFormat="1" applyFont="1" applyBorder="1"/>
    <xf numFmtId="3" fontId="12" fillId="0" borderId="0" xfId="0" applyNumberFormat="1" applyFont="1" applyAlignment="1">
      <alignment horizontal="center"/>
    </xf>
    <xf numFmtId="0" fontId="29" fillId="9" borderId="0" xfId="0" applyFont="1" applyFill="1" applyAlignment="1">
      <alignment horizontal="center"/>
    </xf>
    <xf numFmtId="3" fontId="12" fillId="4" borderId="71" xfId="87" applyFont="1" applyFill="1" applyBorder="1" applyProtection="1">
      <protection locked="0"/>
    </xf>
    <xf numFmtId="3" fontId="24" fillId="4" borderId="70" xfId="87" applyFont="1" applyFill="1" applyBorder="1" applyProtection="1">
      <protection locked="0"/>
    </xf>
    <xf numFmtId="3" fontId="24" fillId="4" borderId="72" xfId="1" applyNumberFormat="1" applyFont="1" applyFill="1" applyBorder="1" applyProtection="1">
      <protection locked="0"/>
    </xf>
    <xf numFmtId="0" fontId="12" fillId="0" borderId="60" xfId="0" applyFont="1" applyBorder="1"/>
    <xf numFmtId="3" fontId="12" fillId="0" borderId="68" xfId="0" applyNumberFormat="1" applyFont="1" applyBorder="1" applyAlignment="1">
      <alignment horizontal="center"/>
    </xf>
    <xf numFmtId="175" fontId="12" fillId="0" borderId="68" xfId="0" applyNumberFormat="1" applyFont="1" applyBorder="1" applyAlignment="1">
      <alignment horizontal="center"/>
    </xf>
    <xf numFmtId="3" fontId="12" fillId="0" borderId="60" xfId="0" applyNumberFormat="1" applyFont="1" applyBorder="1" applyAlignment="1">
      <alignment horizontal="center"/>
    </xf>
    <xf numFmtId="3" fontId="12" fillId="0" borderId="13" xfId="0" applyNumberFormat="1" applyFont="1" applyBorder="1" applyAlignment="1">
      <alignment horizontal="center"/>
    </xf>
    <xf numFmtId="3" fontId="12" fillId="0" borderId="69" xfId="0" applyNumberFormat="1" applyFont="1" applyBorder="1" applyAlignment="1">
      <alignment horizontal="center"/>
    </xf>
    <xf numFmtId="0" fontId="27" fillId="8" borderId="6" xfId="0" applyFont="1" applyFill="1" applyBorder="1"/>
    <xf numFmtId="0" fontId="27" fillId="8" borderId="15" xfId="0" applyFont="1" applyFill="1" applyBorder="1"/>
    <xf numFmtId="0" fontId="12" fillId="8" borderId="15" xfId="0" applyFont="1" applyFill="1" applyBorder="1" applyAlignment="1">
      <alignment horizontal="center"/>
    </xf>
    <xf numFmtId="0" fontId="12" fillId="8" borderId="15" xfId="0" applyFont="1" applyFill="1" applyBorder="1"/>
    <xf numFmtId="0" fontId="12" fillId="8" borderId="10" xfId="0" applyFont="1" applyFill="1" applyBorder="1"/>
    <xf numFmtId="0" fontId="12" fillId="8" borderId="4" xfId="0" applyFont="1" applyFill="1" applyBorder="1"/>
    <xf numFmtId="0" fontId="12" fillId="8" borderId="0" xfId="0" applyFont="1" applyFill="1" applyAlignment="1">
      <alignment horizontal="right"/>
    </xf>
    <xf numFmtId="0" fontId="12" fillId="8" borderId="8" xfId="0" applyFont="1" applyFill="1" applyBorder="1"/>
    <xf numFmtId="0" fontId="12" fillId="0" borderId="0" xfId="0" applyFont="1" applyAlignment="1">
      <alignment horizontal="right"/>
    </xf>
    <xf numFmtId="3" fontId="12" fillId="0" borderId="1" xfId="0" applyNumberFormat="1" applyFont="1" applyBorder="1"/>
    <xf numFmtId="3" fontId="15" fillId="0" borderId="13" xfId="0" applyNumberFormat="1" applyFont="1" applyBorder="1"/>
    <xf numFmtId="0" fontId="27" fillId="0" borderId="0" xfId="0" applyFont="1"/>
    <xf numFmtId="175" fontId="12" fillId="4" borderId="13" xfId="0" applyNumberFormat="1" applyFont="1" applyFill="1" applyBorder="1" applyAlignment="1" applyProtection="1">
      <alignment horizontal="center"/>
      <protection locked="0"/>
    </xf>
    <xf numFmtId="3" fontId="15" fillId="6" borderId="56" xfId="14" applyFont="1" applyFill="1" applyBorder="1" applyAlignment="1" applyProtection="1">
      <alignment horizontal="center"/>
    </xf>
    <xf numFmtId="3" fontId="15" fillId="6" borderId="57" xfId="14" applyFont="1" applyFill="1" applyBorder="1" applyProtection="1"/>
    <xf numFmtId="1" fontId="25" fillId="6" borderId="58" xfId="14" applyNumberFormat="1" applyFont="1" applyFill="1" applyBorder="1" applyAlignment="1" applyProtection="1">
      <alignment horizontal="center"/>
    </xf>
    <xf numFmtId="1" fontId="25" fillId="6" borderId="59" xfId="14" applyNumberFormat="1" applyFont="1" applyFill="1" applyBorder="1" applyAlignment="1" applyProtection="1">
      <alignment horizontal="center"/>
    </xf>
    <xf numFmtId="3" fontId="12" fillId="0" borderId="32" xfId="14" applyFont="1" applyBorder="1" applyAlignment="1" applyProtection="1">
      <alignment horizontal="center"/>
    </xf>
    <xf numFmtId="3" fontId="12" fillId="0" borderId="65" xfId="14" applyFont="1" applyBorder="1" applyAlignment="1" applyProtection="1">
      <alignment horizontal="center"/>
    </xf>
    <xf numFmtId="3" fontId="26" fillId="0" borderId="66" xfId="14" applyFont="1" applyBorder="1" applyProtection="1"/>
    <xf numFmtId="3" fontId="19" fillId="0" borderId="67" xfId="1" applyNumberFormat="1" applyFont="1" applyBorder="1" applyProtection="1"/>
    <xf numFmtId="3" fontId="19" fillId="0" borderId="48" xfId="1" applyNumberFormat="1" applyFont="1" applyBorder="1" applyProtection="1"/>
    <xf numFmtId="3" fontId="12" fillId="0" borderId="70" xfId="14" applyFont="1" applyBorder="1" applyAlignment="1" applyProtection="1">
      <alignment horizontal="center"/>
    </xf>
    <xf numFmtId="0" fontId="28" fillId="0" borderId="0" xfId="77" applyFont="1" applyProtection="1"/>
    <xf numFmtId="0" fontId="30" fillId="0" borderId="0" xfId="0" applyFont="1"/>
    <xf numFmtId="0" fontId="22" fillId="0" borderId="0" xfId="0" applyFont="1" applyAlignment="1">
      <alignment wrapText="1"/>
    </xf>
    <xf numFmtId="172" fontId="12" fillId="0" borderId="0" xfId="2" applyNumberFormat="1" applyFont="1" applyProtection="1"/>
    <xf numFmtId="3" fontId="12" fillId="8" borderId="0" xfId="0" applyNumberFormat="1" applyFont="1" applyFill="1"/>
    <xf numFmtId="3" fontId="12" fillId="8" borderId="14" xfId="0" applyNumberFormat="1" applyFont="1" applyFill="1" applyBorder="1"/>
    <xf numFmtId="3" fontId="31" fillId="0" borderId="0" xfId="0" applyNumberFormat="1" applyFont="1"/>
    <xf numFmtId="3" fontId="31" fillId="0" borderId="0" xfId="0" applyNumberFormat="1" applyFont="1" applyAlignment="1">
      <alignment horizontal="right"/>
    </xf>
    <xf numFmtId="0" fontId="31" fillId="0" borderId="0" xfId="0" applyFont="1" applyAlignment="1">
      <alignment horizontal="right"/>
    </xf>
    <xf numFmtId="176" fontId="12" fillId="0" borderId="0" xfId="0" applyNumberFormat="1" applyFont="1"/>
    <xf numFmtId="10" fontId="12" fillId="0" borderId="0" xfId="2" applyNumberFormat="1" applyFont="1" applyProtection="1"/>
    <xf numFmtId="10" fontId="12" fillId="0" borderId="0" xfId="0" applyNumberFormat="1" applyFont="1"/>
    <xf numFmtId="0" fontId="23" fillId="0" borderId="0" xfId="0" applyFont="1"/>
    <xf numFmtId="0" fontId="15" fillId="8" borderId="84" xfId="0" applyFont="1" applyFill="1" applyBorder="1"/>
    <xf numFmtId="0" fontId="15" fillId="8" borderId="85" xfId="0" applyFont="1" applyFill="1" applyBorder="1"/>
    <xf numFmtId="0" fontId="0" fillId="11" borderId="86" xfId="0" applyFill="1" applyBorder="1"/>
    <xf numFmtId="1" fontId="26" fillId="12" borderId="87" xfId="0" applyNumberFormat="1" applyFont="1" applyFill="1" applyBorder="1" applyAlignment="1">
      <alignment horizontal="center"/>
    </xf>
    <xf numFmtId="3" fontId="35" fillId="13" borderId="90" xfId="0" applyNumberFormat="1" applyFont="1" applyFill="1" applyBorder="1"/>
    <xf numFmtId="3" fontId="35" fillId="13" borderId="91" xfId="0" applyNumberFormat="1" applyFont="1" applyFill="1" applyBorder="1"/>
    <xf numFmtId="0" fontId="0" fillId="11" borderId="92" xfId="0" applyFill="1" applyBorder="1"/>
    <xf numFmtId="0" fontId="0" fillId="11" borderId="93" xfId="0" applyFill="1" applyBorder="1"/>
    <xf numFmtId="3" fontId="0" fillId="11" borderId="94" xfId="0" applyNumberFormat="1" applyFill="1" applyBorder="1"/>
    <xf numFmtId="3" fontId="36" fillId="4" borderId="0" xfId="0" applyNumberFormat="1" applyFont="1" applyFill="1" applyProtection="1">
      <protection locked="0"/>
    </xf>
    <xf numFmtId="3" fontId="36" fillId="14" borderId="95" xfId="0" applyNumberFormat="1" applyFont="1" applyFill="1" applyBorder="1" applyProtection="1">
      <protection locked="0"/>
    </xf>
    <xf numFmtId="3" fontId="24" fillId="15" borderId="96" xfId="0" applyNumberFormat="1" applyFont="1" applyFill="1" applyBorder="1" applyProtection="1">
      <protection locked="0"/>
    </xf>
    <xf numFmtId="3" fontId="36" fillId="13" borderId="2" xfId="0" applyNumberFormat="1" applyFont="1" applyFill="1" applyBorder="1"/>
    <xf numFmtId="0" fontId="0" fillId="8" borderId="81" xfId="0" applyFill="1" applyBorder="1"/>
    <xf numFmtId="0" fontId="0" fillId="8" borderId="97" xfId="0" applyFill="1" applyBorder="1"/>
    <xf numFmtId="3" fontId="0" fillId="11" borderId="98" xfId="0" applyNumberFormat="1" applyFill="1" applyBorder="1"/>
    <xf numFmtId="3" fontId="36" fillId="14" borderId="98" xfId="0" applyNumberFormat="1" applyFont="1" applyFill="1" applyBorder="1" applyProtection="1">
      <protection locked="0"/>
    </xf>
    <xf numFmtId="0" fontId="0" fillId="13" borderId="2" xfId="0" applyFill="1" applyBorder="1"/>
    <xf numFmtId="3" fontId="36" fillId="14" borderId="99" xfId="0" applyNumberFormat="1" applyFont="1" applyFill="1" applyBorder="1" applyProtection="1">
      <protection locked="0"/>
    </xf>
    <xf numFmtId="3" fontId="37" fillId="13" borderId="96" xfId="0" applyNumberFormat="1" applyFont="1" applyFill="1" applyBorder="1"/>
    <xf numFmtId="0" fontId="15" fillId="11" borderId="100" xfId="0" applyFont="1" applyFill="1" applyBorder="1"/>
    <xf numFmtId="0" fontId="38" fillId="11" borderId="101" xfId="0" applyFont="1" applyFill="1" applyBorder="1"/>
    <xf numFmtId="3" fontId="0" fillId="11" borderId="0" xfId="0" applyNumberFormat="1" applyFill="1"/>
    <xf numFmtId="3" fontId="3" fillId="12" borderId="94" xfId="1" applyNumberFormat="1" applyFill="1" applyBorder="1" applyAlignment="1">
      <alignment horizontal="center"/>
    </xf>
    <xf numFmtId="3" fontId="0" fillId="13" borderId="102" xfId="0" applyNumberFormat="1" applyFill="1" applyBorder="1"/>
    <xf numFmtId="0" fontId="0" fillId="11" borderId="103" xfId="0" applyFill="1" applyBorder="1"/>
    <xf numFmtId="3" fontId="0" fillId="11" borderId="104" xfId="0" applyNumberFormat="1" applyFill="1" applyBorder="1"/>
    <xf numFmtId="3" fontId="36" fillId="4" borderId="13" xfId="0" applyNumberFormat="1" applyFont="1" applyFill="1" applyBorder="1" applyProtection="1">
      <protection locked="0"/>
    </xf>
    <xf numFmtId="3" fontId="36" fillId="4" borderId="31" xfId="0" applyNumberFormat="1" applyFont="1" applyFill="1" applyBorder="1" applyProtection="1">
      <protection locked="0"/>
    </xf>
    <xf numFmtId="0" fontId="39" fillId="13" borderId="80" xfId="0" applyFont="1" applyFill="1" applyBorder="1"/>
    <xf numFmtId="3" fontId="0" fillId="11" borderId="107" xfId="0" applyNumberFormat="1" applyFill="1" applyBorder="1"/>
    <xf numFmtId="3" fontId="36" fillId="14" borderId="107" xfId="0" applyNumberFormat="1" applyFont="1" applyFill="1" applyBorder="1" applyProtection="1">
      <protection locked="0"/>
    </xf>
    <xf numFmtId="3" fontId="36" fillId="14" borderId="108" xfId="0" applyNumberFormat="1" applyFont="1" applyFill="1" applyBorder="1" applyProtection="1">
      <protection locked="0"/>
    </xf>
    <xf numFmtId="3" fontId="0" fillId="0" borderId="0" xfId="0" applyNumberFormat="1"/>
    <xf numFmtId="3" fontId="0" fillId="11" borderId="99" xfId="0" applyNumberFormat="1" applyFill="1" applyBorder="1"/>
    <xf numFmtId="0" fontId="0" fillId="11" borderId="100" xfId="0" applyFill="1" applyBorder="1"/>
    <xf numFmtId="1" fontId="26" fillId="12" borderId="109" xfId="0" applyNumberFormat="1" applyFont="1" applyFill="1" applyBorder="1" applyAlignment="1">
      <alignment horizontal="center"/>
    </xf>
    <xf numFmtId="3" fontId="40" fillId="12" borderId="94" xfId="0" applyNumberFormat="1" applyFont="1" applyFill="1" applyBorder="1" applyAlignment="1">
      <alignment horizontal="right"/>
    </xf>
    <xf numFmtId="1" fontId="26" fillId="0" borderId="0" xfId="0" applyNumberFormat="1" applyFont="1" applyAlignment="1">
      <alignment horizontal="center"/>
    </xf>
    <xf numFmtId="0" fontId="0" fillId="11" borderId="101" xfId="0" applyFill="1" applyBorder="1"/>
    <xf numFmtId="3" fontId="36" fillId="12" borderId="103" xfId="0" applyNumberFormat="1" applyFont="1" applyFill="1" applyBorder="1" applyAlignment="1">
      <alignment horizontal="center"/>
    </xf>
    <xf numFmtId="0" fontId="36" fillId="4" borderId="13" xfId="0" applyFont="1" applyFill="1" applyBorder="1" applyAlignment="1" applyProtection="1">
      <alignment horizontal="center"/>
      <protection locked="0"/>
    </xf>
    <xf numFmtId="0" fontId="36" fillId="4" borderId="31" xfId="0" applyFont="1" applyFill="1" applyBorder="1" applyAlignment="1" applyProtection="1">
      <alignment horizontal="center"/>
      <protection locked="0"/>
    </xf>
    <xf numFmtId="3" fontId="0" fillId="0" borderId="0" xfId="0" applyNumberFormat="1" applyAlignment="1">
      <alignment horizontal="center"/>
    </xf>
    <xf numFmtId="0" fontId="0" fillId="11" borderId="110" xfId="0" applyFill="1" applyBorder="1"/>
    <xf numFmtId="0" fontId="0" fillId="11" borderId="111" xfId="0" applyFill="1" applyBorder="1"/>
    <xf numFmtId="3" fontId="36" fillId="12" borderId="112" xfId="0" applyNumberFormat="1" applyFont="1" applyFill="1" applyBorder="1" applyAlignment="1">
      <alignment horizontal="center"/>
    </xf>
    <xf numFmtId="0" fontId="0" fillId="11" borderId="113" xfId="0" applyFill="1" applyBorder="1"/>
    <xf numFmtId="0" fontId="0" fillId="11" borderId="114" xfId="0" applyFill="1" applyBorder="1"/>
    <xf numFmtId="4" fontId="37" fillId="12" borderId="115" xfId="0" applyNumberFormat="1" applyFont="1" applyFill="1" applyBorder="1" applyAlignment="1">
      <alignment horizontal="center"/>
    </xf>
    <xf numFmtId="4" fontId="37" fillId="16" borderId="115" xfId="0" applyNumberFormat="1" applyFont="1" applyFill="1" applyBorder="1" applyAlignment="1" applyProtection="1">
      <alignment horizontal="center"/>
      <protection locked="0"/>
    </xf>
    <xf numFmtId="4" fontId="37" fillId="16" borderId="116" xfId="0" applyNumberFormat="1" applyFont="1" applyFill="1" applyBorder="1" applyAlignment="1" applyProtection="1">
      <alignment horizontal="center"/>
      <protection locked="0"/>
    </xf>
    <xf numFmtId="0" fontId="41" fillId="17" borderId="0" xfId="0" applyFont="1" applyFill="1"/>
    <xf numFmtId="4" fontId="41" fillId="18" borderId="0" xfId="0" applyNumberFormat="1" applyFont="1" applyFill="1" applyAlignment="1">
      <alignment horizontal="center"/>
    </xf>
    <xf numFmtId="3" fontId="41" fillId="18" borderId="0" xfId="0" applyNumberFormat="1" applyFont="1" applyFill="1" applyAlignment="1">
      <alignment horizontal="center"/>
    </xf>
    <xf numFmtId="0" fontId="0" fillId="19" borderId="0" xfId="0" applyFill="1"/>
    <xf numFmtId="4" fontId="37" fillId="20" borderId="0" xfId="0" applyNumberFormat="1" applyFont="1" applyFill="1" applyAlignment="1">
      <alignment horizontal="center"/>
    </xf>
    <xf numFmtId="0" fontId="15" fillId="8" borderId="88" xfId="0" applyFont="1" applyFill="1" applyBorder="1"/>
    <xf numFmtId="0" fontId="0" fillId="8" borderId="89" xfId="0" applyFill="1" applyBorder="1"/>
    <xf numFmtId="0" fontId="0" fillId="8" borderId="117" xfId="0" applyFill="1" applyBorder="1"/>
    <xf numFmtId="0" fontId="0" fillId="8" borderId="91" xfId="0" applyFill="1" applyBorder="1"/>
    <xf numFmtId="0" fontId="0" fillId="8" borderId="3" xfId="0" applyFill="1" applyBorder="1"/>
    <xf numFmtId="0" fontId="0" fillId="8" borderId="109" xfId="0" applyFill="1" applyBorder="1"/>
    <xf numFmtId="3" fontId="0" fillId="4" borderId="109" xfId="0" applyNumberFormat="1" applyFill="1" applyBorder="1" applyProtection="1">
      <protection locked="0"/>
    </xf>
    <xf numFmtId="0" fontId="0" fillId="8" borderId="0" xfId="0" applyFill="1"/>
    <xf numFmtId="0" fontId="0" fillId="8" borderId="2" xfId="0" applyFill="1" applyBorder="1"/>
    <xf numFmtId="0" fontId="15" fillId="11" borderId="88" xfId="0" applyFont="1" applyFill="1" applyBorder="1"/>
    <xf numFmtId="0" fontId="0" fillId="11" borderId="89" xfId="0" applyFill="1" applyBorder="1"/>
    <xf numFmtId="0" fontId="0" fillId="11" borderId="20" xfId="0" applyFill="1" applyBorder="1"/>
    <xf numFmtId="0" fontId="0" fillId="11" borderId="13" xfId="0" applyFill="1" applyBorder="1"/>
    <xf numFmtId="0" fontId="0" fillId="8" borderId="20" xfId="0" applyFill="1" applyBorder="1"/>
    <xf numFmtId="3" fontId="0" fillId="4" borderId="94" xfId="0" applyNumberFormat="1" applyFill="1" applyBorder="1" applyProtection="1">
      <protection locked="0"/>
    </xf>
    <xf numFmtId="0" fontId="37" fillId="8" borderId="2" xfId="0" applyFont="1" applyFill="1" applyBorder="1"/>
    <xf numFmtId="0" fontId="15" fillId="8" borderId="100" xfId="0" applyFont="1" applyFill="1" applyBorder="1"/>
    <xf numFmtId="0" fontId="15" fillId="8" borderId="101" xfId="0" applyFont="1" applyFill="1" applyBorder="1"/>
    <xf numFmtId="0" fontId="0" fillId="8" borderId="118" xfId="0" applyFill="1" applyBorder="1"/>
    <xf numFmtId="3" fontId="39" fillId="8" borderId="119" xfId="0" applyNumberFormat="1" applyFont="1" applyFill="1" applyBorder="1"/>
    <xf numFmtId="0" fontId="42" fillId="21" borderId="82" xfId="0" applyFont="1" applyFill="1" applyBorder="1"/>
    <xf numFmtId="0" fontId="42" fillId="17" borderId="105" xfId="0" applyFont="1" applyFill="1" applyBorder="1"/>
    <xf numFmtId="3" fontId="42" fillId="18" borderId="105" xfId="0" applyNumberFormat="1" applyFont="1" applyFill="1" applyBorder="1" applyAlignment="1">
      <alignment horizontal="center"/>
    </xf>
    <xf numFmtId="3" fontId="42" fillId="18" borderId="80" xfId="0" applyNumberFormat="1" applyFont="1" applyFill="1" applyBorder="1" applyAlignment="1">
      <alignment horizontal="center"/>
    </xf>
    <xf numFmtId="0" fontId="15" fillId="8" borderId="3" xfId="0" applyFont="1" applyFill="1" applyBorder="1"/>
    <xf numFmtId="0" fontId="0" fillId="8" borderId="111" xfId="0" applyFill="1" applyBorder="1"/>
    <xf numFmtId="0" fontId="0" fillId="8" borderId="98" xfId="0" applyFill="1" applyBorder="1"/>
    <xf numFmtId="0" fontId="0" fillId="11" borderId="3" xfId="0" applyFill="1" applyBorder="1"/>
    <xf numFmtId="0" fontId="0" fillId="11" borderId="0" xfId="0" applyFill="1"/>
    <xf numFmtId="3" fontId="0" fillId="11" borderId="120" xfId="0" applyNumberFormat="1" applyFill="1" applyBorder="1"/>
    <xf numFmtId="3" fontId="0" fillId="11" borderId="121" xfId="0" applyNumberFormat="1" applyFill="1" applyBorder="1"/>
    <xf numFmtId="3" fontId="0" fillId="11" borderId="2" xfId="0" applyNumberFormat="1" applyFill="1" applyBorder="1"/>
    <xf numFmtId="3" fontId="36" fillId="4" borderId="109" xfId="0" applyNumberFormat="1" applyFont="1" applyFill="1" applyBorder="1" applyProtection="1">
      <protection locked="0"/>
    </xf>
    <xf numFmtId="0" fontId="0" fillId="11" borderId="104" xfId="0" applyFill="1" applyBorder="1"/>
    <xf numFmtId="0" fontId="0" fillId="11" borderId="122" xfId="0" applyFill="1" applyBorder="1"/>
    <xf numFmtId="0" fontId="0" fillId="11" borderId="120" xfId="0" applyFill="1" applyBorder="1"/>
    <xf numFmtId="3" fontId="36" fillId="4" borderId="94" xfId="0" applyNumberFormat="1" applyFont="1" applyFill="1" applyBorder="1" applyProtection="1">
      <protection locked="0"/>
    </xf>
    <xf numFmtId="0" fontId="0" fillId="11" borderId="81" xfId="0" applyFill="1" applyBorder="1"/>
    <xf numFmtId="0" fontId="0" fillId="11" borderId="97" xfId="0" applyFill="1" applyBorder="1"/>
    <xf numFmtId="0" fontId="0" fillId="4" borderId="13" xfId="0" applyFill="1" applyBorder="1" applyProtection="1">
      <protection locked="0"/>
    </xf>
    <xf numFmtId="0" fontId="0" fillId="4" borderId="17" xfId="0" applyFill="1" applyBorder="1" applyProtection="1">
      <protection locked="0"/>
    </xf>
    <xf numFmtId="0" fontId="15" fillId="8" borderId="0" xfId="0" applyFont="1" applyFill="1"/>
    <xf numFmtId="3" fontId="36" fillId="4" borderId="107" xfId="0" applyNumberFormat="1" applyFont="1" applyFill="1" applyBorder="1" applyProtection="1">
      <protection locked="0"/>
    </xf>
    <xf numFmtId="0" fontId="42" fillId="21" borderId="7" xfId="0" applyFont="1" applyFill="1" applyBorder="1"/>
    <xf numFmtId="3" fontId="42" fillId="18" borderId="95" xfId="0" applyNumberFormat="1" applyFont="1" applyFill="1" applyBorder="1"/>
    <xf numFmtId="0" fontId="15" fillId="8" borderId="82" xfId="0" applyFont="1" applyFill="1" applyBorder="1"/>
    <xf numFmtId="0" fontId="15" fillId="8" borderId="105" xfId="0" applyFont="1" applyFill="1" applyBorder="1"/>
    <xf numFmtId="3" fontId="39" fillId="8" borderId="123" xfId="0" applyNumberFormat="1" applyFont="1" applyFill="1" applyBorder="1"/>
    <xf numFmtId="0" fontId="15" fillId="8" borderId="20" xfId="0" applyFont="1" applyFill="1" applyBorder="1"/>
    <xf numFmtId="3" fontId="36" fillId="4" borderId="98" xfId="0" applyNumberFormat="1" applyFont="1" applyFill="1" applyBorder="1" applyProtection="1">
      <protection locked="0"/>
    </xf>
    <xf numFmtId="3" fontId="36" fillId="4" borderId="99" xfId="0" applyNumberFormat="1" applyFont="1" applyFill="1" applyBorder="1" applyProtection="1">
      <protection locked="0"/>
    </xf>
    <xf numFmtId="0" fontId="0" fillId="8" borderId="83" xfId="0" applyFill="1" applyBorder="1"/>
    <xf numFmtId="0" fontId="0" fillId="8" borderId="10" xfId="0" applyFill="1" applyBorder="1" applyAlignment="1">
      <alignment horizontal="right"/>
    </xf>
    <xf numFmtId="0" fontId="26" fillId="4" borderId="97" xfId="0" applyFont="1" applyFill="1" applyBorder="1" applyProtection="1">
      <protection locked="0"/>
    </xf>
    <xf numFmtId="0" fontId="0" fillId="11" borderId="125" xfId="0" applyFill="1" applyBorder="1"/>
    <xf numFmtId="0" fontId="26" fillId="11" borderId="126" xfId="0" applyFont="1" applyFill="1" applyBorder="1"/>
    <xf numFmtId="3" fontId="26" fillId="4" borderId="127" xfId="0" applyNumberFormat="1" applyFont="1" applyFill="1" applyBorder="1" applyProtection="1">
      <protection locked="0"/>
    </xf>
    <xf numFmtId="3" fontId="36" fillId="4" borderId="128" xfId="0" applyNumberFormat="1" applyFont="1" applyFill="1" applyBorder="1" applyProtection="1">
      <protection locked="0"/>
    </xf>
    <xf numFmtId="0" fontId="42" fillId="21" borderId="81" xfId="0" applyFont="1" applyFill="1" applyBorder="1"/>
    <xf numFmtId="0" fontId="42" fillId="21" borderId="16" xfId="0" applyFont="1" applyFill="1" applyBorder="1"/>
    <xf numFmtId="0" fontId="42" fillId="21" borderId="97" xfId="0" applyFont="1" applyFill="1" applyBorder="1"/>
    <xf numFmtId="3" fontId="42" fillId="18" borderId="124" xfId="0" applyNumberFormat="1" applyFont="1" applyFill="1" applyBorder="1"/>
    <xf numFmtId="3" fontId="0" fillId="4" borderId="98" xfId="0" applyNumberFormat="1" applyFill="1" applyBorder="1" applyProtection="1">
      <protection locked="0"/>
    </xf>
    <xf numFmtId="3" fontId="0" fillId="4" borderId="99" xfId="0" applyNumberFormat="1" applyFill="1" applyBorder="1" applyProtection="1">
      <protection locked="0"/>
    </xf>
    <xf numFmtId="0" fontId="15" fillId="8" borderId="83" xfId="0" applyFont="1" applyFill="1" applyBorder="1"/>
    <xf numFmtId="0" fontId="15" fillId="8" borderId="15" xfId="0" applyFont="1" applyFill="1" applyBorder="1"/>
    <xf numFmtId="0" fontId="0" fillId="8" borderId="15" xfId="0" applyFill="1" applyBorder="1"/>
    <xf numFmtId="3" fontId="0" fillId="11" borderId="110" xfId="0" applyNumberFormat="1" applyFill="1" applyBorder="1"/>
    <xf numFmtId="3" fontId="36" fillId="4" borderId="129" xfId="0" applyNumberFormat="1" applyFont="1" applyFill="1" applyBorder="1" applyProtection="1">
      <protection locked="0"/>
    </xf>
    <xf numFmtId="3" fontId="0" fillId="11" borderId="122" xfId="0" applyNumberFormat="1" applyFill="1" applyBorder="1"/>
    <xf numFmtId="0" fontId="42" fillId="21" borderId="14" xfId="0" applyFont="1" applyFill="1" applyBorder="1"/>
    <xf numFmtId="3" fontId="42" fillId="18" borderId="130" xfId="0" applyNumberFormat="1" applyFont="1" applyFill="1" applyBorder="1"/>
    <xf numFmtId="3" fontId="36" fillId="4" borderId="132" xfId="0" applyNumberFormat="1" applyFont="1" applyFill="1" applyBorder="1" applyProtection="1">
      <protection locked="0"/>
    </xf>
    <xf numFmtId="3" fontId="0" fillId="11" borderId="133" xfId="0" applyNumberFormat="1" applyFill="1" applyBorder="1"/>
    <xf numFmtId="3" fontId="0" fillId="11" borderId="134" xfId="0" applyNumberFormat="1" applyFill="1" applyBorder="1"/>
    <xf numFmtId="3" fontId="36" fillId="4" borderId="135" xfId="0" applyNumberFormat="1" applyFont="1" applyFill="1" applyBorder="1" applyProtection="1">
      <protection locked="0"/>
    </xf>
    <xf numFmtId="3" fontId="42" fillId="18" borderId="108" xfId="0" applyNumberFormat="1" applyFont="1" applyFill="1" applyBorder="1"/>
    <xf numFmtId="3" fontId="0" fillId="8" borderId="3" xfId="0" applyNumberFormat="1" applyFill="1" applyBorder="1"/>
    <xf numFmtId="3" fontId="0" fillId="8" borderId="0" xfId="0" applyNumberFormat="1" applyFill="1"/>
    <xf numFmtId="0" fontId="15" fillId="8" borderId="81" xfId="0" applyFont="1" applyFill="1" applyBorder="1"/>
    <xf numFmtId="0" fontId="15" fillId="8" borderId="97" xfId="0" applyFont="1" applyFill="1" applyBorder="1"/>
    <xf numFmtId="3" fontId="26" fillId="4" borderId="136" xfId="0" applyNumberFormat="1" applyFont="1" applyFill="1" applyBorder="1" applyProtection="1">
      <protection locked="0"/>
    </xf>
    <xf numFmtId="3" fontId="0" fillId="11" borderId="100" xfId="0" applyNumberFormat="1" applyFill="1" applyBorder="1"/>
    <xf numFmtId="3" fontId="0" fillId="11" borderId="101" xfId="0" applyNumberFormat="1" applyFill="1" applyBorder="1"/>
    <xf numFmtId="3" fontId="36" fillId="8" borderId="98" xfId="0" applyNumberFormat="1" applyFont="1" applyFill="1" applyBorder="1"/>
    <xf numFmtId="0" fontId="44" fillId="21" borderId="88" xfId="0" applyFont="1" applyFill="1" applyBorder="1"/>
    <xf numFmtId="0" fontId="44" fillId="21" borderId="89" xfId="0" applyFont="1" applyFill="1" applyBorder="1"/>
    <xf numFmtId="0" fontId="44" fillId="21" borderId="82" xfId="0" applyFont="1" applyFill="1" applyBorder="1"/>
    <xf numFmtId="0" fontId="43" fillId="21" borderId="105" xfId="0" applyFont="1" applyFill="1" applyBorder="1"/>
    <xf numFmtId="1" fontId="26" fillId="12" borderId="137" xfId="0" applyNumberFormat="1" applyFont="1" applyFill="1" applyBorder="1" applyAlignment="1">
      <alignment horizontal="center"/>
    </xf>
    <xf numFmtId="3" fontId="3" fillId="12" borderId="138" xfId="1" applyNumberFormat="1" applyFill="1" applyBorder="1" applyAlignment="1">
      <alignment horizontal="center"/>
    </xf>
    <xf numFmtId="3" fontId="40" fillId="12" borderId="130" xfId="0" applyNumberFormat="1" applyFont="1" applyFill="1" applyBorder="1" applyAlignment="1">
      <alignment horizontal="right"/>
    </xf>
    <xf numFmtId="3" fontId="40" fillId="12" borderId="138" xfId="0" applyNumberFormat="1" applyFont="1" applyFill="1" applyBorder="1" applyAlignment="1">
      <alignment horizontal="right"/>
    </xf>
    <xf numFmtId="0" fontId="15" fillId="8" borderId="89" xfId="0" applyFont="1" applyFill="1" applyBorder="1"/>
    <xf numFmtId="0" fontId="42" fillId="21" borderId="0" xfId="0" applyFont="1" applyFill="1"/>
    <xf numFmtId="0" fontId="0" fillId="8" borderId="16" xfId="0" applyFill="1" applyBorder="1"/>
    <xf numFmtId="0" fontId="15" fillId="8" borderId="16" xfId="0" applyFont="1" applyFill="1" applyBorder="1"/>
    <xf numFmtId="0" fontId="0" fillId="8" borderId="10" xfId="0" applyFill="1" applyBorder="1"/>
    <xf numFmtId="0" fontId="0" fillId="8" borderId="15" xfId="0" applyFill="1" applyBorder="1" applyAlignment="1">
      <alignment horizontal="right"/>
    </xf>
    <xf numFmtId="0" fontId="0" fillId="11" borderId="16" xfId="0" applyFill="1" applyBorder="1"/>
    <xf numFmtId="0" fontId="0" fillId="11" borderId="131" xfId="0" applyFill="1" applyBorder="1"/>
    <xf numFmtId="0" fontId="0" fillId="8" borderId="14" xfId="0" applyFill="1" applyBorder="1"/>
    <xf numFmtId="3" fontId="36" fillId="4" borderId="139" xfId="0" applyNumberFormat="1" applyFont="1" applyFill="1" applyBorder="1" applyProtection="1">
      <protection locked="0"/>
    </xf>
    <xf numFmtId="0" fontId="0" fillId="0" borderId="0" xfId="0" applyAlignment="1">
      <alignment horizontal="center"/>
    </xf>
    <xf numFmtId="3" fontId="12" fillId="13" borderId="106" xfId="0" applyNumberFormat="1" applyFont="1" applyFill="1" applyBorder="1"/>
    <xf numFmtId="3" fontId="36" fillId="4" borderId="140" xfId="0" applyNumberFormat="1" applyFont="1" applyFill="1" applyBorder="1" applyProtection="1">
      <protection locked="0"/>
    </xf>
    <xf numFmtId="3" fontId="36" fillId="4" borderId="141" xfId="0" applyNumberFormat="1" applyFont="1" applyFill="1" applyBorder="1" applyProtection="1">
      <protection locked="0"/>
    </xf>
    <xf numFmtId="0" fontId="0" fillId="4" borderId="142" xfId="0" applyFill="1" applyBorder="1" applyProtection="1">
      <protection locked="0"/>
    </xf>
    <xf numFmtId="0" fontId="0" fillId="4" borderId="143" xfId="0" applyFill="1" applyBorder="1" applyProtection="1">
      <protection locked="0"/>
    </xf>
    <xf numFmtId="3" fontId="36" fillId="4" borderId="144" xfId="0" applyNumberFormat="1" applyFont="1" applyFill="1" applyBorder="1" applyProtection="1">
      <protection locked="0"/>
    </xf>
    <xf numFmtId="3" fontId="36" fillId="4" borderId="118" xfId="0" applyNumberFormat="1" applyFont="1" applyFill="1" applyBorder="1" applyProtection="1">
      <protection locked="0"/>
    </xf>
    <xf numFmtId="3" fontId="36" fillId="4" borderId="145" xfId="0" applyNumberFormat="1" applyFont="1" applyFill="1" applyBorder="1" applyProtection="1">
      <protection locked="0"/>
    </xf>
    <xf numFmtId="3" fontId="36" fillId="4" borderId="142" xfId="0" applyNumberFormat="1" applyFont="1" applyFill="1" applyBorder="1" applyProtection="1">
      <protection locked="0"/>
    </xf>
    <xf numFmtId="0" fontId="26" fillId="4" borderId="146" xfId="0" applyFont="1" applyFill="1" applyBorder="1" applyProtection="1">
      <protection locked="0"/>
    </xf>
    <xf numFmtId="3" fontId="26" fillId="4" borderId="147" xfId="0" applyNumberFormat="1" applyFont="1" applyFill="1" applyBorder="1" applyProtection="1">
      <protection locked="0"/>
    </xf>
    <xf numFmtId="3" fontId="36" fillId="4" borderId="148" xfId="0" applyNumberFormat="1" applyFont="1" applyFill="1" applyBorder="1" applyProtection="1">
      <protection locked="0"/>
    </xf>
    <xf numFmtId="3" fontId="0" fillId="4" borderId="118" xfId="0" applyNumberFormat="1" applyFill="1" applyBorder="1" applyProtection="1">
      <protection locked="0"/>
    </xf>
    <xf numFmtId="3" fontId="0" fillId="4" borderId="145" xfId="0" applyNumberFormat="1" applyFill="1" applyBorder="1" applyProtection="1">
      <protection locked="0"/>
    </xf>
    <xf numFmtId="3" fontId="36" fillId="4" borderId="149" xfId="0" applyNumberFormat="1" applyFont="1" applyFill="1" applyBorder="1" applyProtection="1">
      <protection locked="0"/>
    </xf>
    <xf numFmtId="3" fontId="36" fillId="4" borderId="150" xfId="0" applyNumberFormat="1" applyFont="1" applyFill="1" applyBorder="1" applyProtection="1">
      <protection locked="0"/>
    </xf>
    <xf numFmtId="3" fontId="26" fillId="4" borderId="151" xfId="0" applyNumberFormat="1" applyFont="1" applyFill="1" applyBorder="1" applyProtection="1">
      <protection locked="0"/>
    </xf>
    <xf numFmtId="3" fontId="36" fillId="4" borderId="152" xfId="0" applyNumberFormat="1" applyFont="1" applyFill="1" applyBorder="1" applyProtection="1">
      <protection locked="0"/>
    </xf>
    <xf numFmtId="3" fontId="36" fillId="8" borderId="118" xfId="0" applyNumberFormat="1" applyFont="1" applyFill="1" applyBorder="1"/>
    <xf numFmtId="3" fontId="45" fillId="22" borderId="153" xfId="0" applyNumberFormat="1" applyFont="1" applyFill="1" applyBorder="1"/>
    <xf numFmtId="3" fontId="46" fillId="22" borderId="154" xfId="0" applyNumberFormat="1" applyFont="1" applyFill="1" applyBorder="1"/>
    <xf numFmtId="3" fontId="45" fillId="22" borderId="85" xfId="0" applyNumberFormat="1" applyFont="1" applyFill="1" applyBorder="1"/>
    <xf numFmtId="3" fontId="46" fillId="22" borderId="155" xfId="0" applyNumberFormat="1" applyFont="1" applyFill="1" applyBorder="1"/>
    <xf numFmtId="0" fontId="42" fillId="21" borderId="3" xfId="0" applyFont="1" applyFill="1" applyBorder="1"/>
    <xf numFmtId="0" fontId="42" fillId="21" borderId="9" xfId="0" applyFont="1" applyFill="1" applyBorder="1"/>
    <xf numFmtId="3" fontId="42" fillId="18" borderId="138" xfId="0" applyNumberFormat="1" applyFont="1" applyFill="1" applyBorder="1"/>
    <xf numFmtId="0" fontId="0" fillId="8" borderId="81" xfId="0" applyFill="1" applyBorder="1" applyAlignment="1">
      <alignment horizontal="center"/>
    </xf>
    <xf numFmtId="0" fontId="0" fillId="8" borderId="16" xfId="0" applyFill="1" applyBorder="1" applyAlignment="1">
      <alignment horizontal="center"/>
    </xf>
    <xf numFmtId="3" fontId="36" fillId="4" borderId="156" xfId="0" applyNumberFormat="1" applyFont="1" applyFill="1" applyBorder="1" applyProtection="1">
      <protection locked="0"/>
    </xf>
    <xf numFmtId="1" fontId="26" fillId="12" borderId="157" xfId="0" applyNumberFormat="1" applyFont="1" applyFill="1" applyBorder="1" applyAlignment="1">
      <alignment horizontal="center"/>
    </xf>
    <xf numFmtId="3" fontId="0" fillId="8" borderId="0" xfId="0" applyNumberFormat="1" applyFill="1" applyAlignment="1">
      <alignment horizontal="center"/>
    </xf>
    <xf numFmtId="3" fontId="37" fillId="8" borderId="2" xfId="0" applyNumberFormat="1" applyFont="1" applyFill="1" applyBorder="1" applyAlignment="1">
      <alignment horizontal="center"/>
    </xf>
    <xf numFmtId="0" fontId="47" fillId="19" borderId="0" xfId="0" applyFont="1" applyFill="1"/>
    <xf numFmtId="0" fontId="13" fillId="0" borderId="0" xfId="77"/>
    <xf numFmtId="0" fontId="49" fillId="0" borderId="0" xfId="0" applyFont="1"/>
    <xf numFmtId="3" fontId="50" fillId="4" borderId="64" xfId="1" applyNumberFormat="1" applyFont="1" applyFill="1" applyBorder="1" applyProtection="1">
      <protection locked="0"/>
    </xf>
    <xf numFmtId="0" fontId="12" fillId="8" borderId="14" xfId="0" applyFont="1" applyFill="1" applyBorder="1"/>
    <xf numFmtId="0" fontId="12" fillId="0" borderId="160" xfId="0" applyFont="1" applyBorder="1" applyAlignment="1">
      <alignment horizontal="left" wrapText="1"/>
    </xf>
    <xf numFmtId="3" fontId="12" fillId="23" borderId="161" xfId="0" applyNumberFormat="1" applyFont="1" applyFill="1" applyBorder="1" applyAlignment="1" applyProtection="1">
      <alignment horizontal="center" wrapText="1"/>
      <protection locked="0"/>
    </xf>
    <xf numFmtId="0" fontId="15" fillId="0" borderId="162" xfId="0" applyFont="1" applyBorder="1" applyAlignment="1">
      <alignment horizontal="left" wrapText="1"/>
    </xf>
    <xf numFmtId="3" fontId="15" fillId="23" borderId="163" xfId="0" applyNumberFormat="1" applyFont="1" applyFill="1" applyBorder="1" applyAlignment="1" applyProtection="1">
      <alignment horizontal="center" wrapText="1"/>
      <protection locked="0"/>
    </xf>
    <xf numFmtId="0" fontId="15" fillId="0" borderId="0" xfId="0" applyFont="1" applyAlignment="1">
      <alignment horizontal="left" wrapText="1"/>
    </xf>
    <xf numFmtId="3" fontId="15" fillId="23" borderId="0" xfId="0" applyNumberFormat="1" applyFont="1" applyFill="1" applyAlignment="1" applyProtection="1">
      <alignment horizontal="center" wrapText="1"/>
      <protection locked="0"/>
    </xf>
    <xf numFmtId="0" fontId="15" fillId="0" borderId="158" xfId="0" applyFont="1" applyBorder="1" applyAlignment="1">
      <alignment horizontal="left" wrapText="1"/>
    </xf>
    <xf numFmtId="3" fontId="15" fillId="23" borderId="159" xfId="0" applyNumberFormat="1" applyFont="1" applyFill="1" applyBorder="1" applyAlignment="1" applyProtection="1">
      <alignment horizontal="center" wrapText="1"/>
      <protection locked="0"/>
    </xf>
    <xf numFmtId="3" fontId="49" fillId="0" borderId="0" xfId="0" applyNumberFormat="1" applyFont="1"/>
    <xf numFmtId="0" fontId="12" fillId="0" borderId="164" xfId="0" applyFont="1" applyBorder="1" applyAlignment="1">
      <alignment horizontal="left" wrapText="1"/>
    </xf>
    <xf numFmtId="3" fontId="12" fillId="23" borderId="165" xfId="0" applyNumberFormat="1" applyFont="1" applyFill="1" applyBorder="1" applyAlignment="1" applyProtection="1">
      <alignment horizontal="center" wrapText="1"/>
      <protection locked="0"/>
    </xf>
    <xf numFmtId="3" fontId="51" fillId="0" borderId="0" xfId="0" applyNumberFormat="1" applyFont="1" applyAlignment="1">
      <alignment wrapText="1"/>
    </xf>
    <xf numFmtId="2" fontId="12" fillId="24" borderId="13" xfId="2" applyNumberFormat="1" applyFont="1" applyFill="1" applyBorder="1" applyProtection="1"/>
    <xf numFmtId="172" fontId="12" fillId="24" borderId="13" xfId="2" applyNumberFormat="1" applyFont="1" applyFill="1" applyBorder="1" applyProtection="1"/>
    <xf numFmtId="3" fontId="52" fillId="0" borderId="0" xfId="0" applyNumberFormat="1" applyFont="1" applyAlignment="1">
      <alignment wrapText="1"/>
    </xf>
    <xf numFmtId="164" fontId="0" fillId="0" borderId="0" xfId="1" applyFont="1"/>
    <xf numFmtId="0" fontId="54" fillId="0" borderId="0" xfId="0" applyFont="1"/>
    <xf numFmtId="164" fontId="54" fillId="0" borderId="0" xfId="1" applyFont="1"/>
    <xf numFmtId="0" fontId="53" fillId="0" borderId="166" xfId="0" applyFont="1" applyBorder="1"/>
    <xf numFmtId="0" fontId="55" fillId="0" borderId="0" xfId="0" applyFont="1"/>
    <xf numFmtId="0" fontId="0" fillId="25" borderId="0" xfId="0" applyFill="1"/>
    <xf numFmtId="164" fontId="0" fillId="25" borderId="0" xfId="1" applyFont="1" applyFill="1"/>
    <xf numFmtId="164" fontId="54" fillId="25" borderId="0" xfId="1" applyFont="1" applyFill="1"/>
    <xf numFmtId="164" fontId="53" fillId="0" borderId="166" xfId="1" applyFont="1" applyBorder="1"/>
    <xf numFmtId="164" fontId="53" fillId="25" borderId="166" xfId="1" applyFont="1" applyFill="1" applyBorder="1"/>
    <xf numFmtId="164" fontId="55" fillId="0" borderId="0" xfId="1" applyFont="1"/>
    <xf numFmtId="164" fontId="55" fillId="25" borderId="0" xfId="1" applyFont="1" applyFill="1"/>
    <xf numFmtId="3" fontId="12" fillId="0" borderId="166" xfId="0" applyNumberFormat="1" applyFont="1" applyBorder="1"/>
    <xf numFmtId="177" fontId="0" fillId="0" borderId="0" xfId="0" applyNumberFormat="1"/>
    <xf numFmtId="164" fontId="56" fillId="0" borderId="0" xfId="1" applyFont="1"/>
    <xf numFmtId="0" fontId="0" fillId="0" borderId="167" xfId="0" applyBorder="1"/>
    <xf numFmtId="164" fontId="24" fillId="0" borderId="167" xfId="1" applyFont="1" applyBorder="1"/>
    <xf numFmtId="164" fontId="0" fillId="0" borderId="0" xfId="1" applyFont="1" applyFill="1"/>
    <xf numFmtId="164" fontId="54" fillId="0" borderId="0" xfId="1" applyFont="1" applyFill="1"/>
    <xf numFmtId="164" fontId="53" fillId="0" borderId="166" xfId="1" applyFont="1" applyFill="1" applyBorder="1"/>
    <xf numFmtId="164" fontId="55" fillId="0" borderId="0" xfId="1" applyFont="1" applyFill="1"/>
    <xf numFmtId="0" fontId="49" fillId="4" borderId="60" xfId="0" applyFont="1" applyFill="1" applyBorder="1" applyProtection="1">
      <protection locked="0"/>
    </xf>
    <xf numFmtId="3" fontId="43" fillId="0" borderId="0" xfId="0" applyNumberFormat="1" applyFont="1"/>
    <xf numFmtId="0" fontId="12" fillId="0" borderId="0" xfId="113"/>
    <xf numFmtId="0" fontId="57" fillId="0" borderId="168" xfId="113" applyFont="1" applyBorder="1" applyAlignment="1" applyProtection="1">
      <alignment horizontal="right" vertical="top" wrapText="1" readingOrder="1"/>
      <protection locked="0"/>
    </xf>
    <xf numFmtId="0" fontId="42" fillId="26" borderId="171" xfId="113" applyFont="1" applyFill="1" applyBorder="1"/>
    <xf numFmtId="178" fontId="42" fillId="26" borderId="172" xfId="113" applyNumberFormat="1" applyFont="1" applyFill="1" applyBorder="1" applyAlignment="1" applyProtection="1">
      <alignment vertical="top" wrapText="1" readingOrder="1"/>
      <protection locked="0"/>
    </xf>
    <xf numFmtId="0" fontId="42" fillId="26" borderId="173" xfId="113" applyFont="1" applyFill="1" applyBorder="1"/>
    <xf numFmtId="0" fontId="57" fillId="0" borderId="178" xfId="113" applyFont="1" applyBorder="1" applyAlignment="1" applyProtection="1">
      <alignment vertical="top" wrapText="1" readingOrder="1"/>
      <protection locked="0"/>
    </xf>
    <xf numFmtId="0" fontId="58" fillId="0" borderId="178" xfId="113" applyFont="1" applyBorder="1" applyAlignment="1" applyProtection="1">
      <alignment vertical="top" wrapText="1" readingOrder="1"/>
      <protection locked="0"/>
    </xf>
    <xf numFmtId="178" fontId="42" fillId="26" borderId="178" xfId="113" applyNumberFormat="1" applyFont="1" applyFill="1" applyBorder="1" applyAlignment="1" applyProtection="1">
      <alignment vertical="top" wrapText="1" readingOrder="1"/>
      <protection locked="0"/>
    </xf>
    <xf numFmtId="0" fontId="42" fillId="26" borderId="0" xfId="113" applyFont="1" applyFill="1"/>
    <xf numFmtId="0" fontId="58" fillId="4" borderId="178" xfId="113" applyFont="1" applyFill="1" applyBorder="1" applyAlignment="1" applyProtection="1">
      <alignment vertical="top" wrapText="1" readingOrder="1"/>
      <protection locked="0"/>
    </xf>
    <xf numFmtId="0" fontId="15" fillId="4" borderId="179" xfId="113" applyFont="1" applyFill="1" applyBorder="1" applyAlignment="1" applyProtection="1">
      <alignment vertical="top" wrapText="1"/>
      <protection locked="0"/>
    </xf>
    <xf numFmtId="0" fontId="15" fillId="4" borderId="180" xfId="113" applyFont="1" applyFill="1" applyBorder="1" applyAlignment="1" applyProtection="1">
      <alignment vertical="top" wrapText="1"/>
      <protection locked="0"/>
    </xf>
    <xf numFmtId="178" fontId="58" fillId="4" borderId="178" xfId="113" applyNumberFormat="1" applyFont="1" applyFill="1" applyBorder="1" applyAlignment="1" applyProtection="1">
      <alignment vertical="top" wrapText="1" readingOrder="1"/>
      <protection locked="0"/>
    </xf>
    <xf numFmtId="0" fontId="15" fillId="4" borderId="0" xfId="113" applyFont="1" applyFill="1"/>
    <xf numFmtId="0" fontId="43" fillId="21" borderId="178" xfId="113" applyFont="1" applyFill="1" applyBorder="1" applyAlignment="1" applyProtection="1">
      <alignment vertical="top" wrapText="1" readingOrder="1"/>
      <protection locked="0"/>
    </xf>
    <xf numFmtId="178" fontId="43" fillId="21" borderId="178" xfId="113" applyNumberFormat="1" applyFont="1" applyFill="1" applyBorder="1" applyAlignment="1" applyProtection="1">
      <alignment vertical="top" wrapText="1" readingOrder="1"/>
      <protection locked="0"/>
    </xf>
    <xf numFmtId="0" fontId="43" fillId="21" borderId="0" xfId="113" applyFont="1" applyFill="1"/>
    <xf numFmtId="178" fontId="58" fillId="0" borderId="178" xfId="113" applyNumberFormat="1" applyFont="1" applyBorder="1" applyAlignment="1" applyProtection="1">
      <alignment vertical="top" wrapText="1" readingOrder="1"/>
      <protection locked="0"/>
    </xf>
    <xf numFmtId="178" fontId="42" fillId="27" borderId="178" xfId="113" applyNumberFormat="1" applyFont="1" applyFill="1" applyBorder="1" applyAlignment="1" applyProtection="1">
      <alignment vertical="top" wrapText="1" readingOrder="1"/>
      <protection locked="0"/>
    </xf>
    <xf numFmtId="178" fontId="43" fillId="26" borderId="178" xfId="113" applyNumberFormat="1" applyFont="1" applyFill="1" applyBorder="1" applyAlignment="1" applyProtection="1">
      <alignment vertical="top" wrapText="1" readingOrder="1"/>
      <protection locked="0"/>
    </xf>
    <xf numFmtId="0" fontId="43" fillId="26" borderId="0" xfId="113" applyFont="1" applyFill="1"/>
    <xf numFmtId="178" fontId="42" fillId="21" borderId="178" xfId="113" applyNumberFormat="1" applyFont="1" applyFill="1" applyBorder="1" applyAlignment="1" applyProtection="1">
      <alignment vertical="top" wrapText="1" readingOrder="1"/>
      <protection locked="0"/>
    </xf>
    <xf numFmtId="178" fontId="57" fillId="0" borderId="178" xfId="113" applyNumberFormat="1" applyFont="1" applyBorder="1" applyAlignment="1" applyProtection="1">
      <alignment vertical="top" wrapText="1" readingOrder="1"/>
      <protection locked="0"/>
    </xf>
    <xf numFmtId="0" fontId="12" fillId="23" borderId="0" xfId="113" applyFill="1"/>
    <xf numFmtId="0" fontId="57" fillId="28" borderId="178" xfId="113" applyFont="1" applyFill="1" applyBorder="1" applyAlignment="1" applyProtection="1">
      <alignment vertical="top" wrapText="1" readingOrder="1"/>
      <protection locked="0"/>
    </xf>
    <xf numFmtId="178" fontId="57" fillId="28" borderId="178" xfId="113" applyNumberFormat="1" applyFont="1" applyFill="1" applyBorder="1" applyAlignment="1" applyProtection="1">
      <alignment vertical="top" wrapText="1" readingOrder="1"/>
      <protection locked="0"/>
    </xf>
    <xf numFmtId="178" fontId="58" fillId="28" borderId="178" xfId="113" applyNumberFormat="1" applyFont="1" applyFill="1" applyBorder="1" applyAlignment="1" applyProtection="1">
      <alignment vertical="top" wrapText="1" readingOrder="1"/>
      <protection locked="0"/>
    </xf>
    <xf numFmtId="0" fontId="49" fillId="0" borderId="178" xfId="113" applyFont="1" applyBorder="1" applyAlignment="1" applyProtection="1">
      <alignment vertical="top" wrapText="1" readingOrder="1"/>
      <protection locked="0"/>
    </xf>
    <xf numFmtId="0" fontId="49" fillId="0" borderId="0" xfId="113" applyFont="1"/>
    <xf numFmtId="0" fontId="48" fillId="0" borderId="178" xfId="113" applyFont="1" applyBorder="1" applyAlignment="1" applyProtection="1">
      <alignment vertical="top" wrapText="1" readingOrder="1"/>
      <protection locked="0"/>
    </xf>
    <xf numFmtId="0" fontId="48" fillId="0" borderId="0" xfId="113" applyFont="1"/>
    <xf numFmtId="178" fontId="48" fillId="0" borderId="178" xfId="113" applyNumberFormat="1" applyFont="1" applyBorder="1" applyAlignment="1" applyProtection="1">
      <alignment vertical="top" wrapText="1" readingOrder="1"/>
      <protection locked="0"/>
    </xf>
    <xf numFmtId="0" fontId="42" fillId="30" borderId="178" xfId="113" applyFont="1" applyFill="1" applyBorder="1" applyAlignment="1" applyProtection="1">
      <alignment vertical="top" wrapText="1" readingOrder="1"/>
      <protection locked="0"/>
    </xf>
    <xf numFmtId="0" fontId="43" fillId="30" borderId="178" xfId="113" applyFont="1" applyFill="1" applyBorder="1" applyAlignment="1" applyProtection="1">
      <alignment vertical="top" wrapText="1" readingOrder="1"/>
      <protection locked="0"/>
    </xf>
    <xf numFmtId="0" fontId="43" fillId="30" borderId="0" xfId="113" applyFont="1" applyFill="1"/>
    <xf numFmtId="178" fontId="42" fillId="30" borderId="178" xfId="113" applyNumberFormat="1" applyFont="1" applyFill="1" applyBorder="1" applyAlignment="1" applyProtection="1">
      <alignment vertical="top" wrapText="1" readingOrder="1"/>
      <protection locked="0"/>
    </xf>
    <xf numFmtId="0" fontId="49" fillId="23" borderId="178" xfId="113" applyFont="1" applyFill="1" applyBorder="1" applyAlignment="1" applyProtection="1">
      <alignment vertical="top" wrapText="1" readingOrder="1"/>
      <protection locked="0"/>
    </xf>
    <xf numFmtId="0" fontId="49" fillId="23" borderId="0" xfId="113" applyFont="1" applyFill="1"/>
    <xf numFmtId="0" fontId="49" fillId="28" borderId="178" xfId="113" applyFont="1" applyFill="1" applyBorder="1" applyAlignment="1" applyProtection="1">
      <alignment vertical="top" wrapText="1" readingOrder="1"/>
      <protection locked="0"/>
    </xf>
    <xf numFmtId="178" fontId="49" fillId="28" borderId="178" xfId="113" applyNumberFormat="1" applyFont="1" applyFill="1" applyBorder="1" applyAlignment="1" applyProtection="1">
      <alignment vertical="top" wrapText="1" readingOrder="1"/>
      <protection locked="0"/>
    </xf>
    <xf numFmtId="178" fontId="49" fillId="23" borderId="178" xfId="113" applyNumberFormat="1" applyFont="1" applyFill="1" applyBorder="1" applyAlignment="1" applyProtection="1">
      <alignment vertical="top" wrapText="1" readingOrder="1"/>
      <protection locked="0"/>
    </xf>
    <xf numFmtId="0" fontId="43" fillId="31" borderId="178" xfId="113" applyFont="1" applyFill="1" applyBorder="1" applyAlignment="1" applyProtection="1">
      <alignment vertical="top" wrapText="1" readingOrder="1"/>
      <protection locked="0"/>
    </xf>
    <xf numFmtId="0" fontId="43" fillId="31" borderId="0" xfId="113" applyFont="1" applyFill="1"/>
    <xf numFmtId="0" fontId="15" fillId="0" borderId="0" xfId="113" applyFont="1"/>
    <xf numFmtId="0" fontId="43" fillId="31" borderId="175" xfId="113" applyFont="1" applyFill="1" applyBorder="1" applyAlignment="1" applyProtection="1">
      <alignment horizontal="right" vertical="top" wrapText="1" readingOrder="1"/>
      <protection locked="0"/>
    </xf>
    <xf numFmtId="0" fontId="43" fillId="31" borderId="175" xfId="113" applyFont="1" applyFill="1" applyBorder="1" applyAlignment="1" applyProtection="1">
      <alignment vertical="top" wrapText="1" readingOrder="1"/>
      <protection locked="0"/>
    </xf>
    <xf numFmtId="0" fontId="49" fillId="32" borderId="178" xfId="113" applyFont="1" applyFill="1" applyBorder="1" applyAlignment="1" applyProtection="1">
      <alignment vertical="top" wrapText="1" readingOrder="1"/>
      <protection locked="0"/>
    </xf>
    <xf numFmtId="0" fontId="49" fillId="32" borderId="0" xfId="113" applyFont="1" applyFill="1"/>
    <xf numFmtId="0" fontId="12" fillId="32" borderId="0" xfId="113" applyFill="1"/>
    <xf numFmtId="0" fontId="57" fillId="32" borderId="178" xfId="113" applyFont="1" applyFill="1" applyBorder="1" applyAlignment="1" applyProtection="1">
      <alignment vertical="top" wrapText="1" readingOrder="1"/>
      <protection locked="0"/>
    </xf>
    <xf numFmtId="0" fontId="42" fillId="33" borderId="0" xfId="0" applyFont="1" applyFill="1"/>
    <xf numFmtId="3" fontId="43" fillId="33" borderId="0" xfId="0" applyNumberFormat="1" applyFont="1" applyFill="1"/>
    <xf numFmtId="0" fontId="43" fillId="33" borderId="0" xfId="0" applyFont="1" applyFill="1"/>
    <xf numFmtId="0" fontId="12" fillId="10" borderId="181" xfId="0" applyFont="1" applyFill="1" applyBorder="1"/>
    <xf numFmtId="3" fontId="15" fillId="10" borderId="181" xfId="0" applyNumberFormat="1" applyFont="1" applyFill="1" applyBorder="1"/>
    <xf numFmtId="3" fontId="12" fillId="10" borderId="181" xfId="0" applyNumberFormat="1" applyFont="1" applyFill="1" applyBorder="1"/>
    <xf numFmtId="3" fontId="62" fillId="33" borderId="0" xfId="14" applyFont="1" applyFill="1"/>
    <xf numFmtId="0" fontId="63" fillId="33" borderId="0" xfId="0" applyFont="1" applyFill="1" applyAlignment="1">
      <alignment horizontal="center"/>
    </xf>
    <xf numFmtId="0" fontId="43" fillId="33" borderId="0" xfId="0" applyFont="1" applyFill="1" applyAlignment="1">
      <alignment horizontal="center"/>
    </xf>
    <xf numFmtId="3" fontId="42" fillId="33" borderId="0" xfId="14" applyFont="1" applyFill="1" applyProtection="1">
      <protection locked="0"/>
    </xf>
    <xf numFmtId="0" fontId="43" fillId="33" borderId="0" xfId="0" applyFont="1" applyFill="1" applyProtection="1">
      <protection locked="0"/>
    </xf>
    <xf numFmtId="0" fontId="64" fillId="33" borderId="0" xfId="0" applyFont="1" applyFill="1" applyAlignment="1">
      <alignment horizontal="center"/>
    </xf>
    <xf numFmtId="0" fontId="53" fillId="0" borderId="0" xfId="0" applyFont="1"/>
    <xf numFmtId="3" fontId="49" fillId="4" borderId="74" xfId="1" applyNumberFormat="1" applyFont="1" applyFill="1" applyBorder="1" applyProtection="1">
      <protection locked="0"/>
    </xf>
    <xf numFmtId="3" fontId="49" fillId="4" borderId="75" xfId="1" applyNumberFormat="1" applyFont="1" applyFill="1" applyBorder="1" applyProtection="1">
      <protection locked="0"/>
    </xf>
    <xf numFmtId="3" fontId="49" fillId="4" borderId="73" xfId="1" applyNumberFormat="1" applyFont="1" applyFill="1" applyBorder="1" applyProtection="1">
      <protection locked="0"/>
    </xf>
    <xf numFmtId="3" fontId="49" fillId="4" borderId="21" xfId="1" applyNumberFormat="1" applyFont="1" applyFill="1" applyBorder="1" applyProtection="1">
      <protection locked="0"/>
    </xf>
    <xf numFmtId="3" fontId="49" fillId="4" borderId="19" xfId="1" applyNumberFormat="1" applyFont="1" applyFill="1" applyBorder="1" applyProtection="1">
      <protection locked="0"/>
    </xf>
    <xf numFmtId="3" fontId="49" fillId="4" borderId="4" xfId="1" applyNumberFormat="1" applyFont="1" applyFill="1" applyBorder="1" applyProtection="1">
      <protection locked="0"/>
    </xf>
    <xf numFmtId="3" fontId="49" fillId="23" borderId="75" xfId="1" applyNumberFormat="1" applyFont="1" applyFill="1" applyBorder="1" applyProtection="1">
      <protection locked="0"/>
    </xf>
    <xf numFmtId="3" fontId="49" fillId="23" borderId="19" xfId="1" applyNumberFormat="1" applyFont="1" applyFill="1" applyBorder="1" applyProtection="1">
      <protection locked="0"/>
    </xf>
    <xf numFmtId="3" fontId="49" fillId="0" borderId="78" xfId="1" applyNumberFormat="1" applyFont="1" applyBorder="1" applyProtection="1"/>
    <xf numFmtId="3" fontId="49" fillId="0" borderId="60" xfId="1" applyNumberFormat="1" applyFont="1" applyBorder="1" applyProtection="1"/>
    <xf numFmtId="3" fontId="49" fillId="0" borderId="74" xfId="1" applyNumberFormat="1" applyFont="1" applyBorder="1" applyProtection="1"/>
    <xf numFmtId="3" fontId="49" fillId="0" borderId="75" xfId="1" applyNumberFormat="1" applyFont="1" applyBorder="1" applyProtection="1"/>
    <xf numFmtId="3" fontId="49" fillId="0" borderId="73" xfId="1" applyNumberFormat="1" applyFont="1" applyBorder="1" applyProtection="1"/>
    <xf numFmtId="3" fontId="49" fillId="4" borderId="77" xfId="1" applyNumberFormat="1" applyFont="1" applyFill="1" applyBorder="1" applyProtection="1">
      <protection locked="0"/>
    </xf>
    <xf numFmtId="3" fontId="49" fillId="4" borderId="78" xfId="1" applyNumberFormat="1" applyFont="1" applyFill="1" applyBorder="1" applyProtection="1">
      <protection locked="0"/>
    </xf>
    <xf numFmtId="3" fontId="49" fillId="4" borderId="60" xfId="1" applyNumberFormat="1" applyFont="1" applyFill="1" applyBorder="1" applyProtection="1">
      <protection locked="0"/>
    </xf>
    <xf numFmtId="0" fontId="0" fillId="0" borderId="183" xfId="0" applyBorder="1"/>
    <xf numFmtId="0" fontId="0" fillId="0" borderId="184" xfId="0" applyBorder="1"/>
    <xf numFmtId="0" fontId="12" fillId="0" borderId="3" xfId="0" applyFont="1" applyBorder="1" applyAlignment="1">
      <alignment horizontal="center"/>
    </xf>
    <xf numFmtId="0" fontId="33" fillId="0" borderId="188" xfId="77" applyFont="1" applyBorder="1" applyAlignment="1" applyProtection="1">
      <alignment horizontal="center"/>
    </xf>
    <xf numFmtId="0" fontId="33" fillId="0" borderId="76" xfId="77" applyFont="1" applyBorder="1" applyAlignment="1" applyProtection="1">
      <alignment horizontal="center"/>
    </xf>
    <xf numFmtId="0" fontId="12" fillId="0" borderId="76" xfId="0" applyFont="1" applyBorder="1" applyAlignment="1">
      <alignment horizontal="center"/>
    </xf>
    <xf numFmtId="0" fontId="12" fillId="0" borderId="188" xfId="0" applyFont="1" applyBorder="1" applyAlignment="1">
      <alignment horizontal="center"/>
    </xf>
    <xf numFmtId="0" fontId="42" fillId="33" borderId="185" xfId="0" applyFont="1" applyFill="1" applyBorder="1" applyAlignment="1">
      <alignment horizontal="center"/>
    </xf>
    <xf numFmtId="0" fontId="42" fillId="33" borderId="186" xfId="0" applyFont="1" applyFill="1" applyBorder="1" applyAlignment="1">
      <alignment horizontal="center"/>
    </xf>
    <xf numFmtId="0" fontId="42" fillId="33" borderId="187" xfId="0" applyFont="1" applyFill="1" applyBorder="1" applyAlignment="1">
      <alignment horizontal="center"/>
    </xf>
    <xf numFmtId="0" fontId="65" fillId="33" borderId="190" xfId="0" applyFont="1" applyFill="1" applyBorder="1" applyAlignment="1">
      <alignment horizontal="center"/>
    </xf>
    <xf numFmtId="0" fontId="65" fillId="33" borderId="191" xfId="0" applyFont="1" applyFill="1" applyBorder="1" applyAlignment="1">
      <alignment horizontal="center"/>
    </xf>
    <xf numFmtId="0" fontId="65" fillId="33" borderId="79" xfId="0" applyFont="1" applyFill="1" applyBorder="1" applyAlignment="1">
      <alignment horizontal="center"/>
    </xf>
    <xf numFmtId="0" fontId="33" fillId="0" borderId="192" xfId="77" applyFont="1" applyBorder="1" applyAlignment="1" applyProtection="1">
      <alignment horizontal="center"/>
    </xf>
    <xf numFmtId="3" fontId="49" fillId="0" borderId="194" xfId="1" applyNumberFormat="1" applyFont="1" applyBorder="1" applyProtection="1"/>
    <xf numFmtId="3" fontId="49" fillId="0" borderId="195" xfId="1" applyNumberFormat="1" applyFont="1" applyBorder="1" applyProtection="1"/>
    <xf numFmtId="0" fontId="15" fillId="0" borderId="171" xfId="0" applyFont="1" applyBorder="1" applyAlignment="1">
      <alignment horizontal="center"/>
    </xf>
    <xf numFmtId="0" fontId="15" fillId="0" borderId="196" xfId="0" applyFont="1" applyBorder="1"/>
    <xf numFmtId="3" fontId="48" fillId="0" borderId="197" xfId="1" applyNumberFormat="1" applyFont="1" applyBorder="1" applyProtection="1"/>
    <xf numFmtId="3" fontId="48" fillId="0" borderId="198" xfId="1" applyNumberFormat="1" applyFont="1" applyBorder="1" applyProtection="1"/>
    <xf numFmtId="0" fontId="12" fillId="0" borderId="171" xfId="0" applyFont="1" applyBorder="1" applyAlignment="1">
      <alignment horizontal="center"/>
    </xf>
    <xf numFmtId="0" fontId="12" fillId="0" borderId="196" xfId="0" applyFont="1" applyBorder="1"/>
    <xf numFmtId="3" fontId="48" fillId="4" borderId="182" xfId="1" applyNumberFormat="1" applyFont="1" applyFill="1" applyBorder="1" applyProtection="1">
      <protection locked="0"/>
    </xf>
    <xf numFmtId="3" fontId="48" fillId="4" borderId="197" xfId="1" applyNumberFormat="1" applyFont="1" applyFill="1" applyBorder="1" applyProtection="1">
      <protection locked="0"/>
    </xf>
    <xf numFmtId="3" fontId="48" fillId="4" borderId="198" xfId="1" applyNumberFormat="1" applyFont="1" applyFill="1" applyBorder="1" applyProtection="1">
      <protection locked="0"/>
    </xf>
    <xf numFmtId="3" fontId="48" fillId="0" borderId="19" xfId="1" applyNumberFormat="1" applyFont="1" applyBorder="1" applyProtection="1"/>
    <xf numFmtId="3" fontId="48" fillId="0" borderId="4" xfId="1" applyNumberFormat="1" applyFont="1" applyBorder="1" applyProtection="1"/>
    <xf numFmtId="0" fontId="12" fillId="0" borderId="199" xfId="0" applyFont="1" applyBorder="1" applyAlignment="1">
      <alignment horizontal="center"/>
    </xf>
    <xf numFmtId="3" fontId="48" fillId="0" borderId="200" xfId="1" applyNumberFormat="1" applyFont="1" applyBorder="1" applyProtection="1"/>
    <xf numFmtId="0" fontId="43" fillId="33" borderId="171" xfId="0" applyFont="1" applyFill="1" applyBorder="1" applyAlignment="1">
      <alignment horizontal="center"/>
    </xf>
    <xf numFmtId="0" fontId="42" fillId="33" borderId="196" xfId="0" applyFont="1" applyFill="1" applyBorder="1"/>
    <xf numFmtId="3" fontId="42" fillId="33" borderId="182" xfId="1" applyNumberFormat="1" applyFont="1" applyFill="1" applyBorder="1" applyProtection="1"/>
    <xf numFmtId="3" fontId="42" fillId="33" borderId="197" xfId="1" applyNumberFormat="1" applyFont="1" applyFill="1" applyBorder="1" applyProtection="1"/>
    <xf numFmtId="3" fontId="42" fillId="33" borderId="198" xfId="1" applyNumberFormat="1" applyFont="1" applyFill="1" applyBorder="1" applyProtection="1"/>
    <xf numFmtId="3" fontId="49" fillId="24" borderId="74" xfId="1" applyNumberFormat="1" applyFont="1" applyFill="1" applyBorder="1" applyProtection="1"/>
    <xf numFmtId="3" fontId="49" fillId="24" borderId="77" xfId="1" applyNumberFormat="1" applyFont="1" applyFill="1" applyBorder="1" applyProtection="1"/>
    <xf numFmtId="3" fontId="49" fillId="24" borderId="193" xfId="1" applyNumberFormat="1" applyFont="1" applyFill="1" applyBorder="1" applyProtection="1"/>
    <xf numFmtId="3" fontId="48" fillId="24" borderId="182" xfId="1" applyNumberFormat="1" applyFont="1" applyFill="1" applyBorder="1" applyProtection="1"/>
    <xf numFmtId="3" fontId="48" fillId="24" borderId="21" xfId="1" applyNumberFormat="1" applyFont="1" applyFill="1" applyBorder="1" applyProtection="1"/>
    <xf numFmtId="3" fontId="48" fillId="24" borderId="200" xfId="1" applyNumberFormat="1" applyFont="1" applyFill="1" applyBorder="1" applyProtection="1"/>
    <xf numFmtId="3" fontId="49" fillId="24" borderId="21" xfId="1" applyNumberFormat="1" applyFont="1" applyFill="1" applyBorder="1" applyProtection="1"/>
    <xf numFmtId="3" fontId="49" fillId="24" borderId="74" xfId="1" applyNumberFormat="1" applyFont="1" applyFill="1" applyBorder="1" applyProtection="1">
      <protection locked="0"/>
    </xf>
    <xf numFmtId="3" fontId="49" fillId="24" borderId="21" xfId="1" applyNumberFormat="1" applyFont="1" applyFill="1" applyBorder="1" applyProtection="1">
      <protection locked="0"/>
    </xf>
    <xf numFmtId="0" fontId="7" fillId="0" borderId="0" xfId="0" applyFont="1"/>
    <xf numFmtId="0" fontId="67" fillId="33" borderId="0" xfId="0" applyFont="1" applyFill="1"/>
    <xf numFmtId="0" fontId="65" fillId="33" borderId="0" xfId="0" applyFont="1" applyFill="1"/>
    <xf numFmtId="0" fontId="67" fillId="33" borderId="0" xfId="0" applyFont="1" applyFill="1" applyAlignment="1">
      <alignment horizontal="left"/>
    </xf>
    <xf numFmtId="0" fontId="65" fillId="33" borderId="0" xfId="0" applyFont="1" applyFill="1" applyAlignment="1">
      <alignment horizontal="left"/>
    </xf>
    <xf numFmtId="0" fontId="7" fillId="0" borderId="0" xfId="0" applyFont="1" applyAlignment="1">
      <alignment horizontal="left" vertical="center"/>
    </xf>
    <xf numFmtId="0" fontId="4" fillId="0" borderId="0" xfId="114"/>
    <xf numFmtId="164" fontId="0" fillId="0" borderId="0" xfId="115" applyFont="1"/>
    <xf numFmtId="0" fontId="71" fillId="0" borderId="0" xfId="114" applyFont="1"/>
    <xf numFmtId="177" fontId="71" fillId="0" borderId="0" xfId="114" applyNumberFormat="1" applyFont="1"/>
    <xf numFmtId="0" fontId="54" fillId="0" borderId="0" xfId="114" applyFont="1"/>
    <xf numFmtId="0" fontId="53" fillId="0" borderId="14" xfId="114" applyFont="1" applyBorder="1"/>
    <xf numFmtId="0" fontId="55" fillId="0" borderId="0" xfId="114" applyFont="1"/>
    <xf numFmtId="164" fontId="55" fillId="0" borderId="0" xfId="115" applyFont="1"/>
    <xf numFmtId="164" fontId="55" fillId="25" borderId="0" xfId="115" applyFont="1" applyFill="1"/>
    <xf numFmtId="164" fontId="4" fillId="0" borderId="0" xfId="114" applyNumberFormat="1"/>
    <xf numFmtId="177" fontId="4" fillId="0" borderId="0" xfId="114" applyNumberFormat="1"/>
    <xf numFmtId="3" fontId="4" fillId="0" borderId="0" xfId="114" applyNumberFormat="1"/>
    <xf numFmtId="0" fontId="4" fillId="0" borderId="167" xfId="114" applyBorder="1"/>
    <xf numFmtId="3" fontId="71" fillId="0" borderId="0" xfId="114" applyNumberFormat="1" applyFont="1"/>
    <xf numFmtId="3" fontId="4" fillId="4" borderId="0" xfId="114" applyNumberFormat="1" applyFill="1"/>
    <xf numFmtId="177" fontId="4" fillId="4" borderId="0" xfId="114" applyNumberFormat="1" applyFill="1"/>
    <xf numFmtId="0" fontId="4" fillId="29" borderId="0" xfId="114" applyFill="1"/>
    <xf numFmtId="164" fontId="4" fillId="29" borderId="0" xfId="114" applyNumberFormat="1" applyFill="1"/>
    <xf numFmtId="177" fontId="4" fillId="29" borderId="0" xfId="114" applyNumberFormat="1" applyFill="1"/>
    <xf numFmtId="0" fontId="4" fillId="9" borderId="0" xfId="114" applyFill="1"/>
    <xf numFmtId="3" fontId="4" fillId="9" borderId="0" xfId="114" applyNumberFormat="1" applyFill="1"/>
    <xf numFmtId="164" fontId="0" fillId="0" borderId="181" xfId="115" applyFont="1" applyBorder="1"/>
    <xf numFmtId="164" fontId="70" fillId="0" borderId="181" xfId="115" applyFont="1" applyBorder="1"/>
    <xf numFmtId="164" fontId="71" fillId="0" borderId="181" xfId="115" applyFont="1" applyBorder="1"/>
    <xf numFmtId="164" fontId="54" fillId="0" borderId="181" xfId="115" applyFont="1" applyBorder="1"/>
    <xf numFmtId="164" fontId="0" fillId="0" borderId="181" xfId="115" applyFont="1" applyFill="1" applyBorder="1"/>
    <xf numFmtId="164" fontId="53" fillId="0" borderId="181" xfId="115" applyFont="1" applyBorder="1"/>
    <xf numFmtId="164" fontId="55" fillId="0" borderId="202" xfId="115" applyFont="1" applyBorder="1"/>
    <xf numFmtId="164" fontId="0" fillId="25" borderId="1" xfId="115" applyFont="1" applyFill="1" applyBorder="1"/>
    <xf numFmtId="164" fontId="70" fillId="25" borderId="1" xfId="115" applyFont="1" applyFill="1" applyBorder="1"/>
    <xf numFmtId="164" fontId="54" fillId="25" borderId="1" xfId="115" applyFont="1" applyFill="1" applyBorder="1"/>
    <xf numFmtId="164" fontId="53" fillId="25" borderId="1" xfId="115" applyFont="1" applyFill="1" applyBorder="1"/>
    <xf numFmtId="164" fontId="55" fillId="25" borderId="204" xfId="115" applyFont="1" applyFill="1" applyBorder="1"/>
    <xf numFmtId="164" fontId="0" fillId="0" borderId="160" xfId="115" applyFont="1" applyBorder="1"/>
    <xf numFmtId="164" fontId="0" fillId="0" borderId="161" xfId="115" applyFont="1" applyBorder="1"/>
    <xf numFmtId="164" fontId="70" fillId="0" borderId="160" xfId="115" applyFont="1" applyBorder="1"/>
    <xf numFmtId="164" fontId="70" fillId="0" borderId="161" xfId="115" applyFont="1" applyBorder="1"/>
    <xf numFmtId="164" fontId="54" fillId="0" borderId="160" xfId="115" applyFont="1" applyBorder="1"/>
    <xf numFmtId="164" fontId="54" fillId="0" borderId="161" xfId="115" applyFont="1" applyBorder="1"/>
    <xf numFmtId="164" fontId="53" fillId="0" borderId="160" xfId="115" applyFont="1" applyBorder="1"/>
    <xf numFmtId="164" fontId="53" fillId="0" borderId="161" xfId="115" applyFont="1" applyBorder="1"/>
    <xf numFmtId="164" fontId="55" fillId="0" borderId="162" xfId="115" applyFont="1" applyBorder="1"/>
    <xf numFmtId="164" fontId="55" fillId="0" borderId="163" xfId="115" applyFont="1" applyBorder="1"/>
    <xf numFmtId="164" fontId="0" fillId="4" borderId="181" xfId="115" applyFont="1" applyFill="1" applyBorder="1" applyProtection="1">
      <protection locked="0"/>
    </xf>
    <xf numFmtId="164" fontId="0" fillId="4" borderId="160" xfId="115" applyFont="1" applyFill="1" applyBorder="1" applyProtection="1">
      <protection locked="0"/>
    </xf>
    <xf numFmtId="0" fontId="67" fillId="33" borderId="160" xfId="114" applyFont="1" applyFill="1" applyBorder="1" applyAlignment="1">
      <alignment horizontal="center"/>
    </xf>
    <xf numFmtId="0" fontId="67" fillId="33" borderId="181" xfId="114" applyFont="1" applyFill="1" applyBorder="1" applyAlignment="1">
      <alignment horizontal="center"/>
    </xf>
    <xf numFmtId="0" fontId="67" fillId="33" borderId="1" xfId="114" applyFont="1" applyFill="1" applyBorder="1" applyAlignment="1">
      <alignment horizontal="center"/>
    </xf>
    <xf numFmtId="0" fontId="67" fillId="33" borderId="161" xfId="114" applyFont="1" applyFill="1" applyBorder="1" applyAlignment="1">
      <alignment horizontal="center"/>
    </xf>
    <xf numFmtId="0" fontId="67" fillId="33" borderId="0" xfId="114" applyFont="1" applyFill="1" applyAlignment="1">
      <alignment horizontal="center"/>
    </xf>
    <xf numFmtId="3" fontId="12" fillId="8" borderId="4" xfId="87" applyFont="1" applyFill="1" applyBorder="1" applyProtection="1">
      <protection locked="0"/>
    </xf>
    <xf numFmtId="164" fontId="55" fillId="23" borderId="0" xfId="115" applyFont="1" applyFill="1"/>
    <xf numFmtId="0" fontId="43" fillId="0" borderId="0" xfId="0" applyFont="1"/>
    <xf numFmtId="1" fontId="43" fillId="0" borderId="0" xfId="0" applyNumberFormat="1" applyFont="1"/>
    <xf numFmtId="3" fontId="37" fillId="14" borderId="13" xfId="0" applyNumberFormat="1" applyFont="1" applyFill="1" applyBorder="1" applyAlignment="1" applyProtection="1">
      <alignment horizontal="center"/>
      <protection locked="0"/>
    </xf>
    <xf numFmtId="3" fontId="37" fillId="14" borderId="31" xfId="0" applyNumberFormat="1" applyFont="1" applyFill="1" applyBorder="1" applyAlignment="1" applyProtection="1">
      <alignment horizontal="center"/>
      <protection locked="0"/>
    </xf>
    <xf numFmtId="0" fontId="51" fillId="10" borderId="181" xfId="0" applyFont="1" applyFill="1" applyBorder="1"/>
    <xf numFmtId="3" fontId="73" fillId="8" borderId="88" xfId="0" applyNumberFormat="1" applyFont="1" applyFill="1" applyBorder="1" applyAlignment="1">
      <alignment horizontal="center" vertical="center"/>
    </xf>
    <xf numFmtId="3" fontId="73" fillId="8" borderId="91" xfId="0" applyNumberFormat="1" applyFont="1" applyFill="1" applyBorder="1" applyAlignment="1">
      <alignment horizontal="center" vertical="center"/>
    </xf>
    <xf numFmtId="3" fontId="73" fillId="8" borderId="3" xfId="0" applyNumberFormat="1" applyFont="1" applyFill="1" applyBorder="1" applyAlignment="1">
      <alignment horizontal="center"/>
    </xf>
    <xf numFmtId="3" fontId="73" fillId="8" borderId="2" xfId="0" applyNumberFormat="1" applyFont="1" applyFill="1" applyBorder="1" applyAlignment="1">
      <alignment horizontal="center"/>
    </xf>
    <xf numFmtId="3" fontId="73" fillId="8" borderId="3" xfId="0" applyNumberFormat="1" applyFont="1" applyFill="1" applyBorder="1" applyAlignment="1">
      <alignment horizontal="center" vertical="center"/>
    </xf>
    <xf numFmtId="3" fontId="73" fillId="8" borderId="2" xfId="0" applyNumberFormat="1" applyFont="1" applyFill="1" applyBorder="1" applyAlignment="1">
      <alignment horizontal="center" vertical="center"/>
    </xf>
    <xf numFmtId="3" fontId="73" fillId="8" borderId="82" xfId="0" applyNumberFormat="1" applyFont="1" applyFill="1" applyBorder="1" applyAlignment="1">
      <alignment horizontal="center" vertical="center"/>
    </xf>
    <xf numFmtId="3" fontId="73" fillId="8" borderId="80" xfId="0" applyNumberFormat="1" applyFont="1" applyFill="1" applyBorder="1" applyAlignment="1">
      <alignment horizontal="center" vertical="center"/>
    </xf>
    <xf numFmtId="164" fontId="24" fillId="4" borderId="167" xfId="115" applyFont="1" applyFill="1" applyBorder="1"/>
    <xf numFmtId="0" fontId="4" fillId="4" borderId="167" xfId="114" applyFill="1" applyBorder="1"/>
    <xf numFmtId="0" fontId="66" fillId="33" borderId="0" xfId="0" applyFont="1" applyFill="1" applyAlignment="1">
      <alignment horizontal="center"/>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left" vertical="center"/>
    </xf>
    <xf numFmtId="0" fontId="7" fillId="0" borderId="0" xfId="0" applyFont="1" applyAlignment="1">
      <alignment horizontal="center"/>
    </xf>
    <xf numFmtId="0" fontId="7" fillId="0" borderId="0" xfId="0" applyFont="1" applyAlignment="1">
      <alignment horizontal="center" vertical="center"/>
    </xf>
    <xf numFmtId="0" fontId="67" fillId="33" borderId="0" xfId="0" applyFont="1" applyFill="1" applyAlignment="1">
      <alignment horizontal="left" wrapText="1"/>
    </xf>
    <xf numFmtId="0" fontId="68" fillId="33" borderId="0" xfId="0" applyFont="1" applyFill="1" applyAlignment="1">
      <alignment horizontal="center"/>
    </xf>
    <xf numFmtId="0" fontId="67" fillId="33" borderId="0" xfId="0" applyFont="1" applyFill="1" applyAlignment="1">
      <alignment horizontal="left"/>
    </xf>
    <xf numFmtId="0" fontId="7" fillId="0" borderId="0" xfId="0" applyFont="1" applyAlignment="1">
      <alignment horizontal="left" vertical="top" wrapText="1"/>
    </xf>
    <xf numFmtId="0" fontId="0" fillId="0" borderId="0" xfId="0" applyAlignment="1">
      <alignment horizontal="center"/>
    </xf>
    <xf numFmtId="0" fontId="57" fillId="28" borderId="178" xfId="113" applyFont="1" applyFill="1" applyBorder="1" applyAlignment="1" applyProtection="1">
      <alignment vertical="top" wrapText="1" readingOrder="1"/>
      <protection locked="0"/>
    </xf>
    <xf numFmtId="0" fontId="12" fillId="23" borderId="179" xfId="113" applyFill="1" applyBorder="1" applyAlignment="1" applyProtection="1">
      <alignment vertical="top" wrapText="1"/>
      <protection locked="0"/>
    </xf>
    <xf numFmtId="0" fontId="12" fillId="23" borderId="180" xfId="113" applyFill="1" applyBorder="1" applyAlignment="1" applyProtection="1">
      <alignment vertical="top" wrapText="1"/>
      <protection locked="0"/>
    </xf>
    <xf numFmtId="0" fontId="57" fillId="0" borderId="168" xfId="113" applyFont="1" applyBorder="1" applyAlignment="1" applyProtection="1">
      <alignment horizontal="right" vertical="top" wrapText="1" readingOrder="1"/>
      <protection locked="0"/>
    </xf>
    <xf numFmtId="0" fontId="12" fillId="0" borderId="169" xfId="113" applyBorder="1" applyAlignment="1" applyProtection="1">
      <alignment vertical="top" wrapText="1"/>
      <protection locked="0"/>
    </xf>
    <xf numFmtId="0" fontId="12" fillId="0" borderId="170" xfId="113" applyBorder="1" applyAlignment="1" applyProtection="1">
      <alignment vertical="top" wrapText="1"/>
      <protection locked="0"/>
    </xf>
    <xf numFmtId="0" fontId="42" fillId="26" borderId="172" xfId="113" applyFont="1" applyFill="1" applyBorder="1" applyAlignment="1" applyProtection="1">
      <alignment vertical="top" wrapText="1" readingOrder="1"/>
      <protection locked="0"/>
    </xf>
    <xf numFmtId="0" fontId="42" fillId="26" borderId="173" xfId="113" applyFont="1" applyFill="1" applyBorder="1" applyAlignment="1" applyProtection="1">
      <alignment vertical="top" wrapText="1"/>
      <protection locked="0"/>
    </xf>
    <xf numFmtId="0" fontId="42" fillId="26" borderId="174" xfId="113" applyFont="1" applyFill="1" applyBorder="1" applyAlignment="1" applyProtection="1">
      <alignment vertical="top" wrapText="1"/>
      <protection locked="0"/>
    </xf>
    <xf numFmtId="0" fontId="60" fillId="31" borderId="175" xfId="113" applyFont="1" applyFill="1" applyBorder="1" applyAlignment="1" applyProtection="1">
      <alignment vertical="top" wrapText="1" readingOrder="1"/>
      <protection locked="0"/>
    </xf>
    <xf numFmtId="0" fontId="43" fillId="31" borderId="176" xfId="113" applyFont="1" applyFill="1" applyBorder="1" applyAlignment="1" applyProtection="1">
      <alignment vertical="top" wrapText="1"/>
      <protection locked="0"/>
    </xf>
    <xf numFmtId="0" fontId="43" fillId="31" borderId="177" xfId="113" applyFont="1" applyFill="1" applyBorder="1" applyAlignment="1" applyProtection="1">
      <alignment vertical="top" wrapText="1"/>
      <protection locked="0"/>
    </xf>
    <xf numFmtId="0" fontId="42" fillId="21" borderId="178" xfId="113" applyFont="1" applyFill="1" applyBorder="1" applyAlignment="1" applyProtection="1">
      <alignment vertical="top" wrapText="1" readingOrder="1"/>
      <protection locked="0"/>
    </xf>
    <xf numFmtId="0" fontId="43" fillId="21" borderId="179" xfId="113" applyFont="1" applyFill="1" applyBorder="1" applyAlignment="1" applyProtection="1">
      <alignment vertical="top" wrapText="1"/>
      <protection locked="0"/>
    </xf>
    <xf numFmtId="0" fontId="43" fillId="21" borderId="180" xfId="113" applyFont="1" applyFill="1" applyBorder="1" applyAlignment="1" applyProtection="1">
      <alignment vertical="top" wrapText="1"/>
      <protection locked="0"/>
    </xf>
    <xf numFmtId="0" fontId="48" fillId="32" borderId="178" xfId="113" applyFont="1" applyFill="1" applyBorder="1" applyAlignment="1" applyProtection="1">
      <alignment vertical="top" wrapText="1" readingOrder="1"/>
      <protection locked="0"/>
    </xf>
    <xf numFmtId="0" fontId="49" fillId="32" borderId="179" xfId="113" applyFont="1" applyFill="1" applyBorder="1" applyAlignment="1" applyProtection="1">
      <alignment vertical="top" wrapText="1"/>
      <protection locked="0"/>
    </xf>
    <xf numFmtId="0" fontId="49" fillId="32" borderId="180" xfId="113" applyFont="1" applyFill="1" applyBorder="1" applyAlignment="1" applyProtection="1">
      <alignment vertical="top" wrapText="1"/>
      <protection locked="0"/>
    </xf>
    <xf numFmtId="0" fontId="58" fillId="28" borderId="178" xfId="113" applyFont="1" applyFill="1" applyBorder="1" applyAlignment="1" applyProtection="1">
      <alignment vertical="top" wrapText="1" readingOrder="1"/>
      <protection locked="0"/>
    </xf>
    <xf numFmtId="0" fontId="57" fillId="0" borderId="178" xfId="113" applyFont="1" applyBorder="1" applyAlignment="1" applyProtection="1">
      <alignment vertical="top" wrapText="1" readingOrder="1"/>
      <protection locked="0"/>
    </xf>
    <xf numFmtId="0" fontId="12" fillId="0" borderId="179" xfId="113" applyBorder="1" applyAlignment="1" applyProtection="1">
      <alignment vertical="top" wrapText="1"/>
      <protection locked="0"/>
    </xf>
    <xf numFmtId="0" fontId="12" fillId="0" borderId="180" xfId="113" applyBorder="1" applyAlignment="1" applyProtection="1">
      <alignment vertical="top" wrapText="1"/>
      <protection locked="0"/>
    </xf>
    <xf numFmtId="0" fontId="42" fillId="26" borderId="178" xfId="113" applyFont="1" applyFill="1" applyBorder="1" applyAlignment="1" applyProtection="1">
      <alignment vertical="top" wrapText="1" readingOrder="1"/>
      <protection locked="0"/>
    </xf>
    <xf numFmtId="0" fontId="42" fillId="26" borderId="179" xfId="113" applyFont="1" applyFill="1" applyBorder="1" applyAlignment="1" applyProtection="1">
      <alignment vertical="top" wrapText="1"/>
      <protection locked="0"/>
    </xf>
    <xf numFmtId="0" fontId="42" fillId="26" borderId="180" xfId="113" applyFont="1" applyFill="1" applyBorder="1" applyAlignment="1" applyProtection="1">
      <alignment vertical="top" wrapText="1"/>
      <protection locked="0"/>
    </xf>
    <xf numFmtId="0" fontId="43" fillId="21" borderId="178" xfId="113" applyFont="1" applyFill="1" applyBorder="1" applyAlignment="1" applyProtection="1">
      <alignment vertical="top" wrapText="1" readingOrder="1"/>
      <protection locked="0"/>
    </xf>
    <xf numFmtId="0" fontId="58" fillId="0" borderId="178" xfId="113" applyFont="1" applyBorder="1" applyAlignment="1" applyProtection="1">
      <alignment vertical="top" wrapText="1" readingOrder="1"/>
      <protection locked="0"/>
    </xf>
    <xf numFmtId="0" fontId="48" fillId="0" borderId="178" xfId="113" applyFont="1" applyBorder="1" applyAlignment="1" applyProtection="1">
      <alignment vertical="top" wrapText="1" readingOrder="1"/>
      <protection locked="0"/>
    </xf>
    <xf numFmtId="0" fontId="49" fillId="0" borderId="179" xfId="113" applyFont="1" applyBorder="1" applyAlignment="1" applyProtection="1">
      <alignment vertical="top" wrapText="1"/>
      <protection locked="0"/>
    </xf>
    <xf numFmtId="0" fontId="49" fillId="0" borderId="180" xfId="113" applyFont="1" applyBorder="1" applyAlignment="1" applyProtection="1">
      <alignment vertical="top" wrapText="1"/>
      <protection locked="0"/>
    </xf>
    <xf numFmtId="0" fontId="42" fillId="27" borderId="178" xfId="113" applyFont="1" applyFill="1" applyBorder="1" applyAlignment="1" applyProtection="1">
      <alignment vertical="top" wrapText="1" readingOrder="1"/>
      <protection locked="0"/>
    </xf>
    <xf numFmtId="0" fontId="43" fillId="26" borderId="178" xfId="113" applyFont="1" applyFill="1" applyBorder="1" applyAlignment="1" applyProtection="1">
      <alignment vertical="top" wrapText="1" readingOrder="1"/>
      <protection locked="0"/>
    </xf>
    <xf numFmtId="0" fontId="43" fillId="26" borderId="179" xfId="113" applyFont="1" applyFill="1" applyBorder="1" applyAlignment="1" applyProtection="1">
      <alignment vertical="top" wrapText="1"/>
      <protection locked="0"/>
    </xf>
    <xf numFmtId="0" fontId="43" fillId="26" borderId="180" xfId="113" applyFont="1" applyFill="1" applyBorder="1" applyAlignment="1" applyProtection="1">
      <alignment vertical="top" wrapText="1"/>
      <protection locked="0"/>
    </xf>
    <xf numFmtId="0" fontId="15" fillId="0" borderId="179" xfId="113" applyFont="1" applyBorder="1" applyAlignment="1" applyProtection="1">
      <alignment vertical="top" wrapText="1"/>
      <protection locked="0"/>
    </xf>
    <xf numFmtId="0" fontId="15" fillId="0" borderId="180" xfId="113" applyFont="1" applyBorder="1" applyAlignment="1" applyProtection="1">
      <alignment vertical="top" wrapText="1"/>
      <protection locked="0"/>
    </xf>
    <xf numFmtId="0" fontId="58" fillId="32" borderId="178" xfId="113" applyFont="1" applyFill="1" applyBorder="1" applyAlignment="1" applyProtection="1">
      <alignment vertical="top" wrapText="1" readingOrder="1"/>
      <protection locked="0"/>
    </xf>
    <xf numFmtId="0" fontId="12" fillId="32" borderId="179" xfId="113" applyFill="1" applyBorder="1" applyAlignment="1" applyProtection="1">
      <alignment vertical="top" wrapText="1"/>
      <protection locked="0"/>
    </xf>
    <xf numFmtId="0" fontId="12" fillId="32" borderId="180" xfId="113" applyFill="1" applyBorder="1" applyAlignment="1" applyProtection="1">
      <alignment vertical="top" wrapText="1"/>
      <protection locked="0"/>
    </xf>
    <xf numFmtId="0" fontId="49" fillId="28" borderId="178" xfId="113" applyFont="1" applyFill="1" applyBorder="1" applyAlignment="1" applyProtection="1">
      <alignment vertical="top" wrapText="1" readingOrder="1"/>
      <protection locked="0"/>
    </xf>
    <xf numFmtId="0" fontId="49" fillId="23" borderId="179" xfId="113" applyFont="1" applyFill="1" applyBorder="1" applyAlignment="1" applyProtection="1">
      <alignment vertical="top" wrapText="1"/>
      <protection locked="0"/>
    </xf>
    <xf numFmtId="0" fontId="49" fillId="23" borderId="180" xfId="113" applyFont="1" applyFill="1" applyBorder="1" applyAlignment="1" applyProtection="1">
      <alignment vertical="top" wrapText="1"/>
      <protection locked="0"/>
    </xf>
    <xf numFmtId="0" fontId="49" fillId="23" borderId="178" xfId="113" applyFont="1" applyFill="1" applyBorder="1" applyAlignment="1" applyProtection="1">
      <alignment vertical="top" wrapText="1" readingOrder="1"/>
      <protection locked="0"/>
    </xf>
    <xf numFmtId="0" fontId="61" fillId="31" borderId="178" xfId="113" applyFont="1" applyFill="1" applyBorder="1" applyAlignment="1" applyProtection="1">
      <alignment vertical="top" wrapText="1" readingOrder="1"/>
      <protection locked="0"/>
    </xf>
    <xf numFmtId="0" fontId="43" fillId="31" borderId="179" xfId="113" applyFont="1" applyFill="1" applyBorder="1" applyAlignment="1" applyProtection="1">
      <alignment vertical="top" wrapText="1"/>
      <protection locked="0"/>
    </xf>
    <xf numFmtId="0" fontId="43" fillId="31" borderId="180" xfId="113" applyFont="1" applyFill="1" applyBorder="1" applyAlignment="1" applyProtection="1">
      <alignment vertical="top" wrapText="1"/>
      <protection locked="0"/>
    </xf>
    <xf numFmtId="0" fontId="49" fillId="32" borderId="178" xfId="113" applyFont="1" applyFill="1" applyBorder="1" applyAlignment="1" applyProtection="1">
      <alignment vertical="top" wrapText="1" readingOrder="1"/>
      <protection locked="0"/>
    </xf>
    <xf numFmtId="0" fontId="42" fillId="30" borderId="178" xfId="113" applyFont="1" applyFill="1" applyBorder="1" applyAlignment="1" applyProtection="1">
      <alignment vertical="top" wrapText="1" readingOrder="1"/>
      <protection locked="0"/>
    </xf>
    <xf numFmtId="0" fontId="43" fillId="30" borderId="179" xfId="113" applyFont="1" applyFill="1" applyBorder="1" applyAlignment="1" applyProtection="1">
      <alignment vertical="top" wrapText="1"/>
      <protection locked="0"/>
    </xf>
    <xf numFmtId="0" fontId="43" fillId="30" borderId="180" xfId="113" applyFont="1" applyFill="1" applyBorder="1" applyAlignment="1" applyProtection="1">
      <alignment vertical="top" wrapText="1"/>
      <protection locked="0"/>
    </xf>
    <xf numFmtId="0" fontId="42" fillId="31" borderId="178" xfId="113" applyFont="1" applyFill="1" applyBorder="1" applyAlignment="1" applyProtection="1">
      <alignment vertical="top" wrapText="1" readingOrder="1"/>
      <protection locked="0"/>
    </xf>
    <xf numFmtId="0" fontId="60" fillId="30" borderId="178" xfId="113" applyFont="1" applyFill="1" applyBorder="1" applyAlignment="1" applyProtection="1">
      <alignment vertical="top" wrapText="1" readingOrder="1"/>
      <protection locked="0"/>
    </xf>
    <xf numFmtId="0" fontId="48" fillId="0" borderId="179" xfId="113" applyFont="1" applyBorder="1" applyAlignment="1" applyProtection="1">
      <alignment vertical="top" wrapText="1"/>
      <protection locked="0"/>
    </xf>
    <xf numFmtId="0" fontId="48" fillId="0" borderId="180" xfId="113" applyFont="1" applyBorder="1" applyAlignment="1" applyProtection="1">
      <alignment vertical="top" wrapText="1"/>
      <protection locked="0"/>
    </xf>
    <xf numFmtId="0" fontId="59" fillId="0" borderId="178" xfId="113" applyFont="1" applyBorder="1" applyAlignment="1" applyProtection="1">
      <alignment vertical="top" wrapText="1" readingOrder="1"/>
      <protection locked="0"/>
    </xf>
    <xf numFmtId="0" fontId="69" fillId="0" borderId="160" xfId="114" applyFont="1" applyBorder="1" applyAlignment="1">
      <alignment horizontal="left"/>
    </xf>
    <xf numFmtId="0" fontId="69" fillId="0" borderId="181" xfId="114" applyFont="1" applyBorder="1" applyAlignment="1">
      <alignment horizontal="left"/>
    </xf>
    <xf numFmtId="0" fontId="69" fillId="0" borderId="160" xfId="114" applyFont="1" applyBorder="1" applyAlignment="1">
      <alignment horizontal="left" wrapText="1"/>
    </xf>
    <xf numFmtId="0" fontId="69" fillId="0" borderId="181" xfId="114" applyFont="1" applyBorder="1" applyAlignment="1">
      <alignment horizontal="left" wrapText="1"/>
    </xf>
    <xf numFmtId="0" fontId="54" fillId="0" borderId="160" xfId="114" applyFont="1" applyBorder="1" applyAlignment="1">
      <alignment horizontal="left"/>
    </xf>
    <xf numFmtId="0" fontId="54" fillId="0" borderId="181" xfId="114" applyFont="1" applyBorder="1" applyAlignment="1">
      <alignment horizontal="left"/>
    </xf>
    <xf numFmtId="0" fontId="4" fillId="0" borderId="160" xfId="114" applyBorder="1" applyAlignment="1">
      <alignment horizontal="left"/>
    </xf>
    <xf numFmtId="0" fontId="4" fillId="0" borderId="181" xfId="114" applyBorder="1" applyAlignment="1">
      <alignment horizontal="left"/>
    </xf>
    <xf numFmtId="0" fontId="55" fillId="0" borderId="205" xfId="114" applyFont="1" applyBorder="1" applyAlignment="1">
      <alignment horizontal="left"/>
    </xf>
    <xf numFmtId="0" fontId="55" fillId="0" borderId="206" xfId="114" applyFont="1" applyBorder="1" applyAlignment="1">
      <alignment horizontal="left"/>
    </xf>
    <xf numFmtId="0" fontId="53" fillId="0" borderId="160" xfId="114" applyFont="1" applyBorder="1" applyAlignment="1">
      <alignment horizontal="left"/>
    </xf>
    <xf numFmtId="0" fontId="53" fillId="0" borderId="181" xfId="114" applyFont="1" applyBorder="1" applyAlignment="1">
      <alignment horizontal="left"/>
    </xf>
    <xf numFmtId="0" fontId="4" fillId="0" borderId="160" xfId="114" applyBorder="1" applyAlignment="1">
      <alignment horizontal="center"/>
    </xf>
    <xf numFmtId="0" fontId="4" fillId="0" borderId="181" xfId="114" applyBorder="1" applyAlignment="1">
      <alignment horizontal="center"/>
    </xf>
    <xf numFmtId="0" fontId="72" fillId="33" borderId="158" xfId="114" applyFont="1" applyFill="1" applyBorder="1" applyAlignment="1">
      <alignment horizontal="center"/>
    </xf>
    <xf numFmtId="0" fontId="72" fillId="33" borderId="201" xfId="114" applyFont="1" applyFill="1" applyBorder="1" applyAlignment="1">
      <alignment horizontal="center"/>
    </xf>
    <xf numFmtId="0" fontId="72" fillId="33" borderId="159" xfId="114" applyFont="1" applyFill="1" applyBorder="1" applyAlignment="1">
      <alignment horizontal="center"/>
    </xf>
    <xf numFmtId="0" fontId="67" fillId="33" borderId="160" xfId="114" applyFont="1" applyFill="1" applyBorder="1" applyAlignment="1">
      <alignment horizontal="center"/>
    </xf>
    <xf numFmtId="0" fontId="67" fillId="33" borderId="181" xfId="114" applyFont="1" applyFill="1" applyBorder="1" applyAlignment="1">
      <alignment horizontal="center"/>
    </xf>
    <xf numFmtId="0" fontId="4" fillId="0" borderId="189" xfId="114" applyBorder="1" applyAlignment="1">
      <alignment horizontal="left"/>
    </xf>
    <xf numFmtId="0" fontId="4" fillId="0" borderId="97" xfId="114" applyBorder="1" applyAlignment="1">
      <alignment horizontal="left"/>
    </xf>
    <xf numFmtId="0" fontId="72" fillId="33" borderId="203" xfId="114" applyFont="1" applyFill="1" applyBorder="1" applyAlignment="1">
      <alignment horizontal="center"/>
    </xf>
    <xf numFmtId="0" fontId="15" fillId="0" borderId="0" xfId="0" applyFont="1" applyAlignment="1">
      <alignment horizontal="left" wrapText="1"/>
    </xf>
    <xf numFmtId="0" fontId="15" fillId="0" borderId="158" xfId="0" applyFont="1" applyBorder="1" applyAlignment="1">
      <alignment horizontal="left" wrapText="1"/>
    </xf>
    <xf numFmtId="0" fontId="15" fillId="0" borderId="160" xfId="0" applyFont="1" applyBorder="1" applyAlignment="1">
      <alignment horizontal="left" wrapText="1"/>
    </xf>
    <xf numFmtId="3" fontId="12" fillId="4" borderId="159" xfId="0" applyNumberFormat="1" applyFont="1" applyFill="1" applyBorder="1" applyAlignment="1" applyProtection="1">
      <alignment horizontal="center" wrapText="1"/>
      <protection locked="0"/>
    </xf>
    <xf numFmtId="3" fontId="12" fillId="4" borderId="161" xfId="0" applyNumberFormat="1" applyFont="1" applyFill="1" applyBorder="1" applyAlignment="1" applyProtection="1">
      <alignment horizontal="center" wrapText="1"/>
      <protection locked="0"/>
    </xf>
    <xf numFmtId="0" fontId="12" fillId="0" borderId="0" xfId="0" applyFont="1" applyAlignment="1">
      <alignment horizontal="left" wrapText="1"/>
    </xf>
    <xf numFmtId="0" fontId="43" fillId="33" borderId="181" xfId="0" applyFont="1" applyFill="1" applyBorder="1" applyAlignment="1">
      <alignment horizontal="left" wrapText="1"/>
    </xf>
    <xf numFmtId="0" fontId="0" fillId="8" borderId="82" xfId="0" applyFill="1" applyBorder="1"/>
    <xf numFmtId="0" fontId="0" fillId="8" borderId="105" xfId="0" applyFill="1" applyBorder="1"/>
    <xf numFmtId="0" fontId="0" fillId="8" borderId="88" xfId="0" applyFill="1" applyBorder="1"/>
    <xf numFmtId="0" fontId="0" fillId="8" borderId="89" xfId="0" applyFill="1" applyBorder="1"/>
    <xf numFmtId="0" fontId="0" fillId="8" borderId="3" xfId="0" applyFill="1" applyBorder="1"/>
    <xf numFmtId="0" fontId="0" fillId="8" borderId="0" xfId="0" applyFill="1"/>
  </cellXfs>
  <cellStyles count="116">
    <cellStyle name="1000-sep (2 dec) 2" xfId="3" xr:uid="{00000000-0005-0000-0000-000000000000}"/>
    <cellStyle name="1000-sep+,00_aktuel-aar" xfId="4" xr:uid="{00000000-0005-0000-0000-000001000000}"/>
    <cellStyle name="12" xfId="5" xr:uid="{00000000-0005-0000-0000-000002000000}"/>
    <cellStyle name="14" xfId="6" xr:uid="{00000000-0005-0000-0000-000003000000}"/>
    <cellStyle name="9" xfId="7" xr:uid="{00000000-0005-0000-0000-000004000000}"/>
    <cellStyle name="Besøgt link" xfId="26" builtinId="9" hidden="1"/>
    <cellStyle name="Besøgt link" xfId="28" builtinId="9" hidden="1"/>
    <cellStyle name="Besøgt link" xfId="30" builtinId="9" hidden="1"/>
    <cellStyle name="Besøgt link" xfId="32" builtinId="9" hidden="1"/>
    <cellStyle name="Besøgt link" xfId="34" builtinId="9" hidden="1"/>
    <cellStyle name="Besøgt link" xfId="36" builtinId="9" hidden="1"/>
    <cellStyle name="Besøgt link" xfId="38" builtinId="9" hidden="1"/>
    <cellStyle name="Besøgt link" xfId="40" builtinId="9" hidden="1"/>
    <cellStyle name="Besøgt link" xfId="42" builtinId="9" hidden="1"/>
    <cellStyle name="Besøgt link" xfId="44" builtinId="9" hidden="1"/>
    <cellStyle name="Besøgt link" xfId="46" builtinId="9" hidden="1"/>
    <cellStyle name="Besøgt link" xfId="48" builtinId="9" hidden="1"/>
    <cellStyle name="Besøgt link" xfId="50" builtinId="9" hidden="1"/>
    <cellStyle name="Besøgt link" xfId="52" builtinId="9" hidden="1"/>
    <cellStyle name="Besøgt link" xfId="54" builtinId="9" hidden="1"/>
    <cellStyle name="Besøgt link" xfId="56" builtinId="9" hidden="1"/>
    <cellStyle name="Besøgt link" xfId="58" builtinId="9" hidden="1"/>
    <cellStyle name="Besøgt link" xfId="60" builtinId="9" hidden="1"/>
    <cellStyle name="Besøgt link" xfId="62" builtinId="9" hidden="1"/>
    <cellStyle name="Besøgt link" xfId="64" builtinId="9" hidden="1"/>
    <cellStyle name="Besøgt link" xfId="66" builtinId="9" hidden="1"/>
    <cellStyle name="Besøgt link" xfId="68" builtinId="9" hidden="1"/>
    <cellStyle name="Besøgt link" xfId="70" builtinId="9" hidden="1"/>
    <cellStyle name="Besøgt link" xfId="72" builtinId="9" hidden="1"/>
    <cellStyle name="Besøgt link" xfId="74" builtinId="9" hidden="1"/>
    <cellStyle name="Besøgt link" xfId="76" builtinId="9" hidden="1"/>
    <cellStyle name="Besøgt link" xfId="78" builtinId="9" hidden="1"/>
    <cellStyle name="Besøgt link" xfId="79" builtinId="9" hidden="1"/>
    <cellStyle name="Besøgt link" xfId="80" builtinId="9" hidden="1"/>
    <cellStyle name="Besøgt link" xfId="81" builtinId="9" hidden="1"/>
    <cellStyle name="Besøgt link" xfId="82" builtinId="9" hidden="1"/>
    <cellStyle name="Besøgt link" xfId="83" builtinId="9" hidden="1"/>
    <cellStyle name="Besøgt link" xfId="84" builtinId="9" hidden="1"/>
    <cellStyle name="Besøgt link" xfId="85" builtinId="9" hidden="1"/>
    <cellStyle name="Besøgt link" xfId="86" builtinId="9" hidden="1"/>
    <cellStyle name="Besøgt link" xfId="88" builtinId="9" hidden="1"/>
    <cellStyle name="Besøgt link" xfId="89" builtinId="9" hidden="1"/>
    <cellStyle name="Besøgt link" xfId="90" builtinId="9" hidden="1"/>
    <cellStyle name="Besøgt link" xfId="91" builtinId="9" hidden="1"/>
    <cellStyle name="Besøgt link" xfId="92" builtinId="9" hidden="1"/>
    <cellStyle name="Besøgt link" xfId="93" builtinId="9" hidden="1"/>
    <cellStyle name="Besøgt link" xfId="94" builtinId="9" hidden="1"/>
    <cellStyle name="Besøgt link" xfId="95" builtinId="9" hidden="1"/>
    <cellStyle name="Besøgt link" xfId="96" builtinId="9" hidden="1"/>
    <cellStyle name="Besøgt link" xfId="97" builtinId="9" hidden="1"/>
    <cellStyle name="Besøgt link" xfId="100" builtinId="9" hidden="1"/>
    <cellStyle name="Besøgt link" xfId="101" builtinId="9" hidden="1"/>
    <cellStyle name="Besøgt link" xfId="102" builtinId="9" hidden="1"/>
    <cellStyle name="Besøgt link" xfId="103" builtinId="9" hidden="1"/>
    <cellStyle name="Besøgt link" xfId="104" builtinId="9" hidden="1"/>
    <cellStyle name="Besøgt link" xfId="105" builtinId="9" hidden="1"/>
    <cellStyle name="Besøgt link" xfId="106" builtinId="9" hidden="1"/>
    <cellStyle name="Besøgt link" xfId="107" builtinId="9" hidden="1"/>
    <cellStyle name="Besøgt link" xfId="108" builtinId="9" hidden="1"/>
    <cellStyle name="Besøgt link" xfId="109" builtinId="9" hidden="1"/>
    <cellStyle name="Besøgt link" xfId="110" builtinId="9" hidden="1"/>
    <cellStyle name="Besøgt link" xfId="111" builtinId="9" hidden="1"/>
    <cellStyle name="Besøgt link" xfId="112" builtinId="9" hidden="1"/>
    <cellStyle name="Chicago" xfId="8" xr:uid="{00000000-0005-0000-0000-00003F000000}"/>
    <cellStyle name="Comma [0]_DelAktPl.xls" xfId="9" xr:uid="{00000000-0005-0000-0000-000040000000}"/>
    <cellStyle name="Comma_DelAktPl.xls" xfId="10" xr:uid="{00000000-0005-0000-0000-000041000000}"/>
    <cellStyle name="courier" xfId="11" xr:uid="{00000000-0005-0000-0000-000042000000}"/>
    <cellStyle name="courier_031SKPE.XLS" xfId="87" xr:uid="{00000000-0005-0000-0000-000043000000}"/>
    <cellStyle name="Currency [0]_5Straat2003.xls" xfId="12" xr:uid="{00000000-0005-0000-0000-000044000000}"/>
    <cellStyle name="Currency_DelAktPl.xls" xfId="13" xr:uid="{00000000-0005-0000-0000-000045000000}"/>
    <cellStyle name="Komma" xfId="1" builtinId="3"/>
    <cellStyle name="Komma 2" xfId="115" xr:uid="{4C1EAAD4-891D-C541-A3CE-3A5F0702ADBC}"/>
    <cellStyle name="komma0" xfId="14" xr:uid="{00000000-0005-0000-0000-000047000000}"/>
    <cellStyle name="komma1" xfId="15" xr:uid="{00000000-0005-0000-0000-000048000000}"/>
    <cellStyle name="komma2" xfId="16" xr:uid="{00000000-0005-0000-0000-000049000000}"/>
    <cellStyle name="komma4" xfId="17" xr:uid="{00000000-0005-0000-0000-00004A000000}"/>
    <cellStyle name="kr" xfId="18" xr:uid="{00000000-0005-0000-0000-00004B000000}"/>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45" builtinId="8" hidden="1"/>
    <cellStyle name="Link" xfId="47"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cellStyle name="Normal" xfId="0" builtinId="0"/>
    <cellStyle name="Normal 2" xfId="19" xr:uid="{00000000-0005-0000-0000-000068000000}"/>
    <cellStyle name="Normal 2 2" xfId="114" xr:uid="{3C3B80D0-0C6B-6149-9B5B-FCB9DA3919AD}"/>
    <cellStyle name="Normal 3" xfId="113" xr:uid="{745EEC2A-CF42-BE4E-B14F-AB6C6024B059}"/>
    <cellStyle name="Normal 6" xfId="99" xr:uid="{00000000-0005-0000-0000-000069000000}"/>
    <cellStyle name="Normal 9" xfId="98" xr:uid="{00000000-0005-0000-0000-00006A000000}"/>
    <cellStyle name="prc0" xfId="20" xr:uid="{00000000-0005-0000-0000-00006B000000}"/>
    <cellStyle name="prc1" xfId="21" xr:uid="{00000000-0005-0000-0000-00006C000000}"/>
    <cellStyle name="prc2" xfId="22" xr:uid="{00000000-0005-0000-0000-00006D000000}"/>
    <cellStyle name="Procent" xfId="2" builtinId="5"/>
    <cellStyle name="skkode" xfId="23" xr:uid="{00000000-0005-0000-0000-00006F000000}"/>
    <cellStyle name="skygget" xfId="24" xr:uid="{00000000-0005-0000-0000-000070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5</xdr:col>
      <xdr:colOff>139700</xdr:colOff>
      <xdr:row>7</xdr:row>
      <xdr:rowOff>1</xdr:rowOff>
    </xdr:from>
    <xdr:to>
      <xdr:col>8</xdr:col>
      <xdr:colOff>9525</xdr:colOff>
      <xdr:row>9</xdr:row>
      <xdr:rowOff>114300</xdr:rowOff>
    </xdr:to>
    <xdr:cxnSp macro="">
      <xdr:nvCxnSpPr>
        <xdr:cNvPr id="2" name="Lige pilforbindelse 3">
          <a:extLst>
            <a:ext uri="{FF2B5EF4-FFF2-40B4-BE49-F238E27FC236}">
              <a16:creationId xmlns:a16="http://schemas.microsoft.com/office/drawing/2014/main" id="{00000000-0008-0000-1200-000002000000}"/>
            </a:ext>
          </a:extLst>
        </xdr:cNvPr>
        <xdr:cNvCxnSpPr>
          <a:cxnSpLocks noChangeShapeType="1"/>
        </xdr:cNvCxnSpPr>
      </xdr:nvCxnSpPr>
      <xdr:spPr bwMode="auto">
        <a:xfrm flipV="1">
          <a:off x="6642100" y="1257301"/>
          <a:ext cx="2727325" cy="444499"/>
        </a:xfrm>
        <a:prstGeom prst="straightConnector1">
          <a:avLst/>
        </a:prstGeom>
        <a:noFill/>
        <a:ln w="25400">
          <a:solidFill>
            <a:srgbClr val="4F81BD"/>
          </a:solidFill>
          <a:round/>
          <a:headEnd/>
          <a:tailEnd type="arrow" w="med" len="med"/>
        </a:ln>
        <a:effectLst>
          <a:outerShdw blurRad="40000" dist="20000" dir="5400000" rotWithShape="0">
            <a:srgbClr val="808080">
              <a:alpha val="37999"/>
            </a:srgbClr>
          </a:outerShdw>
        </a:effectLst>
        <a:extLst>
          <a:ext uri="{909E8E84-426E-40dd-AFC4-6F175D3DCCD1}">
            <a14:hiddenFill xmlns=""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olemikke/Desktop/transp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ove/Documents/Skolebudgetter/Gro%20Odense%20Waldorfskolen/Budget%20ny%20sko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p"/>
      <sheetName val="kriterier"/>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tatistik"/>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Tove Dohn" id="{6585BE58-6F41-F641-99B9-344642047648}" userId="S::tove@friskolerne.dk::cf832d71-50f8-4653-95bd-ced5cfa07810" providerId="AD"/>
</personList>
</file>

<file path=xl/theme/theme1.xml><?xml version="1.0" encoding="utf-8"?>
<a:theme xmlns:a="http://schemas.openxmlformats.org/drawingml/2006/main" name="Kontor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4" dT="2020-08-03T06:12:28.01" personId="{6585BE58-6F41-F641-99B9-344642047648}" id="{ACB98A99-C96E-E942-9BE4-714C683A6F46}">
    <text>Der optjenes 2,08 feriedag fra aug-dec + 0,42 særlig feriedag fra aug-dec. Budgettet tager udgangspunkt i at skolen følger organisationsaftalens regler omkring ferie, og at der er afviklet 5 feriedage i oktober mdr. Dermed er der 5,40 skyldige feriedage og 2,1 skyldig særlig feriedage.</text>
  </threadedComment>
  <threadedComment ref="G16" dT="2020-08-03T06:15:40.27" personId="{6585BE58-6F41-F641-99B9-344642047648}" id="{C73F0F3E-DA06-C640-A125-CC17453B10B7}">
    <text xml:space="preserve">Der optjenes 2,08 feriedag pr. mdr. fra september til december. Budgettet tager udgangspunkt i at skolen følger organisationsaftalens regler omkring ferie, og at der er afviklet 5 feriedage i oktober. mdr. Udover feriedage optjenes der for hele året i alt 5 særlige feriedage. De særlie feriedage optjente det første år kan stadig være skyldige pr. 31.12, hvorfor budgettet budgetterer med 3,32 skyldige feriedage og 7,1 særlige feriedage - ialt 10,42 feriedage.
</text>
  </threadedComment>
</ThreadedComments>
</file>

<file path=xl/threadedComments/threadedComment2.xml><?xml version="1.0" encoding="utf-8"?>
<ThreadedComments xmlns="http://schemas.microsoft.com/office/spreadsheetml/2018/threadedcomments" xmlns:x="http://schemas.openxmlformats.org/spreadsheetml/2006/main">
  <threadedComment ref="E34" dT="2020-08-03T06:12:28.01" personId="{6585BE58-6F41-F641-99B9-344642047648}" id="{555B425A-9A11-E846-9779-DDCB2D41C2F8}">
    <text>Der optjenes 2,08 feriedag fra aug-dec + 0,42 særlig feriedag fra aug-dec. Budgettet tager udgangspunkt i at der er afviklet 5 feriedage pr. 31. dec. Dermed er der 5,40 skyldige feriedage og 2,1 skyldig særlig feriedage.</text>
  </threadedComment>
  <threadedComment ref="E36" dT="2020-08-03T06:15:40.27" personId="{6585BE58-6F41-F641-99B9-344642047648}" id="{94316F63-9477-8F43-8C62-A65918250AE9}">
    <text xml:space="preserve">Der optjenes 2,08 feriedag pr. mdr. fra september til december. Budgettet tager udgangspunkt i at der er afviklet 5 feriedage i perioden sep-december. Udover feriedage optjenes der for hele året i alt 5 særlige feriedage. De særlie feriedage optjente det første år kan stadig være skyldige pr. 31.12, hvorfor budgettet budgetterer med 3,32 skyldige feriedage og 7,1 særlige feriedage - ialt 10,42 feriedage.
</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3"/>
  <sheetViews>
    <sheetView zoomScale="150" zoomScaleNormal="150" zoomScalePageLayoutView="150" workbookViewId="0">
      <selection activeCell="A2" sqref="A2"/>
    </sheetView>
  </sheetViews>
  <sheetFormatPr baseColWidth="10" defaultColWidth="10.83203125" defaultRowHeight="13"/>
  <cols>
    <col min="1" max="1" width="10.83203125" style="1"/>
    <col min="2" max="2" width="63.1640625" style="1" customWidth="1"/>
    <col min="3" max="16384" width="10.83203125" style="1"/>
  </cols>
  <sheetData>
    <row r="1" spans="1:2">
      <c r="A1" s="2">
        <v>2026</v>
      </c>
      <c r="B1" s="10" t="s">
        <v>30</v>
      </c>
    </row>
    <row r="2" spans="1:2" ht="43" customHeight="1">
      <c r="B2" s="11" t="s">
        <v>29</v>
      </c>
    </row>
    <row r="3" spans="1:2" ht="62.5" customHeight="1">
      <c r="B3" s="11" t="s">
        <v>28</v>
      </c>
    </row>
    <row r="4" spans="1:2">
      <c r="B4" s="11"/>
    </row>
    <row r="5" spans="1:2" ht="14">
      <c r="A5" s="12">
        <f>'1.Driftstilskud'!B5</f>
        <v>0</v>
      </c>
      <c r="B5" s="11" t="s">
        <v>27</v>
      </c>
    </row>
    <row r="6" spans="1:2" ht="51" customHeight="1">
      <c r="B6" s="11" t="s">
        <v>404</v>
      </c>
    </row>
    <row r="7" spans="1:2" ht="51" customHeight="1">
      <c r="B7" s="11" t="s">
        <v>289</v>
      </c>
    </row>
    <row r="8" spans="1:2" ht="4" customHeight="1">
      <c r="B8" s="11"/>
    </row>
    <row r="9" spans="1:2" ht="14">
      <c r="A9" s="1">
        <v>1</v>
      </c>
      <c r="B9" s="11" t="s">
        <v>26</v>
      </c>
    </row>
    <row r="10" spans="1:2" ht="14">
      <c r="A10" s="1">
        <v>2</v>
      </c>
      <c r="B10" s="11" t="s">
        <v>25</v>
      </c>
    </row>
    <row r="11" spans="1:2" ht="14">
      <c r="A11" s="1">
        <v>3</v>
      </c>
      <c r="B11" s="11" t="s">
        <v>24</v>
      </c>
    </row>
    <row r="12" spans="1:2" ht="14">
      <c r="A12" s="1">
        <v>4</v>
      </c>
      <c r="B12" s="11" t="s">
        <v>23</v>
      </c>
    </row>
    <row r="13" spans="1:2" ht="14">
      <c r="A13" s="1">
        <v>5</v>
      </c>
      <c r="B13" s="11" t="s">
        <v>22</v>
      </c>
    </row>
    <row r="14" spans="1:2" ht="14">
      <c r="A14" s="1">
        <v>6</v>
      </c>
      <c r="B14" s="11" t="s">
        <v>21</v>
      </c>
    </row>
    <row r="16" spans="1:2" ht="14">
      <c r="A16" s="12"/>
      <c r="B16" s="11" t="s">
        <v>20</v>
      </c>
    </row>
    <row r="18" spans="1:2">
      <c r="A18" s="7"/>
      <c r="B18" s="1" t="str">
        <f>"Angiv med et 'x' til venstre herfor, hvis der ingen SFO er i "&amp;aarstal&amp;"!"</f>
        <v>Angiv med et 'x' til venstre herfor, hvis der ingen SFO er i 2026!</v>
      </c>
    </row>
    <row r="19" spans="1:2">
      <c r="A19" s="7"/>
      <c r="B19" s="1" t="str">
        <f>"Angiv med et 'x' til venstre herfor, hvis der ingen pedel-lønudgift er i "&amp;aarstal&amp;"!"</f>
        <v>Angiv med et 'x' til venstre herfor, hvis der ingen pedel-lønudgift er i 2026!</v>
      </c>
    </row>
    <row r="20" spans="1:2">
      <c r="A20" s="7"/>
      <c r="B20" s="1" t="str">
        <f>"Angiv med et 'x' til venstre herfor, hvis der ingen sekretær-lønudgift er i "&amp;aarstal&amp;"!"</f>
        <v>Angiv med et 'x' til venstre herfor, hvis der ingen sekretær-lønudgift er i 2026!</v>
      </c>
    </row>
    <row r="21" spans="1:2">
      <c r="A21" s="7"/>
      <c r="B21" s="1" t="str">
        <f>"Angiv med et 'x' til venstre herfor, hvis der ingen SFO er i "&amp;aarstal+1&amp;"!"</f>
        <v>Angiv med et 'x' til venstre herfor, hvis der ingen SFO er i 2027!</v>
      </c>
    </row>
    <row r="22" spans="1:2">
      <c r="A22" s="7"/>
      <c r="B22" s="1" t="str">
        <f>"Angiv med et 'x' til venstre herfor, hvis der ingen pedel-lønudgift er i "&amp;aarstal+1&amp;"!"</f>
        <v>Angiv med et 'x' til venstre herfor, hvis der ingen pedel-lønudgift er i 2027!</v>
      </c>
    </row>
    <row r="23" spans="1:2">
      <c r="A23" s="7"/>
      <c r="B23" s="1" t="str">
        <f>"Angiv med et 'x' til venstre herfor, hvis der ingen sekretær-lønudgift er i "&amp;aarstal+1&amp;"!"</f>
        <v>Angiv med et 'x' til venstre herfor, hvis der ingen sekretær-lønudgift er i 2027!</v>
      </c>
    </row>
    <row r="24" spans="1:2" ht="79" customHeight="1">
      <c r="B24" s="11" t="s">
        <v>400</v>
      </c>
    </row>
    <row r="25" spans="1:2" ht="42" customHeight="1">
      <c r="B25" s="11" t="s">
        <v>290</v>
      </c>
    </row>
    <row r="26" spans="1:2" ht="39" customHeight="1">
      <c r="B26" s="11" t="s">
        <v>304</v>
      </c>
    </row>
    <row r="27" spans="1:2">
      <c r="B27" s="1" t="s">
        <v>241</v>
      </c>
    </row>
    <row r="29" spans="1:2">
      <c r="B29" s="135" t="s">
        <v>284</v>
      </c>
    </row>
    <row r="30" spans="1:2" ht="35" customHeight="1">
      <c r="B30" s="136" t="s">
        <v>275</v>
      </c>
    </row>
    <row r="31" spans="1:2">
      <c r="B31" s="35" t="s">
        <v>274</v>
      </c>
    </row>
    <row r="32" spans="1:2" ht="59" customHeight="1">
      <c r="B32" s="136" t="s">
        <v>276</v>
      </c>
    </row>
    <row r="33" spans="2:2" ht="42">
      <c r="B33" s="136" t="s">
        <v>277</v>
      </c>
    </row>
  </sheetData>
  <sheetProtection formatCells="0" formatColumns="0" formatRows="0"/>
  <pageMargins left="0.75" right="0.75" top="1" bottom="1" header="0.5" footer="0.5"/>
  <pageSetup paperSize="9"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zoomScale="150" zoomScaleNormal="150" zoomScalePageLayoutView="150" workbookViewId="0">
      <selection activeCell="E24" sqref="E24"/>
    </sheetView>
  </sheetViews>
  <sheetFormatPr baseColWidth="10" defaultColWidth="10.83203125" defaultRowHeight="13"/>
  <cols>
    <col min="1" max="1" width="7.33203125" style="81" customWidth="1"/>
    <col min="2" max="2" width="39.6640625" style="81" customWidth="1"/>
    <col min="3" max="16384" width="10.83203125" style="81"/>
  </cols>
  <sheetData>
    <row r="1" spans="1:5" ht="14" thickBot="1">
      <c r="A1" s="442" t="s">
        <v>177</v>
      </c>
      <c r="B1" s="443"/>
      <c r="C1" s="443"/>
      <c r="D1" s="443"/>
      <c r="E1" s="341" t="s">
        <v>399</v>
      </c>
    </row>
    <row r="2" spans="1:5" ht="14" thickBot="1">
      <c r="A2" s="82" t="s">
        <v>178</v>
      </c>
      <c r="B2" s="83" t="s">
        <v>179</v>
      </c>
      <c r="C2" s="84">
        <f>aarstal</f>
        <v>2026</v>
      </c>
      <c r="D2" s="85">
        <f>C2+1</f>
        <v>2027</v>
      </c>
    </row>
    <row r="3" spans="1:5">
      <c r="A3" s="86">
        <v>1</v>
      </c>
      <c r="B3" s="87" t="s">
        <v>180</v>
      </c>
      <c r="C3" s="88"/>
      <c r="D3" s="89"/>
    </row>
    <row r="4" spans="1:5">
      <c r="A4" s="86">
        <v>2</v>
      </c>
      <c r="B4" s="87" t="s">
        <v>930</v>
      </c>
      <c r="C4" s="90"/>
      <c r="D4" s="91"/>
    </row>
    <row r="5" spans="1:5">
      <c r="A5" s="86">
        <v>3</v>
      </c>
      <c r="B5" s="87" t="s">
        <v>181</v>
      </c>
      <c r="C5" s="92"/>
      <c r="D5" s="91"/>
    </row>
    <row r="6" spans="1:5">
      <c r="A6" s="86">
        <v>4</v>
      </c>
      <c r="B6" s="87" t="s">
        <v>182</v>
      </c>
      <c r="C6" s="92"/>
      <c r="D6" s="91"/>
    </row>
    <row r="7" spans="1:5">
      <c r="A7" s="86">
        <v>5</v>
      </c>
      <c r="B7" s="87" t="s">
        <v>183</v>
      </c>
      <c r="C7" s="92"/>
      <c r="D7" s="91"/>
    </row>
    <row r="8" spans="1:5">
      <c r="A8" s="86">
        <v>6</v>
      </c>
      <c r="B8" s="87" t="s">
        <v>184</v>
      </c>
      <c r="C8" s="92"/>
      <c r="D8" s="91"/>
    </row>
    <row r="9" spans="1:5">
      <c r="A9" s="86">
        <v>7</v>
      </c>
      <c r="B9" s="87" t="s">
        <v>185</v>
      </c>
      <c r="C9" s="92"/>
      <c r="D9" s="91"/>
    </row>
    <row r="10" spans="1:5">
      <c r="A10" s="86">
        <v>8</v>
      </c>
      <c r="B10" s="87" t="s">
        <v>928</v>
      </c>
      <c r="C10" s="92"/>
      <c r="D10" s="91"/>
    </row>
    <row r="11" spans="1:5">
      <c r="A11" s="86">
        <v>9</v>
      </c>
      <c r="B11" s="93" t="s">
        <v>988</v>
      </c>
      <c r="C11" s="92"/>
      <c r="D11" s="91"/>
    </row>
    <row r="12" spans="1:5">
      <c r="A12" s="86">
        <v>10</v>
      </c>
      <c r="B12" s="28" t="s">
        <v>417</v>
      </c>
      <c r="C12" s="92"/>
      <c r="D12" s="91"/>
    </row>
    <row r="13" spans="1:5">
      <c r="A13" s="86">
        <v>11</v>
      </c>
      <c r="B13" s="381" t="s">
        <v>405</v>
      </c>
      <c r="C13" s="92"/>
      <c r="D13" s="91"/>
    </row>
    <row r="14" spans="1:5">
      <c r="A14" s="86">
        <v>12</v>
      </c>
      <c r="B14" s="381" t="s">
        <v>929</v>
      </c>
      <c r="C14" s="92"/>
      <c r="D14" s="91"/>
    </row>
    <row r="15" spans="1:5">
      <c r="A15" s="86">
        <v>13</v>
      </c>
      <c r="B15" s="381"/>
      <c r="C15" s="92"/>
      <c r="D15" s="91"/>
    </row>
    <row r="16" spans="1:5">
      <c r="A16" s="86">
        <v>14</v>
      </c>
      <c r="B16" s="29"/>
      <c r="C16" s="92"/>
      <c r="D16" s="91"/>
    </row>
    <row r="17" spans="1:4" ht="14" thickBot="1">
      <c r="A17" s="86">
        <v>15</v>
      </c>
      <c r="B17" s="29"/>
      <c r="C17" s="92"/>
      <c r="D17" s="91"/>
    </row>
    <row r="18" spans="1:4" ht="14" thickBot="1">
      <c r="A18" s="94" t="s">
        <v>166</v>
      </c>
      <c r="B18" s="95" t="s">
        <v>186</v>
      </c>
      <c r="C18" s="96">
        <f>SUM(C3:C17)</f>
        <v>0</v>
      </c>
      <c r="D18" s="97">
        <f>SUM(D3:D17)</f>
        <v>0</v>
      </c>
    </row>
    <row r="19" spans="1:4">
      <c r="B19" s="81" t="str">
        <f>"Indtægterne i "&amp;D2&amp;" fordeles med 7/12 og 5/12"</f>
        <v>Indtægterne i 2027 fordeles med 7/12 og 5/12</v>
      </c>
    </row>
  </sheetData>
  <sheetProtection sheet="1" objects="1" scenarios="1" formatCells="0" formatColumns="0" formatRows="0"/>
  <hyperlinks>
    <hyperlink ref="E1" location="Budget!A1" display="til 'Budget'" xr:uid="{4525491E-92E4-F642-969E-D4D0D71D122B}"/>
  </hyperlinks>
  <pageMargins left="0.75" right="0.75" top="1" bottom="1" header="0.5" footer="0.5"/>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1"/>
  <sheetViews>
    <sheetView zoomScale="130" zoomScaleNormal="130" zoomScalePageLayoutView="150" workbookViewId="0">
      <selection activeCell="A14" sqref="A14:A16"/>
    </sheetView>
  </sheetViews>
  <sheetFormatPr baseColWidth="10" defaultColWidth="10.83203125" defaultRowHeight="13"/>
  <cols>
    <col min="1" max="1" width="9" style="1" customWidth="1"/>
    <col min="2" max="2" width="39.6640625" style="1" customWidth="1"/>
    <col min="3" max="6" width="10.83203125" style="1"/>
    <col min="7" max="7" width="12.5" style="1" customWidth="1"/>
    <col min="8" max="11" width="10.83203125" style="1"/>
    <col min="12" max="12" width="15.33203125" style="1" customWidth="1"/>
    <col min="13" max="14" width="10.83203125" style="1"/>
    <col min="15" max="16" width="12.33203125" style="1" bestFit="1" customWidth="1"/>
    <col min="17" max="16384" width="10.83203125" style="1"/>
  </cols>
  <sheetData>
    <row r="1" spans="1:16">
      <c r="A1" s="10" t="s">
        <v>187</v>
      </c>
    </row>
    <row r="2" spans="1:16" ht="14" thickBot="1">
      <c r="K2" s="111"/>
      <c r="L2" s="112">
        <v>1.2516</v>
      </c>
      <c r="M2" s="113" t="s">
        <v>193</v>
      </c>
      <c r="N2" s="113" t="s">
        <v>194</v>
      </c>
      <c r="O2" s="114"/>
      <c r="P2" s="115"/>
    </row>
    <row r="3" spans="1:16" ht="14">
      <c r="A3" s="1" t="s">
        <v>288</v>
      </c>
      <c r="K3" s="116">
        <v>1</v>
      </c>
      <c r="L3" s="117" t="s">
        <v>192</v>
      </c>
      <c r="M3" s="138">
        <f>TRUNC(O3*$L$2)</f>
        <v>479004</v>
      </c>
      <c r="N3" s="138">
        <f t="shared" ref="M3:N6" si="0">TRUNC(P3*$L$2)</f>
        <v>566440</v>
      </c>
      <c r="O3" s="568">
        <v>382714</v>
      </c>
      <c r="P3" s="569">
        <v>452573</v>
      </c>
    </row>
    <row r="4" spans="1:16" ht="14">
      <c r="A4" s="1" t="str">
        <f>"Da I har angivet, at i pr. 5. sep. forventeligt har "&amp;elevtal&amp;" elever, vil I kunne regne med ca. "&amp;TEXT(elevtal/13.5,"#0,0")&amp;" årsværk."</f>
        <v>Da I har angivet, at i pr. 5. sep. forventeligt har 0 elever, vil I kunne regne med ca. 0,0 årsværk.</v>
      </c>
      <c r="K4" s="116">
        <v>100</v>
      </c>
      <c r="L4" s="117" t="s">
        <v>195</v>
      </c>
      <c r="M4" s="138">
        <f t="shared" si="0"/>
        <v>515958</v>
      </c>
      <c r="N4" s="138">
        <f t="shared" si="0"/>
        <v>616516</v>
      </c>
      <c r="O4" s="570">
        <v>412239</v>
      </c>
      <c r="P4" s="571">
        <v>492583</v>
      </c>
    </row>
    <row r="5" spans="1:16" ht="14">
      <c r="A5" s="1" t="str">
        <f>"Da skolelederen (som regel) udgør det ene årsværk, er der "&amp;TEXT(elevtal/13.5-1,"#0,0")&amp;" årsværk til lærere og bhkl.ledere."</f>
        <v>Da skolelederen (som regel) udgør det ene årsværk, er der -1,0 årsværk til lærere og bhkl.ledere.</v>
      </c>
      <c r="K5" s="116">
        <v>350</v>
      </c>
      <c r="L5" s="117" t="s">
        <v>407</v>
      </c>
      <c r="M5" s="138">
        <f t="shared" si="0"/>
        <v>560522</v>
      </c>
      <c r="N5" s="138">
        <f t="shared" si="0"/>
        <v>672563</v>
      </c>
      <c r="O5" s="572">
        <v>447845</v>
      </c>
      <c r="P5" s="573">
        <v>537363</v>
      </c>
    </row>
    <row r="6" spans="1:16" ht="15" thickBot="1">
      <c r="K6" s="118">
        <v>700</v>
      </c>
      <c r="L6" s="344" t="s">
        <v>408</v>
      </c>
      <c r="M6" s="139">
        <f t="shared" si="0"/>
        <v>560522</v>
      </c>
      <c r="N6" s="139">
        <f t="shared" si="0"/>
        <v>741461</v>
      </c>
      <c r="O6" s="574">
        <v>447845</v>
      </c>
      <c r="P6" s="575">
        <v>592411</v>
      </c>
    </row>
    <row r="7" spans="1:16">
      <c r="A7" s="433" t="e">
        <f>"Lederlønnen skal aftales i et interval mellem "&amp;TEXT(VLOOKUP(elevtal,K3:N5,3,1),"#.000")&amp;" og "&amp;TEXT(VLOOKUP(elevtal,K3:N5,4,1),"#.000")&amp;" kr."</f>
        <v>#N/A</v>
      </c>
      <c r="B7" s="435"/>
      <c r="C7" s="435"/>
    </row>
    <row r="9" spans="1:16">
      <c r="A9" s="1" t="s">
        <v>191</v>
      </c>
      <c r="C9" s="98"/>
      <c r="D9" s="119" t="str">
        <f>"+ pension"</f>
        <v>+ pension</v>
      </c>
      <c r="E9" s="16">
        <f>C9*17.3%</f>
        <v>0</v>
      </c>
      <c r="F9" s="1" t="s">
        <v>235</v>
      </c>
    </row>
    <row r="10" spans="1:16">
      <c r="A10" s="1" t="s">
        <v>197</v>
      </c>
      <c r="C10" s="16"/>
      <c r="D10" s="119"/>
      <c r="E10" s="16"/>
    </row>
    <row r="12" spans="1:16">
      <c r="A12" s="435" t="str">
        <f>"En gennemsnitlig mdl. udgift til en lærer i "&amp;aarstal&amp;" er ca.:"</f>
        <v>En gennemsnitlig mdl. udgift til en lærer i 2026 er ca.:</v>
      </c>
      <c r="B12" s="435"/>
      <c r="C12" s="99">
        <v>44500</v>
      </c>
      <c r="D12" s="16" t="s">
        <v>196</v>
      </c>
      <c r="E12" s="16"/>
      <c r="F12" s="16"/>
      <c r="G12" s="16"/>
      <c r="H12" s="16"/>
    </row>
    <row r="13" spans="1:16" ht="47" customHeight="1">
      <c r="A13" s="4" t="s">
        <v>188</v>
      </c>
      <c r="C13" s="100" t="s">
        <v>189</v>
      </c>
      <c r="D13" s="100" t="s">
        <v>190</v>
      </c>
      <c r="E13" s="100" t="str">
        <f>"+ Leder"</f>
        <v>+ Leder</v>
      </c>
      <c r="F13" s="100" t="s">
        <v>234</v>
      </c>
      <c r="G13" s="356" t="s">
        <v>416</v>
      </c>
      <c r="H13" s="11" t="s">
        <v>415</v>
      </c>
      <c r="J13" s="141" t="s">
        <v>279</v>
      </c>
      <c r="K13" s="141" t="s">
        <v>280</v>
      </c>
      <c r="L13" s="142" t="s">
        <v>285</v>
      </c>
    </row>
    <row r="14" spans="1:16">
      <c r="A14" s="7"/>
      <c r="B14" s="1" t="str">
        <f>"aug - dec "&amp;aarstal</f>
        <v>aug - dec 2026</v>
      </c>
      <c r="C14" s="100">
        <v>5</v>
      </c>
      <c r="D14" s="120">
        <f>A14*C14*$C$12</f>
        <v>0</v>
      </c>
      <c r="E14" s="99">
        <f>(C9+E9)*5/12</f>
        <v>0</v>
      </c>
      <c r="F14" s="121">
        <f>SUM(D14:E14)</f>
        <v>0</v>
      </c>
      <c r="G14" s="357">
        <f>(2.08*5-5)+(0.42*5)</f>
        <v>7.5</v>
      </c>
      <c r="H14" s="121">
        <f>(D14+E14)/5/21*(3.32+2.1)+((D14+E14)/5*4*2.02%)</f>
        <v>0</v>
      </c>
      <c r="I14" s="16" t="s">
        <v>144</v>
      </c>
      <c r="J14" s="140">
        <f>F14/5*5*4.62%</f>
        <v>0</v>
      </c>
      <c r="K14" s="140">
        <f>(F14-J14)*15%</f>
        <v>0</v>
      </c>
      <c r="L14" s="140">
        <f>F14-J14+K14</f>
        <v>0</v>
      </c>
      <c r="M14" s="137"/>
      <c r="N14" s="122"/>
    </row>
    <row r="15" spans="1:16">
      <c r="A15" s="7"/>
      <c r="B15" s="1" t="str">
        <f>"jan - jul "&amp;aarstal+1</f>
        <v>jan - jul 2027</v>
      </c>
      <c r="C15" s="100">
        <v>7</v>
      </c>
      <c r="D15" s="120">
        <f>A15*C15*$C$12</f>
        <v>0</v>
      </c>
      <c r="E15" s="99">
        <f>(C9+E9)*7/12</f>
        <v>0</v>
      </c>
      <c r="F15" s="121">
        <f>SUM(D15:E15)</f>
        <v>0</v>
      </c>
      <c r="G15" s="358"/>
      <c r="H15" s="121"/>
      <c r="I15" s="16" t="s">
        <v>144</v>
      </c>
      <c r="J15" s="140">
        <f>F15/7*4.6*4.62%</f>
        <v>0</v>
      </c>
      <c r="K15" s="140"/>
      <c r="L15" s="140">
        <f>F15-J15+K15</f>
        <v>0</v>
      </c>
      <c r="M15" s="137"/>
      <c r="N15" s="122"/>
    </row>
    <row r="16" spans="1:16">
      <c r="A16" s="7"/>
      <c r="B16" s="1" t="str">
        <f>"aug - dec "&amp;aarstal+1</f>
        <v>aug - dec 2027</v>
      </c>
      <c r="C16" s="100">
        <v>5</v>
      </c>
      <c r="D16" s="120">
        <f>A16*C16*$C$12</f>
        <v>0</v>
      </c>
      <c r="E16" s="99">
        <f>(C9+E9)*5/12</f>
        <v>0</v>
      </c>
      <c r="F16" s="121">
        <f>SUM(D16:E16)</f>
        <v>0</v>
      </c>
      <c r="G16" s="357">
        <v>10.42</v>
      </c>
      <c r="H16" s="121">
        <f>(F15+F16)/12/21*(3.32+5+2.1)+((F15+F16)/12*4*2.02%)</f>
        <v>0</v>
      </c>
      <c r="I16" s="16" t="s">
        <v>144</v>
      </c>
      <c r="J16" s="140">
        <f>F16/5*5*4.62%</f>
        <v>0</v>
      </c>
      <c r="K16" s="140">
        <f>(F15+F16-J15-J16)*15%-K14</f>
        <v>0</v>
      </c>
      <c r="L16" s="140">
        <f>F16-J16+K16</f>
        <v>0</v>
      </c>
      <c r="M16" s="137"/>
      <c r="N16" s="122"/>
    </row>
    <row r="17" spans="1:8">
      <c r="A17" s="4"/>
      <c r="C17" s="100"/>
      <c r="D17" s="16"/>
      <c r="E17" s="16"/>
      <c r="F17" s="16"/>
      <c r="G17" s="16"/>
      <c r="H17" s="16"/>
    </row>
    <row r="18" spans="1:8">
      <c r="A18" s="35"/>
      <c r="C18" s="16"/>
      <c r="D18" s="16"/>
      <c r="E18" s="16"/>
      <c r="F18" s="341" t="s">
        <v>399</v>
      </c>
      <c r="G18" s="341"/>
      <c r="H18" s="16"/>
    </row>
    <row r="19" spans="1:8">
      <c r="C19" s="16"/>
      <c r="D19" s="16"/>
      <c r="E19" s="16"/>
      <c r="F19" s="16"/>
      <c r="G19" s="16"/>
      <c r="H19" s="16"/>
    </row>
    <row r="20" spans="1:8">
      <c r="C20" s="16"/>
      <c r="D20" s="16"/>
      <c r="E20" s="16"/>
      <c r="F20" s="16"/>
      <c r="G20" s="16"/>
      <c r="H20" s="16"/>
    </row>
    <row r="21" spans="1:8">
      <c r="C21" s="16"/>
      <c r="D21" s="16"/>
      <c r="E21" s="16"/>
      <c r="F21" s="16"/>
      <c r="G21" s="16"/>
      <c r="H21" s="16"/>
    </row>
    <row r="22" spans="1:8">
      <c r="C22" s="16"/>
      <c r="D22" s="16"/>
      <c r="E22" s="16"/>
      <c r="F22" s="16"/>
      <c r="G22" s="16"/>
      <c r="H22" s="16"/>
    </row>
    <row r="23" spans="1:8">
      <c r="C23" s="16"/>
      <c r="D23" s="16"/>
      <c r="E23" s="16"/>
      <c r="F23" s="16"/>
      <c r="G23" s="16"/>
      <c r="H23" s="16"/>
    </row>
    <row r="24" spans="1:8">
      <c r="C24" s="16"/>
      <c r="D24" s="16"/>
      <c r="E24" s="16"/>
      <c r="F24" s="16"/>
      <c r="G24" s="16"/>
      <c r="H24" s="16"/>
    </row>
    <row r="25" spans="1:8">
      <c r="C25" s="16"/>
      <c r="D25" s="16"/>
      <c r="E25" s="16"/>
      <c r="F25" s="16"/>
      <c r="G25" s="16"/>
      <c r="H25" s="16"/>
    </row>
    <row r="26" spans="1:8">
      <c r="C26" s="16"/>
      <c r="D26" s="16"/>
      <c r="E26" s="16"/>
      <c r="F26" s="16"/>
      <c r="G26" s="16"/>
      <c r="H26" s="16"/>
    </row>
    <row r="27" spans="1:8">
      <c r="C27" s="16"/>
      <c r="D27" s="16"/>
      <c r="E27" s="16"/>
      <c r="F27" s="16"/>
      <c r="G27" s="16"/>
      <c r="H27" s="16"/>
    </row>
    <row r="28" spans="1:8">
      <c r="C28" s="16"/>
      <c r="D28" s="16"/>
      <c r="E28" s="16"/>
      <c r="F28" s="16"/>
      <c r="G28" s="16"/>
      <c r="H28" s="16"/>
    </row>
    <row r="29" spans="1:8">
      <c r="C29" s="16"/>
      <c r="D29" s="16"/>
      <c r="E29" s="16"/>
      <c r="F29" s="16"/>
      <c r="G29" s="16"/>
      <c r="H29" s="16"/>
    </row>
    <row r="30" spans="1:8">
      <c r="C30" s="16"/>
      <c r="D30" s="16"/>
      <c r="E30" s="16"/>
      <c r="F30" s="16"/>
      <c r="G30" s="16"/>
      <c r="H30" s="16"/>
    </row>
    <row r="31" spans="1:8">
      <c r="C31" s="16"/>
      <c r="D31" s="16"/>
      <c r="E31" s="16"/>
      <c r="F31" s="16"/>
      <c r="G31" s="16"/>
      <c r="H31" s="16"/>
    </row>
  </sheetData>
  <sheetProtection sheet="1" formatCells="0" formatColumns="0" formatRows="0"/>
  <hyperlinks>
    <hyperlink ref="F18" location="Budget!A1" display="til 'Budget'" xr:uid="{07B1E9D6-838C-A64A-B3FF-EB08CD88A4E9}"/>
  </hyperlinks>
  <pageMargins left="0.75" right="0.75" top="1" bottom="1" header="0.5" footer="0.5"/>
  <pageSetup paperSize="9" orientation="portrait" horizontalDpi="0" verticalDpi="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8"/>
  <sheetViews>
    <sheetView zoomScale="150" zoomScaleNormal="150" zoomScalePageLayoutView="150" workbookViewId="0">
      <selection activeCell="C28" sqref="C28:C30"/>
    </sheetView>
  </sheetViews>
  <sheetFormatPr baseColWidth="10" defaultColWidth="10.83203125" defaultRowHeight="13"/>
  <cols>
    <col min="1" max="1" width="19.33203125" style="1" customWidth="1"/>
    <col min="2" max="2" width="13.6640625" style="1" customWidth="1"/>
    <col min="3" max="3" width="10.83203125" style="1"/>
    <col min="4" max="4" width="14.1640625" style="1" customWidth="1"/>
    <col min="5" max="5" width="10.83203125" style="1"/>
    <col min="6" max="6" width="11.6640625" style="1" customWidth="1"/>
    <col min="7" max="16384" width="10.83203125" style="1"/>
  </cols>
  <sheetData>
    <row r="1" spans="1:6">
      <c r="A1" s="1" t="s">
        <v>199</v>
      </c>
    </row>
    <row r="2" spans="1:6">
      <c r="A2" s="1" t="s">
        <v>198</v>
      </c>
    </row>
    <row r="4" spans="1:6">
      <c r="A4" s="1" t="s">
        <v>989</v>
      </c>
    </row>
    <row r="5" spans="1:6">
      <c r="A5" s="1" t="s">
        <v>281</v>
      </c>
    </row>
    <row r="7" spans="1:6">
      <c r="A7" s="433" t="str">
        <f>"Skoleåret "&amp;aarstal&amp;"/"&amp;aarstal+1</f>
        <v>Skoleåret 2026/2027</v>
      </c>
      <c r="B7" s="435"/>
      <c r="C7" s="435"/>
      <c r="D7" s="441" t="s">
        <v>207</v>
      </c>
      <c r="E7" s="441" t="s">
        <v>204</v>
      </c>
      <c r="F7" s="341" t="s">
        <v>399</v>
      </c>
    </row>
    <row r="8" spans="1:6">
      <c r="A8" s="105" t="s">
        <v>202</v>
      </c>
      <c r="B8" s="33"/>
      <c r="C8" s="33"/>
      <c r="D8" s="7"/>
      <c r="E8" s="7"/>
    </row>
    <row r="9" spans="1:6">
      <c r="A9" s="105" t="s">
        <v>203</v>
      </c>
      <c r="B9" s="33"/>
      <c r="C9" s="33"/>
      <c r="D9" s="7"/>
      <c r="E9" s="7"/>
    </row>
    <row r="10" spans="1:6">
      <c r="A10" s="105" t="s">
        <v>273</v>
      </c>
      <c r="B10" s="33"/>
      <c r="C10" s="33"/>
      <c r="D10" s="7"/>
    </row>
    <row r="12" spans="1:6">
      <c r="A12" s="435" t="str">
        <f>"Skoleåret "&amp;aarstal+1&amp;"/"&amp;aarstal+2</f>
        <v>Skoleåret 2027/2028</v>
      </c>
      <c r="B12" s="435"/>
      <c r="C12" s="435"/>
      <c r="D12" s="435"/>
      <c r="E12" s="435"/>
    </row>
    <row r="13" spans="1:6">
      <c r="A13" s="105" t="s">
        <v>202</v>
      </c>
      <c r="B13" s="33"/>
      <c r="C13" s="33"/>
      <c r="D13" s="7"/>
      <c r="E13" s="7"/>
    </row>
    <row r="14" spans="1:6">
      <c r="A14" s="105" t="s">
        <v>203</v>
      </c>
      <c r="B14" s="33"/>
      <c r="C14" s="33"/>
      <c r="D14" s="7"/>
      <c r="E14" s="7"/>
    </row>
    <row r="15" spans="1:6">
      <c r="A15" s="105" t="s">
        <v>205</v>
      </c>
      <c r="B15" s="33"/>
      <c r="C15" s="33"/>
      <c r="D15" s="7"/>
    </row>
    <row r="17" spans="1:12">
      <c r="A17" s="1" t="s">
        <v>208</v>
      </c>
    </row>
    <row r="18" spans="1:12">
      <c r="A18" s="1" t="s">
        <v>282</v>
      </c>
    </row>
    <row r="20" spans="1:12">
      <c r="B20" s="4" t="s">
        <v>201</v>
      </c>
      <c r="C20" s="4" t="s">
        <v>206</v>
      </c>
    </row>
    <row r="21" spans="1:12">
      <c r="A21" s="105" t="str">
        <f>"aug. "&amp;aarstal&amp;" - jan. "&amp;aarstal+1</f>
        <v>aug. 2026 - jan. 2027</v>
      </c>
      <c r="B21" s="106">
        <f>('4.Foraeldrebetaling,SFO'!E8+'4.Foraeldrebetaling,SFO'!E15)/2</f>
        <v>0</v>
      </c>
      <c r="C21" s="107" t="e">
        <f>ROUND(MAX(D8/1449*E8+D9/1449*E9,B21/$D$10),4)</f>
        <v>#DIV/0!</v>
      </c>
      <c r="D21" s="33" t="s">
        <v>215</v>
      </c>
    </row>
    <row r="22" spans="1:12">
      <c r="A22" s="105" t="str">
        <f>"aug. - dec. "&amp;aarstal+1</f>
        <v>aug. - dec. 2027</v>
      </c>
      <c r="B22" s="106">
        <f>'4.Foraeldrebetaling,SFO'!E22</f>
        <v>0</v>
      </c>
      <c r="C22" s="107" t="e">
        <f>ROUND(MAX(D13/1449*E13+D14/1449*E14,B22/$D$15),4)</f>
        <v>#DIV/0!</v>
      </c>
      <c r="D22" s="33" t="s">
        <v>215</v>
      </c>
    </row>
    <row r="23" spans="1:12">
      <c r="A23" s="35" t="s">
        <v>200</v>
      </c>
    </row>
    <row r="25" spans="1:12">
      <c r="A25" s="433" t="s">
        <v>214</v>
      </c>
      <c r="B25" s="435"/>
      <c r="C25" s="441" t="s">
        <v>215</v>
      </c>
      <c r="D25" s="441" t="s">
        <v>995</v>
      </c>
      <c r="E25" s="441" t="s">
        <v>216</v>
      </c>
      <c r="I25" s="563"/>
      <c r="J25" s="563"/>
      <c r="K25" s="563"/>
      <c r="L25" s="563"/>
    </row>
    <row r="26" spans="1:12">
      <c r="A26" s="105" t="s">
        <v>209</v>
      </c>
      <c r="B26" s="33"/>
      <c r="C26" s="123"/>
      <c r="D26" s="108">
        <v>41800</v>
      </c>
      <c r="E26" s="106">
        <f>C26*D26</f>
        <v>0</v>
      </c>
      <c r="I26" s="563">
        <v>31</v>
      </c>
      <c r="J26" s="563">
        <v>40</v>
      </c>
      <c r="K26" s="564">
        <v>31500</v>
      </c>
      <c r="L26" s="564">
        <v>37200</v>
      </c>
    </row>
    <row r="27" spans="1:12">
      <c r="A27" s="105" t="s">
        <v>210</v>
      </c>
      <c r="B27" s="33"/>
      <c r="C27" s="123"/>
      <c r="D27" s="108">
        <v>32600</v>
      </c>
      <c r="E27" s="106">
        <f t="shared" ref="E27:E30" si="0">C27*D27</f>
        <v>0</v>
      </c>
      <c r="I27" s="563">
        <v>22</v>
      </c>
      <c r="J27" s="563">
        <v>27</v>
      </c>
      <c r="K27" s="564">
        <v>28450</v>
      </c>
      <c r="L27" s="564">
        <v>33000</v>
      </c>
    </row>
    <row r="28" spans="1:12">
      <c r="A28" s="105" t="s">
        <v>211</v>
      </c>
      <c r="B28" s="33"/>
      <c r="C28" s="123"/>
      <c r="D28" s="108">
        <v>40300</v>
      </c>
      <c r="E28" s="106">
        <f t="shared" si="0"/>
        <v>0</v>
      </c>
      <c r="I28" s="563">
        <v>29</v>
      </c>
      <c r="J28" s="563">
        <v>38</v>
      </c>
      <c r="K28" s="564">
        <v>30600</v>
      </c>
      <c r="L28" s="564">
        <v>36100</v>
      </c>
    </row>
    <row r="29" spans="1:12">
      <c r="A29" s="105" t="s">
        <v>212</v>
      </c>
      <c r="B29" s="33"/>
      <c r="C29" s="123"/>
      <c r="D29" s="108">
        <v>29800</v>
      </c>
      <c r="E29" s="106">
        <f t="shared" si="0"/>
        <v>0</v>
      </c>
      <c r="I29" s="563">
        <v>16</v>
      </c>
      <c r="J29" s="563">
        <v>21</v>
      </c>
      <c r="K29" s="564">
        <v>25900</v>
      </c>
      <c r="L29" s="564">
        <v>28100</v>
      </c>
    </row>
    <row r="30" spans="1:12">
      <c r="A30" s="105" t="s">
        <v>213</v>
      </c>
      <c r="B30" s="33"/>
      <c r="C30" s="123"/>
      <c r="D30" s="108">
        <v>46200</v>
      </c>
      <c r="E30" s="106">
        <f t="shared" si="0"/>
        <v>0</v>
      </c>
      <c r="I30" s="563">
        <v>40</v>
      </c>
      <c r="J30" s="563">
        <v>48</v>
      </c>
      <c r="K30" s="564">
        <v>40650</v>
      </c>
      <c r="L30" s="564">
        <v>50960</v>
      </c>
    </row>
    <row r="31" spans="1:12">
      <c r="A31" s="5" t="s">
        <v>217</v>
      </c>
      <c r="E31" s="109">
        <f>SUM(E26:E30)</f>
        <v>0</v>
      </c>
      <c r="L31" s="563"/>
    </row>
    <row r="32" spans="1:12">
      <c r="F32" s="100"/>
    </row>
    <row r="33" spans="2:7" ht="33">
      <c r="C33" s="100" t="s">
        <v>189</v>
      </c>
      <c r="D33" s="100" t="s">
        <v>283</v>
      </c>
      <c r="E33" s="359" t="s">
        <v>416</v>
      </c>
      <c r="F33" s="11" t="s">
        <v>415</v>
      </c>
      <c r="G33" s="16"/>
    </row>
    <row r="34" spans="2:7">
      <c r="B34" s="33" t="str">
        <f>"aug - dec "&amp;aarstal</f>
        <v>aug - dec 2026</v>
      </c>
      <c r="C34" s="110">
        <v>5</v>
      </c>
      <c r="D34" s="99">
        <f>C34*$E$31</f>
        <v>0</v>
      </c>
      <c r="E34" s="357">
        <f>(2.08*5-5)+(0.42*5)</f>
        <v>7.5</v>
      </c>
      <c r="F34" s="121">
        <f>D34/5/21*(5.4+2.1)+D34/5*4*2.02%</f>
        <v>0</v>
      </c>
      <c r="G34" s="16" t="s">
        <v>144</v>
      </c>
    </row>
    <row r="35" spans="2:7">
      <c r="B35" s="33" t="str">
        <f>"jan - jul "&amp;aarstal+1</f>
        <v>jan - jul 2027</v>
      </c>
      <c r="C35" s="110">
        <v>7</v>
      </c>
      <c r="D35" s="99">
        <f>C35*$E$31</f>
        <v>0</v>
      </c>
      <c r="E35" s="358"/>
      <c r="F35" s="121"/>
      <c r="G35" s="16" t="s">
        <v>144</v>
      </c>
    </row>
    <row r="36" spans="2:7">
      <c r="B36" s="33" t="str">
        <f>"aug - dec "&amp;aarstal+1</f>
        <v>aug - dec 2027</v>
      </c>
      <c r="C36" s="110">
        <v>5</v>
      </c>
      <c r="D36" s="99" t="e">
        <f>C36*$E$31/C21*C22</f>
        <v>#DIV/0!</v>
      </c>
      <c r="E36" s="357">
        <v>10.42</v>
      </c>
      <c r="F36" s="121" t="e">
        <f>(D35+D36)/12/21*(3.32+5+2.1)+((D35+D36)/12*4*2.02%)</f>
        <v>#DIV/0!</v>
      </c>
      <c r="G36" s="16" t="s">
        <v>144</v>
      </c>
    </row>
    <row r="38" spans="2:7">
      <c r="B38" s="341" t="s">
        <v>399</v>
      </c>
    </row>
  </sheetData>
  <sheetProtection sheet="1" formatCells="0" formatColumns="0" formatRows="0"/>
  <hyperlinks>
    <hyperlink ref="B38" location="'8.Loen,SFO'!A1" display="til 'Budget'" xr:uid="{00000000-0004-0000-0A00-000000000000}"/>
    <hyperlink ref="F7" location="Budget!A1" display="til 'Budget'" xr:uid="{FF7F607C-80F0-4940-9577-1CAB738AC325}"/>
  </hyperlinks>
  <pageMargins left="0.75" right="0.75" top="1" bottom="1" header="0.5" footer="0.5"/>
  <pageSetup paperSize="9" orientation="portrait" horizontalDpi="0" verticalDpi="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0"/>
  <sheetViews>
    <sheetView zoomScale="150" zoomScaleNormal="150" zoomScalePageLayoutView="150" workbookViewId="0">
      <selection activeCell="E7" sqref="E7"/>
    </sheetView>
  </sheetViews>
  <sheetFormatPr baseColWidth="10" defaultColWidth="10.83203125" defaultRowHeight="13"/>
  <cols>
    <col min="1" max="1" width="6.83203125" style="1" customWidth="1"/>
    <col min="2" max="2" width="28.33203125" style="1" customWidth="1"/>
    <col min="3" max="16384" width="10.83203125" style="1"/>
  </cols>
  <sheetData>
    <row r="1" spans="1:5">
      <c r="A1" s="435" t="s">
        <v>218</v>
      </c>
      <c r="B1" s="435"/>
      <c r="C1" s="435"/>
      <c r="D1" s="435"/>
      <c r="E1" s="341" t="s">
        <v>399</v>
      </c>
    </row>
    <row r="2" spans="1:5" ht="14" thickBot="1">
      <c r="A2" s="1" t="s">
        <v>219</v>
      </c>
    </row>
    <row r="3" spans="1:5" ht="14" thickBot="1">
      <c r="A3" s="124" t="s">
        <v>178</v>
      </c>
      <c r="B3" s="125" t="s">
        <v>179</v>
      </c>
      <c r="C3" s="126">
        <f>aarstal</f>
        <v>2026</v>
      </c>
      <c r="D3" s="127">
        <f>C3+1</f>
        <v>2027</v>
      </c>
    </row>
    <row r="4" spans="1:5">
      <c r="A4" s="128">
        <v>1</v>
      </c>
      <c r="B4" s="87" t="s">
        <v>221</v>
      </c>
      <c r="C4" s="88"/>
      <c r="D4" s="89"/>
      <c r="E4" s="35"/>
    </row>
    <row r="5" spans="1:5">
      <c r="A5" s="128">
        <v>2</v>
      </c>
      <c r="B5" s="87" t="s">
        <v>552</v>
      </c>
      <c r="C5" s="90"/>
      <c r="D5" s="91"/>
      <c r="E5" s="35"/>
    </row>
    <row r="6" spans="1:5">
      <c r="A6" s="128">
        <v>3</v>
      </c>
      <c r="B6" s="87" t="s">
        <v>931</v>
      </c>
      <c r="C6" s="92"/>
      <c r="D6" s="91"/>
      <c r="E6" s="35" t="str">
        <f>"Copydan-afgift er i "&amp;aarstal&amp;" ca. 290 kr. pr. elev. Der betales dog først i "&amp;aarstal+1</f>
        <v>Copydan-afgift er i 2026 ca. 290 kr. pr. elev. Der betales dog først i 2027</v>
      </c>
    </row>
    <row r="7" spans="1:5">
      <c r="A7" s="128">
        <v>4</v>
      </c>
      <c r="B7" s="87" t="s">
        <v>932</v>
      </c>
      <c r="C7" s="92"/>
      <c r="D7" s="91"/>
      <c r="E7" s="35"/>
    </row>
    <row r="8" spans="1:5">
      <c r="A8" s="128">
        <v>5</v>
      </c>
      <c r="B8" s="87" t="s">
        <v>226</v>
      </c>
      <c r="C8" s="92"/>
      <c r="D8" s="91"/>
      <c r="E8" s="35"/>
    </row>
    <row r="9" spans="1:5">
      <c r="A9" s="128">
        <v>6</v>
      </c>
      <c r="B9" s="87" t="s">
        <v>567</v>
      </c>
      <c r="C9" s="92"/>
      <c r="D9" s="91"/>
      <c r="E9" s="35"/>
    </row>
    <row r="10" spans="1:5">
      <c r="A10" s="128">
        <v>7</v>
      </c>
      <c r="B10" s="87" t="s">
        <v>933</v>
      </c>
      <c r="C10" s="92"/>
      <c r="D10" s="91"/>
      <c r="E10" s="35"/>
    </row>
    <row r="11" spans="1:5">
      <c r="A11" s="128">
        <v>8</v>
      </c>
      <c r="B11" s="87" t="s">
        <v>934</v>
      </c>
      <c r="C11" s="92"/>
      <c r="D11" s="91"/>
      <c r="E11" s="35"/>
    </row>
    <row r="12" spans="1:5">
      <c r="A12" s="128">
        <v>9</v>
      </c>
      <c r="B12" s="93" t="s">
        <v>935</v>
      </c>
      <c r="C12" s="92"/>
      <c r="D12" s="91"/>
      <c r="E12" s="35"/>
    </row>
    <row r="13" spans="1:5">
      <c r="A13" s="128">
        <v>10</v>
      </c>
      <c r="B13" s="28" t="s">
        <v>936</v>
      </c>
      <c r="C13" s="92"/>
      <c r="D13" s="91"/>
      <c r="E13" s="35"/>
    </row>
    <row r="14" spans="1:5">
      <c r="A14" s="128">
        <v>11</v>
      </c>
      <c r="B14" s="28" t="s">
        <v>937</v>
      </c>
      <c r="C14" s="92"/>
      <c r="D14" s="91"/>
      <c r="E14" s="35"/>
    </row>
    <row r="15" spans="1:5">
      <c r="A15" s="128">
        <v>12</v>
      </c>
      <c r="B15" s="28" t="s">
        <v>565</v>
      </c>
      <c r="C15" s="92"/>
      <c r="D15" s="91"/>
      <c r="E15" s="35"/>
    </row>
    <row r="16" spans="1:5">
      <c r="A16" s="128">
        <v>13</v>
      </c>
      <c r="B16" s="28"/>
      <c r="C16" s="92"/>
      <c r="D16" s="91"/>
      <c r="E16" s="35"/>
    </row>
    <row r="17" spans="1:5">
      <c r="A17" s="128">
        <v>14</v>
      </c>
      <c r="B17" s="28" t="s">
        <v>939</v>
      </c>
      <c r="C17" s="92"/>
      <c r="D17" s="91"/>
      <c r="E17" s="35" t="s">
        <v>406</v>
      </c>
    </row>
    <row r="18" spans="1:5" ht="14" thickBot="1">
      <c r="A18" s="128">
        <v>15</v>
      </c>
      <c r="B18" s="30" t="s">
        <v>940</v>
      </c>
      <c r="C18" s="92"/>
      <c r="D18" s="343"/>
      <c r="E18" s="35"/>
    </row>
    <row r="19" spans="1:5" ht="14" thickBot="1">
      <c r="A19" s="129" t="s">
        <v>166</v>
      </c>
      <c r="B19" s="130" t="s">
        <v>225</v>
      </c>
      <c r="C19" s="131">
        <f>SUM(C4:C18)</f>
        <v>0</v>
      </c>
      <c r="D19" s="132">
        <f>SUM(D4:D18)</f>
        <v>0</v>
      </c>
    </row>
    <row r="20" spans="1:5">
      <c r="B20" s="1" t="str">
        <f>"Udgifterne i "&amp;D3&amp;" fordeles med 7/12 og 5/12"</f>
        <v>Udgifterne i 2027 fordeles med 7/12 og 5/12</v>
      </c>
    </row>
  </sheetData>
  <sheetProtection sheet="1" objects="1" scenarios="1" formatCells="0" formatColumns="0" formatRows="0"/>
  <hyperlinks>
    <hyperlink ref="E1" location="Budget!A1" display="til 'Budget'" xr:uid="{00000000-0004-0000-0B00-000000000000}"/>
  </hyperlinks>
  <pageMargins left="0.75" right="0.75" top="1" bottom="1" header="0.5" footer="0.5"/>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0"/>
  <sheetViews>
    <sheetView zoomScale="150" zoomScaleNormal="150" zoomScalePageLayoutView="150" workbookViewId="0">
      <selection activeCell="E6" sqref="E6"/>
    </sheetView>
  </sheetViews>
  <sheetFormatPr baseColWidth="10" defaultColWidth="10.83203125" defaultRowHeight="13"/>
  <cols>
    <col min="1" max="1" width="7.5" style="1" customWidth="1"/>
    <col min="2" max="2" width="31.83203125" style="1" customWidth="1"/>
    <col min="3" max="16384" width="10.83203125" style="1"/>
  </cols>
  <sheetData>
    <row r="1" spans="1:5">
      <c r="A1" s="435" t="s">
        <v>271</v>
      </c>
      <c r="B1" s="435"/>
      <c r="C1" s="435"/>
      <c r="D1" s="435"/>
      <c r="E1" s="341" t="s">
        <v>399</v>
      </c>
    </row>
    <row r="2" spans="1:5" ht="14" thickBot="1">
      <c r="A2" s="1" t="s">
        <v>219</v>
      </c>
    </row>
    <row r="3" spans="1:5" ht="14" thickBot="1">
      <c r="A3" s="124" t="s">
        <v>178</v>
      </c>
      <c r="B3" s="125" t="s">
        <v>179</v>
      </c>
      <c r="C3" s="126">
        <f>aarstal</f>
        <v>2026</v>
      </c>
      <c r="D3" s="127">
        <f>C3+1</f>
        <v>2027</v>
      </c>
    </row>
    <row r="4" spans="1:5">
      <c r="A4" s="128">
        <v>1</v>
      </c>
      <c r="B4" s="87" t="s">
        <v>227</v>
      </c>
      <c r="C4" s="88"/>
      <c r="D4" s="89"/>
      <c r="E4" s="35"/>
    </row>
    <row r="5" spans="1:5">
      <c r="A5" s="128">
        <v>2</v>
      </c>
      <c r="B5" s="87" t="s">
        <v>229</v>
      </c>
      <c r="C5" s="90"/>
      <c r="D5" s="91"/>
      <c r="E5" s="35"/>
    </row>
    <row r="6" spans="1:5">
      <c r="A6" s="128">
        <v>3</v>
      </c>
      <c r="B6" s="87" t="s">
        <v>220</v>
      </c>
      <c r="C6" s="92"/>
      <c r="D6" s="91"/>
      <c r="E6" s="35"/>
    </row>
    <row r="7" spans="1:5">
      <c r="A7" s="128">
        <v>4</v>
      </c>
      <c r="B7" s="87" t="s">
        <v>222</v>
      </c>
      <c r="C7" s="92"/>
      <c r="D7" s="91"/>
      <c r="E7" s="35"/>
    </row>
    <row r="8" spans="1:5">
      <c r="A8" s="128">
        <v>5</v>
      </c>
      <c r="B8" s="87" t="s">
        <v>223</v>
      </c>
      <c r="C8" s="92"/>
      <c r="D8" s="91"/>
      <c r="E8" s="35"/>
    </row>
    <row r="9" spans="1:5">
      <c r="A9" s="128">
        <v>6</v>
      </c>
      <c r="B9" s="87" t="s">
        <v>224</v>
      </c>
      <c r="C9" s="92"/>
      <c r="D9" s="91"/>
      <c r="E9" s="35"/>
    </row>
    <row r="10" spans="1:5">
      <c r="A10" s="128">
        <v>7</v>
      </c>
      <c r="B10" s="87" t="s">
        <v>224</v>
      </c>
      <c r="C10" s="92"/>
      <c r="D10" s="91"/>
      <c r="E10" s="35"/>
    </row>
    <row r="11" spans="1:5">
      <c r="A11" s="128">
        <v>8</v>
      </c>
      <c r="B11" s="87" t="s">
        <v>228</v>
      </c>
      <c r="C11" s="92"/>
      <c r="D11" s="91"/>
      <c r="E11" s="35"/>
    </row>
    <row r="12" spans="1:5">
      <c r="A12" s="128">
        <v>9</v>
      </c>
      <c r="B12" s="93" t="s">
        <v>230</v>
      </c>
      <c r="C12" s="92"/>
      <c r="D12" s="91"/>
      <c r="E12" s="35"/>
    </row>
    <row r="13" spans="1:5">
      <c r="A13" s="128">
        <v>10</v>
      </c>
      <c r="B13" s="30"/>
      <c r="C13" s="92"/>
      <c r="D13" s="91"/>
      <c r="E13" s="35"/>
    </row>
    <row r="14" spans="1:5">
      <c r="A14" s="128">
        <v>11</v>
      </c>
      <c r="B14" s="30"/>
      <c r="C14" s="92"/>
      <c r="D14" s="91"/>
      <c r="E14" s="35"/>
    </row>
    <row r="15" spans="1:5">
      <c r="A15" s="128">
        <v>12</v>
      </c>
      <c r="B15" s="30"/>
      <c r="C15" s="92"/>
      <c r="D15" s="91"/>
      <c r="E15" s="35"/>
    </row>
    <row r="16" spans="1:5">
      <c r="A16" s="128">
        <v>13</v>
      </c>
      <c r="B16" s="30"/>
      <c r="C16" s="92"/>
      <c r="D16" s="91"/>
      <c r="E16" s="35"/>
    </row>
    <row r="17" spans="1:5">
      <c r="A17" s="128">
        <v>14</v>
      </c>
      <c r="B17" s="30"/>
      <c r="C17" s="92"/>
      <c r="D17" s="91"/>
      <c r="E17" s="35"/>
    </row>
    <row r="18" spans="1:5" ht="14" thickBot="1">
      <c r="A18" s="128">
        <v>15</v>
      </c>
      <c r="B18" s="30"/>
      <c r="C18" s="92"/>
      <c r="D18" s="91"/>
      <c r="E18" s="35"/>
    </row>
    <row r="19" spans="1:5" ht="14" thickBot="1">
      <c r="A19" s="129" t="s">
        <v>166</v>
      </c>
      <c r="B19" s="130" t="s">
        <v>225</v>
      </c>
      <c r="C19" s="131">
        <f>SUM(C4:C18)</f>
        <v>0</v>
      </c>
      <c r="D19" s="132">
        <f>SUM(D4:D18)</f>
        <v>0</v>
      </c>
    </row>
    <row r="20" spans="1:5">
      <c r="B20" s="1" t="str">
        <f>"Udgifterne i "&amp;D3&amp;" fordeles med 7/12 og 5/12"</f>
        <v>Udgifterne i 2027 fordeles med 7/12 og 5/12</v>
      </c>
    </row>
  </sheetData>
  <sheetProtection sheet="1" objects="1" scenarios="1" formatCells="0" formatColumns="0" formatRows="0"/>
  <hyperlinks>
    <hyperlink ref="E1" location="Budget!A1" display="til 'Budget'" xr:uid="{00000000-0004-0000-0D00-000000000000}"/>
  </hyperlinks>
  <pageMargins left="0.75" right="0.75" top="1" bottom="1" header="0.5" footer="0.5"/>
  <pageSetup paperSize="9"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7"/>
  <sheetViews>
    <sheetView zoomScale="150" zoomScaleNormal="150" zoomScalePageLayoutView="150" workbookViewId="0">
      <selection activeCell="A3" sqref="A3"/>
    </sheetView>
  </sheetViews>
  <sheetFormatPr baseColWidth="10" defaultColWidth="10.83203125" defaultRowHeight="13"/>
  <cols>
    <col min="1" max="1" width="35.5" style="1" customWidth="1"/>
    <col min="2" max="2" width="10.83203125" style="1"/>
    <col min="3" max="4" width="12.5" style="1" customWidth="1"/>
    <col min="5" max="16384" width="10.83203125" style="1"/>
  </cols>
  <sheetData>
    <row r="1" spans="1:5">
      <c r="A1" s="433" t="s">
        <v>232</v>
      </c>
      <c r="B1" s="435"/>
      <c r="C1" s="435"/>
      <c r="D1" s="341" t="s">
        <v>399</v>
      </c>
    </row>
    <row r="2" spans="1:5">
      <c r="A2" s="1" t="s">
        <v>996</v>
      </c>
    </row>
    <row r="3" spans="1:5">
      <c r="A3" s="1" t="s">
        <v>233</v>
      </c>
    </row>
    <row r="5" spans="1:5">
      <c r="A5" s="31"/>
      <c r="B5" s="444">
        <f>aarstal</f>
        <v>2026</v>
      </c>
      <c r="C5" s="444" t="str">
        <f>"jan - jul "&amp;aarstal+1</f>
        <v>jan - jul 2027</v>
      </c>
      <c r="D5" s="444" t="str">
        <f>"aug - dec "&amp;aarstal+1</f>
        <v>aug - dec 2027</v>
      </c>
    </row>
    <row r="6" spans="1:5">
      <c r="A6" s="1" t="s">
        <v>237</v>
      </c>
      <c r="B6" s="12"/>
      <c r="C6" s="12"/>
      <c r="D6" s="12"/>
      <c r="E6" s="1" t="s">
        <v>144</v>
      </c>
    </row>
    <row r="7" spans="1:5">
      <c r="B7" s="4" t="s">
        <v>239</v>
      </c>
      <c r="C7" s="4" t="s">
        <v>240</v>
      </c>
      <c r="D7" s="4" t="s">
        <v>239</v>
      </c>
    </row>
  </sheetData>
  <sheetProtection sheet="1" objects="1" scenarios="1" formatCells="0" formatColumns="0" formatRows="0"/>
  <hyperlinks>
    <hyperlink ref="D1" location="'12.Ejd.loen'!A1" display="til 'Budget'" xr:uid="{00000000-0004-0000-0E00-000000000000}"/>
  </hyperlinks>
  <pageMargins left="0.75" right="0.75" top="1" bottom="1" header="0.5" footer="0.5"/>
  <pageSetup paperSize="9"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
  <sheetViews>
    <sheetView zoomScale="150" zoomScaleNormal="150" zoomScalePageLayoutView="150" workbookViewId="0">
      <selection activeCell="B5" sqref="B5:D5"/>
    </sheetView>
  </sheetViews>
  <sheetFormatPr baseColWidth="10" defaultColWidth="10.83203125" defaultRowHeight="13"/>
  <cols>
    <col min="1" max="1" width="33.83203125" style="1" customWidth="1"/>
    <col min="2" max="16384" width="10.83203125" style="1"/>
  </cols>
  <sheetData>
    <row r="1" spans="1:5">
      <c r="A1" s="1" t="s">
        <v>236</v>
      </c>
      <c r="D1" s="341" t="s">
        <v>399</v>
      </c>
    </row>
    <row r="3" spans="1:5">
      <c r="A3" s="31"/>
      <c r="B3" s="101">
        <f>aarstal</f>
        <v>2026</v>
      </c>
      <c r="C3" s="101" t="str">
        <f>"jan - jul "&amp;aarstal+1</f>
        <v>jan - jul 2027</v>
      </c>
      <c r="D3" s="101" t="str">
        <f>"aug - dec "&amp;aarstal+1</f>
        <v>aug - dec 2027</v>
      </c>
    </row>
    <row r="4" spans="1:5">
      <c r="A4" s="435" t="s">
        <v>287</v>
      </c>
      <c r="B4" s="1">
        <f>aarstal</f>
        <v>2026</v>
      </c>
      <c r="C4" s="1">
        <f>B4+1</f>
        <v>2027</v>
      </c>
      <c r="D4" s="1">
        <f>C4</f>
        <v>2027</v>
      </c>
    </row>
    <row r="5" spans="1:5">
      <c r="A5" s="1" t="s">
        <v>238</v>
      </c>
      <c r="B5" s="12"/>
      <c r="C5" s="12"/>
      <c r="D5" s="12"/>
      <c r="E5" s="1" t="s">
        <v>144</v>
      </c>
    </row>
    <row r="6" spans="1:5">
      <c r="B6" s="4" t="s">
        <v>239</v>
      </c>
      <c r="C6" s="4" t="s">
        <v>240</v>
      </c>
      <c r="D6" s="4" t="s">
        <v>239</v>
      </c>
    </row>
  </sheetData>
  <sheetProtection sheet="1" objects="1" scenarios="1" formatCells="0" formatColumns="0" formatRows="0"/>
  <hyperlinks>
    <hyperlink ref="D1" location="Budget!A1" display="til 'Budget'" xr:uid="{D4C2CD35-E88C-5640-A085-30730B3763C2}"/>
  </hyperlinks>
  <pageMargins left="0.75" right="0.75" top="1" bottom="1" header="0.5" footer="0.5"/>
  <pageSetup paperSize="9"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8"/>
  <sheetViews>
    <sheetView zoomScale="150" zoomScaleNormal="150" zoomScalePageLayoutView="150" workbookViewId="0">
      <selection activeCell="E6" sqref="E6"/>
    </sheetView>
  </sheetViews>
  <sheetFormatPr baseColWidth="10" defaultColWidth="10.83203125" defaultRowHeight="13"/>
  <cols>
    <col min="1" max="1" width="7.5" style="1" customWidth="1"/>
    <col min="2" max="2" width="28.6640625" style="1" customWidth="1"/>
    <col min="3" max="16384" width="10.83203125" style="1"/>
  </cols>
  <sheetData>
    <row r="1" spans="1:5">
      <c r="A1" s="433" t="s">
        <v>252</v>
      </c>
      <c r="B1" s="435"/>
      <c r="D1" s="341" t="s">
        <v>399</v>
      </c>
    </row>
    <row r="2" spans="1:5" ht="14" thickBot="1"/>
    <row r="3" spans="1:5" ht="14" thickBot="1">
      <c r="A3" s="124" t="s">
        <v>178</v>
      </c>
      <c r="B3" s="125" t="s">
        <v>179</v>
      </c>
      <c r="C3" s="126">
        <f>aarstal</f>
        <v>2026</v>
      </c>
      <c r="D3" s="127">
        <f>C3+1</f>
        <v>2027</v>
      </c>
    </row>
    <row r="4" spans="1:5">
      <c r="A4" s="128">
        <v>1</v>
      </c>
      <c r="B4" s="87" t="s">
        <v>242</v>
      </c>
      <c r="C4" s="88"/>
      <c r="D4" s="89"/>
      <c r="E4" s="35" t="s">
        <v>249</v>
      </c>
    </row>
    <row r="5" spans="1:5">
      <c r="A5" s="128">
        <v>2</v>
      </c>
      <c r="B5" s="87" t="s">
        <v>251</v>
      </c>
      <c r="C5" s="90"/>
      <c r="D5" s="91"/>
      <c r="E5" s="35"/>
    </row>
    <row r="6" spans="1:5" ht="14" thickBot="1">
      <c r="A6" s="128">
        <v>3</v>
      </c>
      <c r="B6" s="87" t="s">
        <v>250</v>
      </c>
      <c r="C6" s="92"/>
      <c r="D6" s="91"/>
      <c r="E6" s="35"/>
    </row>
    <row r="7" spans="1:5" ht="14" thickBot="1">
      <c r="A7" s="129" t="s">
        <v>166</v>
      </c>
      <c r="B7" s="130" t="s">
        <v>253</v>
      </c>
      <c r="C7" s="131">
        <f>SUM(C4:C6)</f>
        <v>0</v>
      </c>
      <c r="D7" s="132">
        <f>SUM(D4:D6)</f>
        <v>0</v>
      </c>
      <c r="E7" s="35"/>
    </row>
    <row r="8" spans="1:5">
      <c r="B8" s="1" t="str">
        <f>"Udgifterne i "&amp;$D$3&amp;" fordeles med 7/12 og 5/12"</f>
        <v>Udgifterne i 2027 fordeles med 7/12 og 5/12</v>
      </c>
    </row>
    <row r="9" spans="1:5" ht="14" thickBot="1"/>
    <row r="10" spans="1:5" ht="14" thickBot="1">
      <c r="A10" s="124" t="s">
        <v>178</v>
      </c>
      <c r="B10" s="125" t="s">
        <v>179</v>
      </c>
      <c r="C10" s="126">
        <f>aarstal</f>
        <v>2026</v>
      </c>
      <c r="D10" s="127">
        <f>C10+1</f>
        <v>2027</v>
      </c>
    </row>
    <row r="11" spans="1:5" ht="14" thickBot="1">
      <c r="A11" s="133">
        <v>1</v>
      </c>
      <c r="B11" s="102" t="s">
        <v>454</v>
      </c>
      <c r="C11" s="103"/>
      <c r="D11" s="104"/>
      <c r="E11" s="35"/>
    </row>
    <row r="12" spans="1:5">
      <c r="B12" s="1" t="str">
        <f>"Udgifterne i "&amp;$D$3&amp;" fordeles med 7/12 og 5/12"</f>
        <v>Udgifterne i 2027 fordeles med 7/12 og 5/12</v>
      </c>
    </row>
    <row r="13" spans="1:5" ht="14" thickBot="1"/>
    <row r="14" spans="1:5" ht="14" thickBot="1">
      <c r="A14" s="124" t="s">
        <v>178</v>
      </c>
      <c r="B14" s="125" t="s">
        <v>179</v>
      </c>
      <c r="C14" s="126">
        <f>aarstal</f>
        <v>2026</v>
      </c>
      <c r="D14" s="127">
        <f>C14+1</f>
        <v>2027</v>
      </c>
    </row>
    <row r="15" spans="1:5">
      <c r="A15" s="128">
        <v>1</v>
      </c>
      <c r="B15" s="87" t="s">
        <v>243</v>
      </c>
      <c r="C15" s="92"/>
      <c r="D15" s="91"/>
      <c r="E15" s="35"/>
    </row>
    <row r="16" spans="1:5">
      <c r="A16" s="128">
        <v>2</v>
      </c>
      <c r="B16" s="87" t="s">
        <v>244</v>
      </c>
      <c r="C16" s="92"/>
      <c r="D16" s="91"/>
      <c r="E16" s="35"/>
    </row>
    <row r="17" spans="1:5">
      <c r="A17" s="128">
        <v>3</v>
      </c>
      <c r="B17" s="87" t="s">
        <v>245</v>
      </c>
      <c r="C17" s="92"/>
      <c r="D17" s="91"/>
      <c r="E17" s="35"/>
    </row>
    <row r="18" spans="1:5">
      <c r="A18" s="128">
        <v>4</v>
      </c>
      <c r="B18" s="87" t="s">
        <v>246</v>
      </c>
      <c r="C18" s="92"/>
      <c r="D18" s="91"/>
      <c r="E18" s="35"/>
    </row>
    <row r="19" spans="1:5" ht="14" thickBot="1">
      <c r="A19" s="128">
        <v>5</v>
      </c>
      <c r="B19" s="87" t="s">
        <v>247</v>
      </c>
      <c r="C19" s="92"/>
      <c r="D19" s="91"/>
      <c r="E19" s="35"/>
    </row>
    <row r="20" spans="1:5" ht="14" thickBot="1">
      <c r="A20" s="129" t="s">
        <v>166</v>
      </c>
      <c r="B20" s="130" t="s">
        <v>254</v>
      </c>
      <c r="C20" s="131">
        <f>SUM(C15:C19)</f>
        <v>0</v>
      </c>
      <c r="D20" s="132">
        <f>SUM(D15:D19)</f>
        <v>0</v>
      </c>
      <c r="E20" s="35"/>
    </row>
    <row r="21" spans="1:5">
      <c r="B21" s="1" t="str">
        <f>"Udgifterne i "&amp;$D$3&amp;" fordeles med 7/12 og 5/12"</f>
        <v>Udgifterne i 2027 fordeles med 7/12 og 5/12</v>
      </c>
    </row>
    <row r="22" spans="1:5" ht="14" thickBot="1"/>
    <row r="23" spans="1:5" ht="14" thickBot="1">
      <c r="A23" s="124" t="s">
        <v>178</v>
      </c>
      <c r="B23" s="125" t="s">
        <v>179</v>
      </c>
      <c r="C23" s="126">
        <f>aarstal</f>
        <v>2026</v>
      </c>
      <c r="D23" s="127">
        <f>C23+1</f>
        <v>2027</v>
      </c>
    </row>
    <row r="24" spans="1:5">
      <c r="A24" s="128">
        <v>1</v>
      </c>
      <c r="B24" s="561" t="s">
        <v>228</v>
      </c>
      <c r="C24" s="92"/>
      <c r="D24" s="91"/>
      <c r="E24" s="35"/>
    </row>
    <row r="25" spans="1:5">
      <c r="A25" s="128">
        <v>2</v>
      </c>
      <c r="B25" s="28" t="s">
        <v>248</v>
      </c>
      <c r="C25" s="92"/>
      <c r="D25" s="91"/>
      <c r="E25" s="35"/>
    </row>
    <row r="26" spans="1:5" ht="14" thickBot="1">
      <c r="A26" s="128">
        <v>3</v>
      </c>
      <c r="B26" s="30"/>
      <c r="C26" s="92"/>
      <c r="D26" s="91"/>
      <c r="E26" s="35"/>
    </row>
    <row r="27" spans="1:5" ht="14" thickBot="1">
      <c r="A27" s="129" t="s">
        <v>166</v>
      </c>
      <c r="B27" s="130" t="s">
        <v>255</v>
      </c>
      <c r="C27" s="131">
        <f>SUM(C24:C26)</f>
        <v>0</v>
      </c>
      <c r="D27" s="132">
        <f>SUM(D24:D26)</f>
        <v>0</v>
      </c>
    </row>
    <row r="28" spans="1:5">
      <c r="B28" s="1" t="str">
        <f>"Udgifterne i "&amp;D3&amp;" fordeles med 7/12 og 5/12"</f>
        <v>Udgifterne i 2027 fordeles med 7/12 og 5/12</v>
      </c>
    </row>
  </sheetData>
  <sheetProtection sheet="1" objects="1" scenarios="1" formatCells="0" formatColumns="0" formatRows="0"/>
  <hyperlinks>
    <hyperlink ref="D1" location="Budget!A1" display="til 'Budget'" xr:uid="{6FCCCCD3-19BD-CA43-A2A2-455E957A4D9F}"/>
  </hyperlinks>
  <pageMargins left="0.75" right="0.75" top="1" bottom="1" header="0.5" footer="0.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6"/>
  <sheetViews>
    <sheetView zoomScale="150" zoomScaleNormal="150" zoomScalePageLayoutView="150" workbookViewId="0">
      <selection activeCell="A3" sqref="A3"/>
    </sheetView>
  </sheetViews>
  <sheetFormatPr baseColWidth="10" defaultColWidth="10.83203125" defaultRowHeight="13"/>
  <cols>
    <col min="1" max="1" width="35.5" style="1" customWidth="1"/>
    <col min="2" max="2" width="10.83203125" style="1"/>
    <col min="3" max="4" width="12.5" style="1" customWidth="1"/>
    <col min="5" max="16384" width="10.83203125" style="1"/>
  </cols>
  <sheetData>
    <row r="1" spans="1:5">
      <c r="A1" s="433" t="s">
        <v>256</v>
      </c>
      <c r="B1" s="435"/>
      <c r="D1" s="341" t="s">
        <v>399</v>
      </c>
    </row>
    <row r="2" spans="1:5">
      <c r="A2" s="1" t="s">
        <v>990</v>
      </c>
    </row>
    <row r="4" spans="1:5">
      <c r="A4" s="31"/>
      <c r="B4" s="101">
        <f>aarstal</f>
        <v>2026</v>
      </c>
      <c r="C4" s="101" t="str">
        <f>"jan - jul "&amp;aarstal+1</f>
        <v>jan - jul 2027</v>
      </c>
      <c r="D4" s="101" t="str">
        <f>"aug - dec "&amp;aarstal+1</f>
        <v>aug - dec 2027</v>
      </c>
    </row>
    <row r="5" spans="1:5">
      <c r="A5" s="1" t="s">
        <v>278</v>
      </c>
      <c r="B5" s="12"/>
      <c r="C5" s="12"/>
      <c r="D5" s="12"/>
      <c r="E5" s="1" t="s">
        <v>144</v>
      </c>
    </row>
    <row r="6" spans="1:5">
      <c r="B6" s="4" t="s">
        <v>239</v>
      </c>
      <c r="C6" s="4" t="s">
        <v>240</v>
      </c>
      <c r="D6" s="4" t="s">
        <v>239</v>
      </c>
    </row>
  </sheetData>
  <sheetProtection sheet="1" formatCells="0" formatColumns="0" formatRows="0"/>
  <hyperlinks>
    <hyperlink ref="D1" location="Budget!A1" display="til 'Budget'" xr:uid="{D974D4E4-ADDF-7740-80CF-089D0516A6EE}"/>
  </hyperlinks>
  <pageMargins left="0.75" right="0.75" top="1" bottom="1" header="0.5" footer="0.5"/>
  <pageSetup paperSize="9" orientation="portrait"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6"/>
  <sheetViews>
    <sheetView zoomScale="150" zoomScaleNormal="150" zoomScalePageLayoutView="150" workbookViewId="0">
      <selection activeCell="E6" sqref="E6"/>
    </sheetView>
  </sheetViews>
  <sheetFormatPr baseColWidth="10" defaultColWidth="10.83203125" defaultRowHeight="13"/>
  <cols>
    <col min="1" max="1" width="6.83203125" style="1" customWidth="1"/>
    <col min="2" max="2" width="28.33203125" style="1" customWidth="1"/>
    <col min="3" max="16384" width="10.83203125" style="1"/>
  </cols>
  <sheetData>
    <row r="1" spans="1:5">
      <c r="A1" s="435" t="s">
        <v>272</v>
      </c>
      <c r="B1" s="435"/>
      <c r="C1" s="435"/>
      <c r="D1" s="435"/>
      <c r="E1" s="341" t="s">
        <v>399</v>
      </c>
    </row>
    <row r="2" spans="1:5" ht="14" thickBot="1">
      <c r="A2" s="1" t="s">
        <v>219</v>
      </c>
    </row>
    <row r="3" spans="1:5" ht="14" thickBot="1">
      <c r="A3" s="124" t="s">
        <v>178</v>
      </c>
      <c r="B3" s="125" t="s">
        <v>179</v>
      </c>
      <c r="C3" s="126">
        <f>aarstal</f>
        <v>2026</v>
      </c>
      <c r="D3" s="127">
        <f>C3+1</f>
        <v>2027</v>
      </c>
    </row>
    <row r="4" spans="1:5">
      <c r="A4" s="128">
        <v>1</v>
      </c>
      <c r="B4" s="87" t="s">
        <v>257</v>
      </c>
      <c r="C4" s="88"/>
      <c r="D4" s="89"/>
      <c r="E4" s="35" t="s">
        <v>265</v>
      </c>
    </row>
    <row r="5" spans="1:5">
      <c r="A5" s="128">
        <v>2</v>
      </c>
      <c r="B5" s="87" t="s">
        <v>449</v>
      </c>
      <c r="C5" s="90"/>
      <c r="D5" s="91"/>
      <c r="E5" s="35"/>
    </row>
    <row r="6" spans="1:5">
      <c r="A6" s="128">
        <v>3</v>
      </c>
      <c r="B6" s="87" t="s">
        <v>258</v>
      </c>
      <c r="C6" s="92"/>
      <c r="D6" s="91"/>
      <c r="E6" s="35"/>
    </row>
    <row r="7" spans="1:5">
      <c r="A7" s="128">
        <v>4</v>
      </c>
      <c r="B7" s="87" t="s">
        <v>259</v>
      </c>
      <c r="C7" s="92"/>
      <c r="D7" s="91"/>
      <c r="E7" s="35"/>
    </row>
    <row r="8" spans="1:5">
      <c r="A8" s="128">
        <v>5</v>
      </c>
      <c r="B8" s="87" t="s">
        <v>450</v>
      </c>
      <c r="C8" s="92"/>
      <c r="D8" s="91"/>
      <c r="E8" s="134"/>
    </row>
    <row r="9" spans="1:5">
      <c r="A9" s="128">
        <v>6</v>
      </c>
      <c r="B9" s="87" t="s">
        <v>260</v>
      </c>
      <c r="C9" s="92"/>
      <c r="D9" s="91"/>
      <c r="E9" s="35"/>
    </row>
    <row r="10" spans="1:5">
      <c r="A10" s="128">
        <v>7</v>
      </c>
      <c r="B10" s="87" t="s">
        <v>261</v>
      </c>
      <c r="C10" s="92"/>
      <c r="D10" s="91"/>
      <c r="E10" s="35"/>
    </row>
    <row r="11" spans="1:5">
      <c r="A11" s="128">
        <v>8</v>
      </c>
      <c r="B11" s="87" t="s">
        <v>455</v>
      </c>
      <c r="C11" s="92"/>
      <c r="D11" s="91"/>
      <c r="E11" s="35" t="s">
        <v>998</v>
      </c>
    </row>
    <row r="12" spans="1:5">
      <c r="A12" s="128">
        <v>9</v>
      </c>
      <c r="B12" s="93" t="s">
        <v>262</v>
      </c>
      <c r="C12" s="92"/>
      <c r="D12" s="91"/>
      <c r="E12" s="35"/>
    </row>
    <row r="13" spans="1:5">
      <c r="A13" s="128">
        <v>10</v>
      </c>
      <c r="B13" s="28" t="s">
        <v>453</v>
      </c>
      <c r="C13" s="92"/>
      <c r="D13" s="91"/>
      <c r="E13" s="35"/>
    </row>
    <row r="14" spans="1:5">
      <c r="A14" s="128">
        <v>11</v>
      </c>
      <c r="B14" s="28" t="s">
        <v>452</v>
      </c>
      <c r="C14" s="92"/>
      <c r="D14" s="91"/>
      <c r="E14" s="35"/>
    </row>
    <row r="15" spans="1:5">
      <c r="A15" s="128">
        <v>12</v>
      </c>
      <c r="B15" s="28" t="s">
        <v>266</v>
      </c>
      <c r="C15" s="92"/>
      <c r="D15" s="91"/>
      <c r="E15" s="35"/>
    </row>
    <row r="16" spans="1:5">
      <c r="A16" s="128">
        <v>13</v>
      </c>
      <c r="B16" s="28" t="s">
        <v>451</v>
      </c>
      <c r="C16" s="92"/>
      <c r="D16" s="91"/>
      <c r="E16" s="35"/>
    </row>
    <row r="17" spans="1:5">
      <c r="A17" s="128">
        <v>14</v>
      </c>
      <c r="B17" s="28" t="s">
        <v>263</v>
      </c>
      <c r="C17" s="92"/>
      <c r="D17" s="91"/>
      <c r="E17" s="32" t="s">
        <v>997</v>
      </c>
    </row>
    <row r="18" spans="1:5">
      <c r="A18" s="128">
        <v>15</v>
      </c>
      <c r="B18" s="28" t="s">
        <v>614</v>
      </c>
      <c r="C18" s="92"/>
      <c r="D18" s="91"/>
      <c r="E18" s="32"/>
    </row>
    <row r="19" spans="1:5">
      <c r="A19" s="128">
        <v>16</v>
      </c>
      <c r="B19" s="28" t="s">
        <v>264</v>
      </c>
      <c r="C19" s="92"/>
      <c r="D19" s="91"/>
      <c r="E19" s="32"/>
    </row>
    <row r="20" spans="1:5">
      <c r="A20" s="128">
        <v>17</v>
      </c>
      <c r="B20" s="28" t="s">
        <v>418</v>
      </c>
      <c r="C20" s="92"/>
      <c r="D20" s="91"/>
      <c r="E20" s="32"/>
    </row>
    <row r="21" spans="1:5">
      <c r="A21" s="128">
        <v>18</v>
      </c>
      <c r="B21" s="28"/>
      <c r="C21" s="92"/>
      <c r="D21" s="91"/>
      <c r="E21" s="32"/>
    </row>
    <row r="22" spans="1:5">
      <c r="A22" s="128">
        <v>19</v>
      </c>
      <c r="B22" s="28"/>
      <c r="C22" s="92"/>
      <c r="D22" s="91"/>
      <c r="E22" s="35"/>
    </row>
    <row r="23" spans="1:5">
      <c r="A23" s="128">
        <v>20</v>
      </c>
      <c r="B23" s="28"/>
      <c r="C23" s="92"/>
      <c r="D23" s="91"/>
      <c r="E23" s="35"/>
    </row>
    <row r="24" spans="1:5" ht="14" thickBot="1">
      <c r="A24" s="128">
        <v>21</v>
      </c>
      <c r="B24" s="30" t="s">
        <v>250</v>
      </c>
      <c r="C24" s="92"/>
      <c r="D24" s="91"/>
      <c r="E24" s="35"/>
    </row>
    <row r="25" spans="1:5" ht="14" thickBot="1">
      <c r="A25" s="129" t="s">
        <v>166</v>
      </c>
      <c r="B25" s="130" t="s">
        <v>225</v>
      </c>
      <c r="C25" s="131">
        <f>SUM(C4:C24)</f>
        <v>0</v>
      </c>
      <c r="D25" s="132">
        <f>SUM(D4:D24)</f>
        <v>0</v>
      </c>
    </row>
    <row r="26" spans="1:5">
      <c r="B26" s="1" t="str">
        <f>"Udgifterne i "&amp;D3&amp;" fordeles med 7/12 og 5/12"</f>
        <v>Udgifterne i 2027 fordeles med 7/12 og 5/12</v>
      </c>
    </row>
  </sheetData>
  <sheetProtection formatCells="0" formatColumns="0" formatRows="0"/>
  <hyperlinks>
    <hyperlink ref="E1" location="Budget!A1" display="til 'Budget'" xr:uid="{B7CB70C6-603D-5648-8442-2384DEA65F26}"/>
  </hyperlinks>
  <pageMargins left="0.75" right="0.75" top="1" bottom="1" header="0.5" footer="0.5"/>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743F0-7407-CE45-9C0D-39F02E966C09}">
  <sheetPr>
    <tabColor rgb="FFFFFF00"/>
  </sheetPr>
  <dimension ref="A1:I43"/>
  <sheetViews>
    <sheetView workbookViewId="0">
      <selection activeCell="A10" sqref="A10"/>
    </sheetView>
  </sheetViews>
  <sheetFormatPr baseColWidth="10" defaultColWidth="10.83203125" defaultRowHeight="13"/>
  <sheetData>
    <row r="1" spans="1:9" ht="21">
      <c r="A1" s="578" t="s">
        <v>991</v>
      </c>
      <c r="B1" s="578"/>
      <c r="C1" s="578"/>
      <c r="D1" s="578"/>
      <c r="E1" s="578"/>
      <c r="F1" s="578"/>
      <c r="G1" s="578"/>
      <c r="H1" s="578"/>
      <c r="I1" s="578"/>
    </row>
    <row r="2" spans="1:9" ht="16" customHeight="1">
      <c r="A2" s="579" t="s">
        <v>992</v>
      </c>
      <c r="B2" s="579"/>
      <c r="C2" s="579"/>
      <c r="D2" s="579"/>
      <c r="E2" s="579"/>
      <c r="F2" s="579"/>
      <c r="G2" s="579"/>
      <c r="H2" s="579"/>
      <c r="I2" s="579"/>
    </row>
    <row r="3" spans="1:9" ht="4" customHeight="1">
      <c r="A3" s="579"/>
      <c r="B3" s="579"/>
      <c r="C3" s="579"/>
      <c r="D3" s="579"/>
      <c r="E3" s="579"/>
      <c r="F3" s="579"/>
      <c r="G3" s="579"/>
      <c r="H3" s="579"/>
      <c r="I3" s="579"/>
    </row>
    <row r="4" spans="1:9" ht="18" customHeight="1">
      <c r="A4" s="581" t="s">
        <v>961</v>
      </c>
      <c r="B4" s="581"/>
      <c r="C4" s="581"/>
      <c r="D4" s="581"/>
      <c r="E4" s="581"/>
      <c r="F4" s="581"/>
      <c r="G4" s="581"/>
      <c r="H4" s="581"/>
      <c r="I4" s="581"/>
    </row>
    <row r="5" spans="1:9" ht="18" customHeight="1">
      <c r="A5" s="583"/>
      <c r="B5" s="583"/>
      <c r="C5" s="583"/>
      <c r="D5" s="583"/>
      <c r="E5" s="583"/>
      <c r="F5" s="583"/>
      <c r="G5" s="583"/>
      <c r="H5" s="583"/>
      <c r="I5" s="583"/>
    </row>
    <row r="6" spans="1:9" ht="18" customHeight="1">
      <c r="A6" s="586" t="s">
        <v>985</v>
      </c>
      <c r="B6" s="586"/>
      <c r="C6" s="586"/>
      <c r="D6" s="586"/>
      <c r="E6" s="586"/>
      <c r="F6" s="586"/>
      <c r="G6" s="586"/>
      <c r="H6" s="586"/>
      <c r="I6" s="586"/>
    </row>
    <row r="7" spans="1:9" ht="18" customHeight="1">
      <c r="A7" s="510" t="s">
        <v>986</v>
      </c>
      <c r="B7" s="510"/>
      <c r="C7" s="510"/>
      <c r="D7" s="510"/>
      <c r="E7" s="510"/>
      <c r="F7" s="510"/>
      <c r="G7" s="510"/>
      <c r="H7" s="510"/>
      <c r="I7" s="510"/>
    </row>
    <row r="8" spans="1:9" ht="18" customHeight="1">
      <c r="A8" s="584" t="s">
        <v>987</v>
      </c>
      <c r="B8" s="584"/>
      <c r="C8" s="584"/>
      <c r="D8" s="584"/>
      <c r="E8" s="584"/>
      <c r="F8" s="584"/>
      <c r="G8" s="584"/>
      <c r="H8" s="584"/>
      <c r="I8" s="584"/>
    </row>
    <row r="9" spans="1:9" ht="86" customHeight="1">
      <c r="A9" s="587" t="s">
        <v>1001</v>
      </c>
      <c r="B9" s="587"/>
      <c r="C9" s="587"/>
      <c r="D9" s="587"/>
      <c r="E9" s="587"/>
      <c r="F9" s="587"/>
      <c r="G9" s="587"/>
      <c r="H9" s="587"/>
      <c r="I9" s="587"/>
    </row>
    <row r="10" spans="1:9" ht="17" customHeight="1">
      <c r="A10" s="506" t="s">
        <v>18</v>
      </c>
      <c r="B10" s="507"/>
      <c r="C10" s="507"/>
      <c r="D10" s="507"/>
      <c r="E10" s="507"/>
      <c r="F10" s="507"/>
      <c r="G10" s="507"/>
      <c r="H10" s="507"/>
      <c r="I10" s="507"/>
    </row>
    <row r="11" spans="1:9" ht="53" customHeight="1">
      <c r="A11" s="580" t="s">
        <v>993</v>
      </c>
      <c r="B11" s="580"/>
      <c r="C11" s="580"/>
      <c r="D11" s="580"/>
      <c r="E11" s="580"/>
      <c r="F11" s="580"/>
      <c r="G11" s="580"/>
      <c r="H11" s="580"/>
      <c r="I11" s="580"/>
    </row>
    <row r="12" spans="1:9" ht="16">
      <c r="A12" s="579" t="s">
        <v>994</v>
      </c>
      <c r="B12" s="579"/>
      <c r="C12" s="579"/>
      <c r="D12" s="579"/>
      <c r="E12" s="579"/>
      <c r="F12" s="579"/>
      <c r="G12" s="579"/>
      <c r="H12" s="579"/>
      <c r="I12" s="579"/>
    </row>
    <row r="13" spans="1:9" ht="16">
      <c r="A13" s="582"/>
      <c r="B13" s="582"/>
      <c r="C13" s="582"/>
      <c r="D13" s="582"/>
      <c r="E13" s="582"/>
      <c r="F13" s="582"/>
      <c r="G13" s="582"/>
      <c r="H13" s="582"/>
      <c r="I13" s="582"/>
    </row>
    <row r="14" spans="1:9" ht="16">
      <c r="A14" s="506" t="s">
        <v>945</v>
      </c>
      <c r="B14" s="507"/>
      <c r="C14" s="507"/>
      <c r="D14" s="507"/>
      <c r="E14" s="507"/>
      <c r="F14" s="507"/>
      <c r="G14" s="507"/>
      <c r="H14" s="507"/>
      <c r="I14" s="507"/>
    </row>
    <row r="15" spans="1:9" ht="69" customHeight="1">
      <c r="A15" s="580" t="s">
        <v>946</v>
      </c>
      <c r="B15" s="580"/>
      <c r="C15" s="580"/>
      <c r="D15" s="580"/>
      <c r="E15" s="580"/>
      <c r="F15" s="580"/>
      <c r="G15" s="580"/>
      <c r="H15" s="580"/>
      <c r="I15" s="580"/>
    </row>
    <row r="16" spans="1:9" ht="16">
      <c r="A16" s="505"/>
    </row>
    <row r="17" spans="1:9" ht="16">
      <c r="A17" s="506" t="s">
        <v>177</v>
      </c>
      <c r="B17" s="507"/>
      <c r="C17" s="507"/>
      <c r="D17" s="507"/>
      <c r="E17" s="507"/>
      <c r="F17" s="507"/>
      <c r="G17" s="507"/>
      <c r="H17" s="507"/>
      <c r="I17" s="507"/>
    </row>
    <row r="18" spans="1:9" ht="65" customHeight="1">
      <c r="A18" s="580" t="s">
        <v>947</v>
      </c>
      <c r="B18" s="580"/>
      <c r="C18" s="580"/>
      <c r="D18" s="580"/>
      <c r="E18" s="580"/>
      <c r="F18" s="580"/>
      <c r="G18" s="580"/>
      <c r="H18" s="580"/>
      <c r="I18" s="580"/>
    </row>
    <row r="19" spans="1:9" ht="16">
      <c r="A19" s="582"/>
      <c r="B19" s="582"/>
      <c r="C19" s="582"/>
      <c r="D19" s="582"/>
      <c r="E19" s="582"/>
      <c r="F19" s="582"/>
      <c r="G19" s="582"/>
      <c r="H19" s="582"/>
      <c r="I19" s="582"/>
    </row>
    <row r="20" spans="1:9" ht="16">
      <c r="A20" s="508" t="s">
        <v>948</v>
      </c>
      <c r="B20" s="509"/>
      <c r="C20" s="509"/>
      <c r="D20" s="509"/>
      <c r="E20" s="509"/>
      <c r="F20" s="509"/>
      <c r="G20" s="509"/>
      <c r="H20" s="509"/>
      <c r="I20" s="509"/>
    </row>
    <row r="21" spans="1:9" ht="49" customHeight="1">
      <c r="A21" s="580" t="s">
        <v>951</v>
      </c>
      <c r="B21" s="580"/>
      <c r="C21" s="580"/>
      <c r="D21" s="580"/>
      <c r="E21" s="580"/>
      <c r="F21" s="580"/>
      <c r="G21" s="580"/>
      <c r="H21" s="580"/>
      <c r="I21" s="580"/>
    </row>
    <row r="22" spans="1:9" ht="16">
      <c r="A22" s="582"/>
      <c r="B22" s="582"/>
      <c r="C22" s="582"/>
      <c r="D22" s="582"/>
      <c r="E22" s="582"/>
      <c r="F22" s="582"/>
      <c r="G22" s="582"/>
      <c r="H22" s="582"/>
      <c r="I22" s="582"/>
    </row>
    <row r="23" spans="1:9" ht="16">
      <c r="A23" s="506" t="s">
        <v>949</v>
      </c>
      <c r="B23" s="507"/>
      <c r="C23" s="507"/>
      <c r="D23" s="507"/>
      <c r="E23" s="507"/>
      <c r="F23" s="507"/>
      <c r="G23" s="507"/>
      <c r="H23" s="507"/>
      <c r="I23" s="507"/>
    </row>
    <row r="24" spans="1:9" ht="16">
      <c r="A24" s="505" t="s">
        <v>950</v>
      </c>
    </row>
    <row r="25" spans="1:9" ht="16">
      <c r="A25" s="505"/>
    </row>
    <row r="26" spans="1:9" ht="16">
      <c r="A26" s="586" t="s">
        <v>955</v>
      </c>
      <c r="B26" s="586"/>
      <c r="C26" s="586"/>
      <c r="D26" s="586"/>
      <c r="E26" s="586"/>
      <c r="F26" s="586"/>
      <c r="G26" s="586"/>
      <c r="H26" s="586"/>
      <c r="I26" s="586"/>
    </row>
    <row r="27" spans="1:9" ht="54" customHeight="1">
      <c r="A27" s="580" t="s">
        <v>956</v>
      </c>
      <c r="B27" s="580"/>
      <c r="C27" s="580"/>
      <c r="D27" s="580"/>
      <c r="E27" s="580"/>
      <c r="F27" s="580"/>
      <c r="G27" s="580"/>
      <c r="H27" s="580"/>
      <c r="I27" s="580"/>
    </row>
    <row r="28" spans="1:9" ht="65" customHeight="1">
      <c r="A28" s="580" t="s">
        <v>957</v>
      </c>
      <c r="B28" s="580"/>
      <c r="C28" s="580"/>
      <c r="D28" s="580"/>
      <c r="E28" s="580"/>
      <c r="F28" s="580"/>
      <c r="G28" s="580"/>
      <c r="H28" s="580"/>
      <c r="I28" s="580"/>
    </row>
    <row r="29" spans="1:9">
      <c r="A29" s="588"/>
      <c r="B29" s="588"/>
      <c r="C29" s="588"/>
      <c r="D29" s="588"/>
      <c r="E29" s="588"/>
      <c r="F29" s="588"/>
      <c r="G29" s="588"/>
      <c r="H29" s="588"/>
      <c r="I29" s="588"/>
    </row>
    <row r="30" spans="1:9" ht="16">
      <c r="A30" s="586" t="s">
        <v>958</v>
      </c>
      <c r="B30" s="586"/>
      <c r="C30" s="586"/>
      <c r="D30" s="586"/>
      <c r="E30" s="586"/>
      <c r="F30" s="586"/>
      <c r="G30" s="586"/>
      <c r="H30" s="586"/>
      <c r="I30" s="586"/>
    </row>
    <row r="31" spans="1:9" ht="16">
      <c r="A31" s="579" t="s">
        <v>952</v>
      </c>
      <c r="B31" s="579"/>
      <c r="C31" s="579"/>
      <c r="D31" s="579"/>
      <c r="E31" s="579"/>
      <c r="F31" s="579"/>
      <c r="G31" s="579"/>
      <c r="H31" s="579"/>
      <c r="I31" s="579"/>
    </row>
    <row r="32" spans="1:9" ht="82" customHeight="1">
      <c r="A32" s="580" t="s">
        <v>953</v>
      </c>
      <c r="B32" s="580"/>
      <c r="C32" s="580"/>
      <c r="D32" s="580"/>
      <c r="E32" s="580"/>
      <c r="F32" s="580"/>
      <c r="G32" s="580"/>
      <c r="H32" s="580"/>
      <c r="I32" s="580"/>
    </row>
    <row r="33" spans="1:9" ht="46" customHeight="1">
      <c r="A33" s="580" t="s">
        <v>954</v>
      </c>
      <c r="B33" s="580"/>
      <c r="C33" s="580"/>
      <c r="D33" s="580"/>
      <c r="E33" s="580"/>
      <c r="F33" s="580"/>
      <c r="G33" s="580"/>
      <c r="H33" s="580"/>
      <c r="I33" s="580"/>
    </row>
    <row r="34" spans="1:9">
      <c r="A34" s="588"/>
      <c r="B34" s="588"/>
      <c r="C34" s="588"/>
      <c r="D34" s="588"/>
      <c r="E34" s="588"/>
      <c r="F34" s="588"/>
      <c r="G34" s="588"/>
      <c r="H34" s="588"/>
      <c r="I34" s="588"/>
    </row>
    <row r="35" spans="1:9" ht="16">
      <c r="A35" s="506" t="s">
        <v>959</v>
      </c>
      <c r="B35" s="506"/>
      <c r="C35" s="506"/>
      <c r="D35" s="506"/>
      <c r="E35" s="506"/>
      <c r="F35" s="506"/>
      <c r="G35" s="506"/>
      <c r="H35" s="506"/>
      <c r="I35" s="506"/>
    </row>
    <row r="36" spans="1:9" ht="49" customHeight="1">
      <c r="A36" s="580" t="s">
        <v>960</v>
      </c>
      <c r="B36" s="580"/>
      <c r="C36" s="580"/>
      <c r="D36" s="580"/>
      <c r="E36" s="580"/>
      <c r="F36" s="580"/>
      <c r="G36" s="580"/>
      <c r="H36" s="580"/>
      <c r="I36" s="580"/>
    </row>
    <row r="38" spans="1:9" ht="16">
      <c r="A38" s="506" t="s">
        <v>962</v>
      </c>
      <c r="B38" s="506"/>
      <c r="C38" s="506"/>
      <c r="D38" s="506"/>
      <c r="E38" s="506"/>
      <c r="F38" s="506"/>
      <c r="G38" s="506"/>
      <c r="H38" s="506"/>
      <c r="I38" s="506"/>
    </row>
    <row r="39" spans="1:9" ht="16" customHeight="1">
      <c r="A39" s="580" t="s">
        <v>963</v>
      </c>
      <c r="B39" s="580"/>
      <c r="C39" s="580"/>
      <c r="D39" s="580"/>
      <c r="E39" s="580"/>
      <c r="F39" s="580"/>
      <c r="G39" s="580"/>
      <c r="H39" s="580"/>
      <c r="I39" s="580"/>
    </row>
    <row r="40" spans="1:9" ht="16">
      <c r="A40" s="579" t="s">
        <v>965</v>
      </c>
      <c r="B40" s="579"/>
      <c r="C40" s="579"/>
      <c r="D40" s="579"/>
      <c r="E40" s="579"/>
      <c r="F40" s="579"/>
      <c r="G40" s="579"/>
      <c r="H40" s="579"/>
      <c r="I40" s="579"/>
    </row>
    <row r="41" spans="1:9" ht="16">
      <c r="A41" s="579" t="s">
        <v>964</v>
      </c>
      <c r="B41" s="579"/>
      <c r="C41" s="579"/>
      <c r="D41" s="579"/>
      <c r="E41" s="579"/>
      <c r="F41" s="579"/>
      <c r="G41" s="579"/>
      <c r="H41" s="579"/>
      <c r="I41" s="579"/>
    </row>
    <row r="43" spans="1:9" ht="23">
      <c r="A43" s="585" t="s">
        <v>966</v>
      </c>
      <c r="B43" s="585"/>
      <c r="C43" s="585"/>
      <c r="D43" s="585"/>
      <c r="E43" s="585"/>
      <c r="F43" s="585"/>
      <c r="G43" s="585"/>
      <c r="H43" s="585"/>
      <c r="I43" s="585"/>
    </row>
  </sheetData>
  <sheetProtection sheet="1" objects="1" scenarios="1"/>
  <mergeCells count="29">
    <mergeCell ref="A39:I39"/>
    <mergeCell ref="A40:I40"/>
    <mergeCell ref="A41:I41"/>
    <mergeCell ref="A43:I43"/>
    <mergeCell ref="A6:I6"/>
    <mergeCell ref="A9:I9"/>
    <mergeCell ref="A32:I32"/>
    <mergeCell ref="A33:I33"/>
    <mergeCell ref="A36:I36"/>
    <mergeCell ref="A29:I29"/>
    <mergeCell ref="A34:I34"/>
    <mergeCell ref="A26:I26"/>
    <mergeCell ref="A27:I27"/>
    <mergeCell ref="A28:I28"/>
    <mergeCell ref="A30:I30"/>
    <mergeCell ref="A31:I31"/>
    <mergeCell ref="A19:I19"/>
    <mergeCell ref="A22:I22"/>
    <mergeCell ref="A5:I5"/>
    <mergeCell ref="A21:I21"/>
    <mergeCell ref="A18:I18"/>
    <mergeCell ref="A8:I8"/>
    <mergeCell ref="A1:I1"/>
    <mergeCell ref="A2:I3"/>
    <mergeCell ref="A11:I11"/>
    <mergeCell ref="A12:I12"/>
    <mergeCell ref="A15:I15"/>
    <mergeCell ref="A4:I4"/>
    <mergeCell ref="A13:I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02"/>
  <sheetViews>
    <sheetView workbookViewId="0">
      <selection activeCell="D33" sqref="D33"/>
    </sheetView>
  </sheetViews>
  <sheetFormatPr baseColWidth="10" defaultColWidth="10.83203125" defaultRowHeight="13"/>
  <cols>
    <col min="1" max="1" width="19.1640625" customWidth="1"/>
    <col min="2" max="2" width="21.83203125" customWidth="1"/>
  </cols>
  <sheetData>
    <row r="1" spans="1:10" ht="19" thickBot="1">
      <c r="A1" s="146" t="s">
        <v>305</v>
      </c>
      <c r="D1" s="307" t="s">
        <v>390</v>
      </c>
      <c r="E1" s="307" t="s">
        <v>391</v>
      </c>
    </row>
    <row r="2" spans="1:10">
      <c r="A2" s="147" t="s">
        <v>306</v>
      </c>
      <c r="B2" s="148"/>
      <c r="C2" s="149"/>
      <c r="D2" s="150">
        <f>aarstal</f>
        <v>2026</v>
      </c>
      <c r="E2" s="293">
        <f>aarstal+1</f>
        <v>2027</v>
      </c>
      <c r="G2" s="675" t="s">
        <v>307</v>
      </c>
      <c r="H2" s="676"/>
      <c r="I2" s="151" t="s">
        <v>308</v>
      </c>
      <c r="J2" s="152"/>
    </row>
    <row r="3" spans="1:10">
      <c r="A3" s="153" t="s">
        <v>393</v>
      </c>
      <c r="B3" s="154"/>
      <c r="C3" s="155"/>
      <c r="D3" s="156"/>
      <c r="E3" s="157"/>
      <c r="G3" s="677" t="s">
        <v>310</v>
      </c>
      <c r="H3" s="678"/>
      <c r="I3" s="158"/>
      <c r="J3" s="159" t="s">
        <v>311</v>
      </c>
    </row>
    <row r="4" spans="1:10">
      <c r="A4" s="160" t="s">
        <v>394</v>
      </c>
      <c r="B4" s="161"/>
      <c r="C4" s="162"/>
      <c r="D4" s="163"/>
      <c r="E4" s="157"/>
      <c r="G4" s="677" t="s">
        <v>313</v>
      </c>
      <c r="H4" s="678"/>
      <c r="I4" s="158"/>
      <c r="J4" s="164"/>
    </row>
    <row r="5" spans="1:10">
      <c r="A5" s="160" t="s">
        <v>395</v>
      </c>
      <c r="B5" s="161"/>
      <c r="C5" s="162"/>
      <c r="D5" s="165"/>
      <c r="E5" s="157"/>
      <c r="G5" s="677" t="s">
        <v>315</v>
      </c>
      <c r="H5" s="678"/>
      <c r="I5" s="166">
        <f>(D11+D26)*I4</f>
        <v>0</v>
      </c>
      <c r="J5" s="164"/>
    </row>
    <row r="6" spans="1:10" ht="16">
      <c r="A6" s="167"/>
      <c r="B6" s="168" t="s">
        <v>316</v>
      </c>
      <c r="C6" s="169"/>
      <c r="D6" s="170">
        <f>(D3+D4+D5)*D11*5/12</f>
        <v>0</v>
      </c>
      <c r="E6" s="294">
        <f>(E3+E4+E5)*E11</f>
        <v>0</v>
      </c>
      <c r="G6" s="677" t="s">
        <v>317</v>
      </c>
      <c r="H6" s="678"/>
      <c r="I6" s="166">
        <f>I5*I3</f>
        <v>0</v>
      </c>
      <c r="J6" s="171"/>
    </row>
    <row r="7" spans="1:10" ht="14" thickBot="1">
      <c r="A7" s="153" t="s">
        <v>318</v>
      </c>
      <c r="B7" s="172"/>
      <c r="C7" s="173"/>
      <c r="D7" s="174"/>
      <c r="E7" s="175"/>
      <c r="G7" s="673" t="s">
        <v>319</v>
      </c>
      <c r="H7" s="674"/>
      <c r="I7" s="308">
        <f>I6</f>
        <v>0</v>
      </c>
      <c r="J7" s="176">
        <f>D76</f>
        <v>0</v>
      </c>
    </row>
    <row r="8" spans="1:10">
      <c r="A8" s="160" t="s">
        <v>320</v>
      </c>
      <c r="B8" s="161"/>
      <c r="C8" s="177"/>
      <c r="D8" s="178"/>
      <c r="E8" s="179"/>
      <c r="G8" s="180"/>
      <c r="H8" s="180"/>
      <c r="I8" s="180"/>
      <c r="J8" s="180"/>
    </row>
    <row r="9" spans="1:10">
      <c r="A9" s="160" t="s">
        <v>186</v>
      </c>
      <c r="B9" s="161"/>
      <c r="C9" s="181" t="s">
        <v>321</v>
      </c>
      <c r="D9" s="165"/>
      <c r="E9" s="157"/>
      <c r="G9" s="180"/>
      <c r="H9" s="180"/>
      <c r="I9" s="180"/>
      <c r="J9" s="180"/>
    </row>
    <row r="10" spans="1:10">
      <c r="A10" s="182"/>
      <c r="B10" s="168" t="s">
        <v>322</v>
      </c>
      <c r="C10" s="183"/>
      <c r="D10" s="184">
        <f>5/12*D7*D11+D8+D9</f>
        <v>0</v>
      </c>
      <c r="E10" s="295">
        <f>E7*E11+E8+E9</f>
        <v>0</v>
      </c>
      <c r="H10" s="185"/>
      <c r="I10" s="185"/>
      <c r="J10" s="180"/>
    </row>
    <row r="11" spans="1:10">
      <c r="A11" s="182" t="s">
        <v>323</v>
      </c>
      <c r="B11" s="186"/>
      <c r="C11" s="187"/>
      <c r="D11" s="188"/>
      <c r="E11" s="189"/>
      <c r="H11" s="341" t="s">
        <v>399</v>
      </c>
      <c r="I11" s="190"/>
      <c r="J11" s="180"/>
    </row>
    <row r="12" spans="1:10">
      <c r="A12" s="191" t="s">
        <v>324</v>
      </c>
      <c r="B12" s="192"/>
      <c r="C12" s="193"/>
      <c r="D12" s="188"/>
      <c r="E12" s="189"/>
      <c r="G12" s="180"/>
      <c r="H12" s="180"/>
      <c r="I12" s="180"/>
      <c r="J12" s="180"/>
    </row>
    <row r="13" spans="1:10" ht="14" thickBot="1">
      <c r="A13" s="194" t="s">
        <v>325</v>
      </c>
      <c r="B13" s="195"/>
      <c r="C13" s="196"/>
      <c r="D13" s="197">
        <f>IF(D11="",0,D11/D12)</f>
        <v>0</v>
      </c>
      <c r="E13" s="198">
        <f>IF(E11="",0,E11/E12)</f>
        <v>0</v>
      </c>
    </row>
    <row r="14" spans="1:10" ht="14">
      <c r="A14" s="199" t="s">
        <v>326</v>
      </c>
      <c r="B14" s="199"/>
      <c r="C14" s="200"/>
      <c r="D14" s="201">
        <f>+D6+D10</f>
        <v>0</v>
      </c>
      <c r="E14" s="201">
        <f>+E6+E10</f>
        <v>0</v>
      </c>
    </row>
    <row r="15" spans="1:10">
      <c r="A15" s="340" t="s">
        <v>398</v>
      </c>
      <c r="B15" s="202"/>
      <c r="C15" s="203"/>
      <c r="D15" s="203"/>
      <c r="E15" s="203"/>
    </row>
    <row r="16" spans="1:10" ht="19" thickBot="1">
      <c r="A16" s="146" t="s">
        <v>327</v>
      </c>
      <c r="D16" s="307" t="s">
        <v>390</v>
      </c>
      <c r="E16" s="307" t="s">
        <v>391</v>
      </c>
      <c r="G16" s="146" t="str">
        <f>"Heltidsskolefritidsordning budgetopstilling for "&amp;aarstal&amp;":"</f>
        <v>Heltidsskolefritidsordning budgetopstilling for 2026:</v>
      </c>
    </row>
    <row r="17" spans="1:11">
      <c r="A17" s="147" t="s">
        <v>306</v>
      </c>
      <c r="B17" s="148"/>
      <c r="C17" s="149"/>
      <c r="D17" s="150">
        <f>aarstal</f>
        <v>2026</v>
      </c>
      <c r="E17" s="293">
        <f>aarstal+1</f>
        <v>2027</v>
      </c>
      <c r="G17" s="204" t="s">
        <v>329</v>
      </c>
      <c r="H17" s="205"/>
      <c r="I17" s="205"/>
      <c r="J17" s="206"/>
      <c r="K17" s="207"/>
    </row>
    <row r="18" spans="1:11">
      <c r="A18" s="153" t="s">
        <v>309</v>
      </c>
      <c r="B18" s="154"/>
      <c r="C18" s="155"/>
      <c r="D18" s="156"/>
      <c r="E18" s="157"/>
      <c r="G18" s="208"/>
      <c r="H18" s="209" t="s">
        <v>330</v>
      </c>
      <c r="I18" s="209"/>
      <c r="J18" s="210"/>
      <c r="K18" s="212"/>
    </row>
    <row r="19" spans="1:11">
      <c r="A19" s="160" t="s">
        <v>312</v>
      </c>
      <c r="B19" s="161"/>
      <c r="C19" s="162"/>
      <c r="D19" s="163"/>
      <c r="E19" s="157"/>
      <c r="G19" s="208"/>
      <c r="H19" s="209" t="s">
        <v>331</v>
      </c>
      <c r="I19" s="209"/>
      <c r="J19" s="210"/>
      <c r="K19" s="212"/>
    </row>
    <row r="20" spans="1:11">
      <c r="A20" s="160" t="s">
        <v>314</v>
      </c>
      <c r="B20" s="161"/>
      <c r="C20" s="162"/>
      <c r="D20" s="165"/>
      <c r="E20" s="157"/>
      <c r="G20" s="208"/>
      <c r="H20" s="209" t="s">
        <v>333</v>
      </c>
      <c r="I20" s="209"/>
      <c r="J20" s="210"/>
      <c r="K20" s="212"/>
    </row>
    <row r="21" spans="1:11" ht="17" thickBot="1">
      <c r="A21" s="167"/>
      <c r="B21" s="168" t="s">
        <v>316</v>
      </c>
      <c r="C21" s="169"/>
      <c r="D21" s="170">
        <f>(D18+D19+D20)*D26*5/12</f>
        <v>0</v>
      </c>
      <c r="E21" s="294">
        <f>(E18+E19+E20)*E26</f>
        <v>0</v>
      </c>
      <c r="G21" s="208"/>
      <c r="H21" s="209" t="s">
        <v>177</v>
      </c>
      <c r="I21" s="209"/>
      <c r="J21" s="218"/>
      <c r="K21" s="219"/>
    </row>
    <row r="22" spans="1:11" ht="14" thickBot="1">
      <c r="A22" s="153" t="s">
        <v>328</v>
      </c>
      <c r="B22" s="172"/>
      <c r="C22" s="173"/>
      <c r="D22" s="174"/>
      <c r="E22" s="175"/>
      <c r="G22" s="220" t="s">
        <v>336</v>
      </c>
      <c r="H22" s="221"/>
      <c r="I22" s="221"/>
      <c r="J22" s="222"/>
      <c r="K22" s="223">
        <f>SUM(J18:J21)</f>
        <v>0</v>
      </c>
    </row>
    <row r="23" spans="1:11">
      <c r="A23" s="160" t="s">
        <v>320</v>
      </c>
      <c r="B23" s="161"/>
      <c r="C23" s="177"/>
      <c r="D23" s="178"/>
      <c r="E23" s="179"/>
      <c r="G23" s="208"/>
      <c r="H23" s="211"/>
      <c r="I23" s="211"/>
      <c r="J23" s="211"/>
      <c r="K23" s="219"/>
    </row>
    <row r="24" spans="1:11">
      <c r="A24" s="160" t="s">
        <v>186</v>
      </c>
      <c r="B24" s="161"/>
      <c r="C24" s="181" t="s">
        <v>321</v>
      </c>
      <c r="D24" s="165"/>
      <c r="E24" s="157"/>
      <c r="G24" s="228" t="s">
        <v>338</v>
      </c>
      <c r="H24" s="211"/>
      <c r="I24" s="211"/>
      <c r="J24" s="211"/>
      <c r="K24" s="219"/>
    </row>
    <row r="25" spans="1:11">
      <c r="A25" s="182"/>
      <c r="B25" s="168" t="s">
        <v>322</v>
      </c>
      <c r="C25" s="183"/>
      <c r="D25" s="184">
        <f>5/12*D22*D26+D23+D24</f>
        <v>0</v>
      </c>
      <c r="E25" s="296">
        <f>E22*E26+E23+E24</f>
        <v>0</v>
      </c>
      <c r="G25" s="208"/>
      <c r="H25" s="229" t="s">
        <v>340</v>
      </c>
      <c r="I25" s="230"/>
      <c r="J25" s="210"/>
      <c r="K25" s="219"/>
    </row>
    <row r="26" spans="1:11">
      <c r="A26" s="182" t="s">
        <v>323</v>
      </c>
      <c r="B26" s="186"/>
      <c r="C26" s="187"/>
      <c r="D26" s="188"/>
      <c r="E26" s="189"/>
      <c r="G26" s="208"/>
      <c r="H26" s="229" t="s">
        <v>341</v>
      </c>
      <c r="I26" s="230"/>
      <c r="J26" s="210"/>
      <c r="K26" s="219"/>
    </row>
    <row r="27" spans="1:11">
      <c r="A27" s="191" t="s">
        <v>324</v>
      </c>
      <c r="B27" s="192"/>
      <c r="C27" s="193"/>
      <c r="D27" s="188"/>
      <c r="E27" s="189"/>
      <c r="G27" s="208"/>
      <c r="H27" s="229" t="s">
        <v>343</v>
      </c>
      <c r="I27" s="230"/>
      <c r="J27" s="210"/>
      <c r="K27" s="219"/>
    </row>
    <row r="28" spans="1:11" ht="14" thickBot="1">
      <c r="A28" s="194" t="s">
        <v>325</v>
      </c>
      <c r="B28" s="195"/>
      <c r="C28" s="196"/>
      <c r="D28" s="197">
        <f>IF(D26="",0,D26/D27)</f>
        <v>0</v>
      </c>
      <c r="E28" s="198">
        <f>IF(E26="",0,E26/E27)</f>
        <v>0</v>
      </c>
      <c r="G28" s="208"/>
      <c r="H28" s="229" t="s">
        <v>307</v>
      </c>
      <c r="I28" s="230"/>
      <c r="J28" s="210"/>
      <c r="K28" s="219"/>
    </row>
    <row r="29" spans="1:11" ht="14">
      <c r="A29" s="199" t="s">
        <v>326</v>
      </c>
      <c r="B29" s="199"/>
      <c r="C29" s="200"/>
      <c r="D29" s="201">
        <f>+D21+D25</f>
        <v>0</v>
      </c>
      <c r="E29" s="201">
        <f>+E21+E25</f>
        <v>0</v>
      </c>
      <c r="G29" s="208"/>
      <c r="H29" s="229" t="s">
        <v>346</v>
      </c>
      <c r="I29" s="230"/>
      <c r="J29" s="210"/>
      <c r="K29" s="219"/>
    </row>
    <row r="30" spans="1:11" ht="14" thickBot="1">
      <c r="A30" s="202"/>
      <c r="B30" s="202"/>
      <c r="C30" s="203"/>
      <c r="D30" s="307" t="s">
        <v>390</v>
      </c>
      <c r="E30" s="203"/>
      <c r="G30" s="208"/>
      <c r="H30" s="229" t="s">
        <v>287</v>
      </c>
      <c r="I30" s="230"/>
      <c r="J30" s="210"/>
      <c r="K30" s="219"/>
    </row>
    <row r="31" spans="1:11">
      <c r="A31" s="213" t="s">
        <v>396</v>
      </c>
      <c r="B31" s="214"/>
      <c r="C31" s="214"/>
      <c r="D31" s="150">
        <f>aarstal</f>
        <v>2026</v>
      </c>
      <c r="E31" s="337">
        <f>aarstal+1</f>
        <v>2027</v>
      </c>
      <c r="G31" s="208"/>
      <c r="H31" s="229" t="s">
        <v>349</v>
      </c>
      <c r="I31" s="230"/>
      <c r="J31" s="210"/>
      <c r="K31" s="219"/>
    </row>
    <row r="32" spans="1:11" ht="14" thickBot="1">
      <c r="A32" s="215" t="s">
        <v>332</v>
      </c>
      <c r="B32" s="216"/>
      <c r="C32" s="216"/>
      <c r="D32" s="565"/>
      <c r="E32" s="566"/>
      <c r="G32" s="208"/>
      <c r="H32" s="229" t="s">
        <v>350</v>
      </c>
      <c r="I32" s="230"/>
      <c r="J32" s="210"/>
      <c r="K32" s="219"/>
    </row>
    <row r="33" spans="1:11" ht="14" thickBot="1">
      <c r="A33" s="217" t="s">
        <v>334</v>
      </c>
      <c r="B33" s="216"/>
      <c r="C33" s="216"/>
      <c r="D33" s="565"/>
      <c r="E33" s="566"/>
      <c r="G33" s="228" t="s">
        <v>351</v>
      </c>
      <c r="H33" s="245"/>
      <c r="I33" s="245"/>
      <c r="J33" s="245"/>
      <c r="K33" s="223">
        <f>SUM(J25:J32)</f>
        <v>0</v>
      </c>
    </row>
    <row r="34" spans="1:11" ht="14" thickBot="1">
      <c r="A34" s="217" t="s">
        <v>335</v>
      </c>
      <c r="B34" s="216"/>
      <c r="C34" s="216"/>
      <c r="D34" s="565"/>
      <c r="E34" s="566"/>
      <c r="G34" s="208"/>
      <c r="H34" s="211"/>
      <c r="I34" s="211"/>
      <c r="J34" s="211"/>
      <c r="K34" s="219"/>
    </row>
    <row r="35" spans="1:11" ht="14" thickBot="1">
      <c r="A35" s="224" t="s">
        <v>337</v>
      </c>
      <c r="B35" s="225"/>
      <c r="C35" s="225"/>
      <c r="D35" s="226">
        <f>+D32+D34+D33</f>
        <v>0</v>
      </c>
      <c r="E35" s="227">
        <f>+E32+E34+E33</f>
        <v>0</v>
      </c>
      <c r="G35" s="249" t="s">
        <v>353</v>
      </c>
      <c r="H35" s="250"/>
      <c r="I35" s="250"/>
      <c r="J35" s="250"/>
      <c r="K35" s="251">
        <f>K22-K33</f>
        <v>0</v>
      </c>
    </row>
    <row r="36" spans="1:11" ht="14" thickBot="1">
      <c r="D36" s="307" t="s">
        <v>390</v>
      </c>
      <c r="E36" s="307" t="s">
        <v>391</v>
      </c>
      <c r="G36" t="s">
        <v>389</v>
      </c>
    </row>
    <row r="37" spans="1:11">
      <c r="A37" s="147" t="s">
        <v>339</v>
      </c>
      <c r="B37" s="148"/>
      <c r="C37" s="297"/>
      <c r="D37" s="150">
        <f>aarstal</f>
        <v>2026</v>
      </c>
      <c r="E37" s="337">
        <f>aarstal+1</f>
        <v>2027</v>
      </c>
      <c r="F37" s="180"/>
    </row>
    <row r="38" spans="1:11">
      <c r="A38" s="231"/>
      <c r="B38" s="232"/>
      <c r="C38" s="232"/>
      <c r="D38" s="233"/>
      <c r="E38" s="234"/>
      <c r="F38" s="180"/>
      <c r="G38" t="s">
        <v>397</v>
      </c>
    </row>
    <row r="39" spans="1:11">
      <c r="A39" s="160" t="s">
        <v>342</v>
      </c>
      <c r="B39" s="161"/>
      <c r="C39" s="211"/>
      <c r="D39" s="169"/>
      <c r="E39" s="235"/>
      <c r="F39" s="180"/>
    </row>
    <row r="40" spans="1:11">
      <c r="A40" s="182" t="s">
        <v>344</v>
      </c>
      <c r="B40" s="186"/>
      <c r="C40" s="304"/>
      <c r="D40" s="236"/>
      <c r="E40" s="309"/>
      <c r="F40" s="180"/>
    </row>
    <row r="41" spans="1:11">
      <c r="A41" s="191" t="s">
        <v>345</v>
      </c>
      <c r="B41" s="237"/>
      <c r="C41" s="237"/>
      <c r="D41" s="236"/>
      <c r="E41" s="309"/>
      <c r="F41" s="180"/>
    </row>
    <row r="42" spans="1:11">
      <c r="A42" s="191" t="s">
        <v>347</v>
      </c>
      <c r="B42" s="237"/>
      <c r="C42" s="237"/>
      <c r="D42" s="236"/>
      <c r="E42" s="309"/>
      <c r="F42" s="180"/>
    </row>
    <row r="43" spans="1:11">
      <c r="A43" s="238" t="s">
        <v>348</v>
      </c>
      <c r="B43" s="239"/>
      <c r="C43" s="239"/>
      <c r="D43" s="240"/>
      <c r="E43" s="310"/>
      <c r="F43" s="180"/>
    </row>
    <row r="44" spans="1:11">
      <c r="A44" s="241"/>
      <c r="B44" s="303"/>
      <c r="C44" s="242"/>
      <c r="D44" s="243"/>
      <c r="E44" s="311"/>
      <c r="F44" s="180"/>
    </row>
    <row r="45" spans="1:11">
      <c r="A45" s="208"/>
      <c r="B45" s="211"/>
      <c r="C45" s="305"/>
      <c r="D45" s="244"/>
      <c r="E45" s="312"/>
      <c r="F45" s="180"/>
    </row>
    <row r="46" spans="1:11">
      <c r="A46" s="241"/>
      <c r="B46" s="303"/>
      <c r="C46" s="232"/>
      <c r="D46" s="306"/>
      <c r="E46" s="313"/>
      <c r="F46" s="180"/>
    </row>
    <row r="47" spans="1:11">
      <c r="A47" s="331" t="s">
        <v>352</v>
      </c>
      <c r="B47" s="332"/>
      <c r="C47" s="298"/>
      <c r="D47" s="333">
        <f>SUM(D40:D46)</f>
        <v>0</v>
      </c>
      <c r="E47" s="333">
        <f>SUM(E40:E46)</f>
        <v>0</v>
      </c>
      <c r="F47" s="180"/>
    </row>
    <row r="48" spans="1:11" ht="14" thickBot="1">
      <c r="A48" s="228"/>
      <c r="B48" s="211"/>
      <c r="C48" s="211"/>
      <c r="D48" s="338" t="s">
        <v>390</v>
      </c>
      <c r="E48" s="339" t="s">
        <v>391</v>
      </c>
      <c r="F48" s="180"/>
    </row>
    <row r="49" spans="1:6">
      <c r="A49" s="252" t="s">
        <v>354</v>
      </c>
      <c r="B49" s="245"/>
      <c r="C49" s="245"/>
      <c r="D49" s="150">
        <f>aarstal</f>
        <v>2026</v>
      </c>
      <c r="E49" s="337">
        <f>aarstal+1</f>
        <v>2027</v>
      </c>
      <c r="F49" s="180"/>
    </row>
    <row r="50" spans="1:6">
      <c r="A50" s="231" t="s">
        <v>355</v>
      </c>
      <c r="B50" s="232"/>
      <c r="C50" s="232"/>
      <c r="D50" s="236"/>
      <c r="E50" s="309"/>
      <c r="F50" s="180"/>
    </row>
    <row r="51" spans="1:6">
      <c r="A51" s="160" t="s">
        <v>356</v>
      </c>
      <c r="B51" s="299"/>
      <c r="C51" s="161"/>
      <c r="D51" s="253"/>
      <c r="E51" s="314"/>
      <c r="F51" s="180"/>
    </row>
    <row r="52" spans="1:6">
      <c r="A52" s="160" t="s">
        <v>357</v>
      </c>
      <c r="B52" s="299"/>
      <c r="C52" s="161"/>
      <c r="D52" s="254"/>
      <c r="E52" s="315"/>
      <c r="F52" s="180"/>
    </row>
    <row r="53" spans="1:6">
      <c r="A53" s="255" t="s">
        <v>12</v>
      </c>
      <c r="B53" s="270"/>
      <c r="C53" s="270"/>
      <c r="D53" s="174"/>
      <c r="E53" s="316"/>
      <c r="F53" s="180"/>
    </row>
    <row r="54" spans="1:6">
      <c r="A54" s="255" t="s">
        <v>358</v>
      </c>
      <c r="B54" s="302"/>
      <c r="C54" s="256"/>
      <c r="D54" s="257"/>
      <c r="E54" s="317"/>
      <c r="F54" s="180"/>
    </row>
    <row r="55" spans="1:6">
      <c r="A55" s="160" t="s">
        <v>359</v>
      </c>
      <c r="B55" s="299"/>
      <c r="C55" s="299"/>
      <c r="D55" s="174"/>
      <c r="E55" s="316"/>
      <c r="F55" s="180"/>
    </row>
    <row r="56" spans="1:6">
      <c r="A56" s="258" t="s">
        <v>360</v>
      </c>
      <c r="B56" s="259"/>
      <c r="C56" s="259"/>
      <c r="D56" s="260"/>
      <c r="E56" s="318"/>
      <c r="F56" s="180"/>
    </row>
    <row r="57" spans="1:6">
      <c r="A57" s="182" t="s">
        <v>361</v>
      </c>
      <c r="B57" s="232"/>
      <c r="C57" s="232"/>
      <c r="D57" s="261"/>
      <c r="E57" s="319"/>
      <c r="F57" s="180"/>
    </row>
    <row r="58" spans="1:6">
      <c r="A58" s="238" t="s">
        <v>362</v>
      </c>
      <c r="B58" s="239"/>
      <c r="C58" s="239"/>
      <c r="D58" s="240"/>
      <c r="E58" s="310"/>
      <c r="F58" s="180"/>
    </row>
    <row r="59" spans="1:6">
      <c r="A59" s="262" t="s">
        <v>363</v>
      </c>
      <c r="B59" s="263"/>
      <c r="C59" s="263"/>
      <c r="D59" s="265">
        <f>SUM(D50:D58)</f>
        <v>0</v>
      </c>
      <c r="E59" s="265">
        <f>SUM(E50:E58)</f>
        <v>0</v>
      </c>
      <c r="F59" s="180"/>
    </row>
    <row r="60" spans="1:6" ht="14" thickBot="1">
      <c r="A60" s="208"/>
      <c r="B60" s="211"/>
      <c r="C60" s="211"/>
      <c r="D60" s="338" t="s">
        <v>390</v>
      </c>
      <c r="E60" s="339" t="s">
        <v>391</v>
      </c>
      <c r="F60" s="180"/>
    </row>
    <row r="61" spans="1:6">
      <c r="A61" s="283" t="s">
        <v>364</v>
      </c>
      <c r="B61" s="300"/>
      <c r="C61" s="284"/>
      <c r="D61" s="150">
        <f>aarstal</f>
        <v>2026</v>
      </c>
      <c r="E61" s="337">
        <f>aarstal+1</f>
        <v>2027</v>
      </c>
      <c r="F61" s="180"/>
    </row>
    <row r="62" spans="1:6">
      <c r="A62" s="160" t="s">
        <v>8</v>
      </c>
      <c r="B62" s="299"/>
      <c r="C62" s="161"/>
      <c r="D62" s="266"/>
      <c r="E62" s="320"/>
      <c r="F62" s="180"/>
    </row>
    <row r="63" spans="1:6">
      <c r="A63" s="160" t="s">
        <v>365</v>
      </c>
      <c r="B63" s="299"/>
      <c r="C63" s="161"/>
      <c r="D63" s="266"/>
      <c r="E63" s="320"/>
      <c r="F63" s="180"/>
    </row>
    <row r="64" spans="1:6">
      <c r="A64" s="255"/>
      <c r="B64" s="270"/>
      <c r="C64" s="301"/>
      <c r="D64" s="267"/>
      <c r="E64" s="321"/>
      <c r="F64" s="180"/>
    </row>
    <row r="65" spans="1:6">
      <c r="A65" s="262" t="s">
        <v>392</v>
      </c>
      <c r="B65" s="263"/>
      <c r="C65" s="263"/>
      <c r="D65" s="265">
        <f>SUM(D62:D64)</f>
        <v>0</v>
      </c>
      <c r="E65" s="265">
        <f>SUM(E62:E64)</f>
        <v>0</v>
      </c>
      <c r="F65" s="180"/>
    </row>
    <row r="66" spans="1:6" ht="14" thickBot="1">
      <c r="A66" s="208"/>
      <c r="B66" s="211"/>
      <c r="C66" s="211"/>
      <c r="D66" s="338" t="s">
        <v>390</v>
      </c>
      <c r="E66" s="339" t="s">
        <v>391</v>
      </c>
    </row>
    <row r="67" spans="1:6">
      <c r="A67" s="268" t="s">
        <v>366</v>
      </c>
      <c r="B67" s="269"/>
      <c r="C67" s="269"/>
      <c r="D67" s="150">
        <f>aarstal</f>
        <v>2026</v>
      </c>
      <c r="E67" s="337">
        <f>aarstal+1</f>
        <v>2027</v>
      </c>
    </row>
    <row r="68" spans="1:6">
      <c r="A68" s="271" t="s">
        <v>367</v>
      </c>
      <c r="B68" s="173"/>
      <c r="C68" s="173"/>
      <c r="D68" s="272"/>
      <c r="E68" s="322"/>
    </row>
    <row r="69" spans="1:6">
      <c r="A69" s="271" t="s">
        <v>368</v>
      </c>
      <c r="B69" s="173"/>
      <c r="C69" s="173"/>
      <c r="D69" s="272"/>
      <c r="E69" s="322"/>
    </row>
    <row r="70" spans="1:6">
      <c r="A70" s="271" t="s">
        <v>321</v>
      </c>
      <c r="B70" s="173"/>
      <c r="C70" s="173"/>
      <c r="D70" s="272"/>
      <c r="E70" s="322"/>
    </row>
    <row r="71" spans="1:6">
      <c r="A71" s="271"/>
      <c r="B71" s="173"/>
      <c r="C71" s="173"/>
      <c r="D71" s="272"/>
      <c r="E71" s="322"/>
    </row>
    <row r="72" spans="1:6">
      <c r="A72" s="271"/>
      <c r="B72" s="173"/>
      <c r="C72" s="173"/>
      <c r="D72" s="272"/>
      <c r="E72" s="322"/>
    </row>
    <row r="73" spans="1:6">
      <c r="A73" s="271"/>
      <c r="B73" s="173"/>
      <c r="C73" s="173"/>
      <c r="D73" s="272"/>
      <c r="E73" s="322"/>
    </row>
    <row r="74" spans="1:6">
      <c r="A74" s="271"/>
      <c r="B74" s="173"/>
      <c r="C74" s="173"/>
      <c r="D74" s="272"/>
      <c r="E74" s="322"/>
    </row>
    <row r="75" spans="1:6">
      <c r="A75" s="273"/>
      <c r="B75" s="233"/>
      <c r="C75" s="169"/>
      <c r="D75" s="272"/>
      <c r="E75" s="322"/>
    </row>
    <row r="76" spans="1:6">
      <c r="A76" s="247" t="s">
        <v>369</v>
      </c>
      <c r="B76" s="274"/>
      <c r="C76" s="274"/>
      <c r="D76" s="275">
        <f>SUM(D68:D75)</f>
        <v>0</v>
      </c>
      <c r="E76" s="275">
        <f>SUM(E68:E75)</f>
        <v>0</v>
      </c>
    </row>
    <row r="77" spans="1:6" ht="14" thickBot="1">
      <c r="A77" s="334"/>
      <c r="B77" s="335"/>
      <c r="C77" s="335"/>
      <c r="D77" s="338" t="s">
        <v>390</v>
      </c>
      <c r="E77" s="339" t="s">
        <v>391</v>
      </c>
    </row>
    <row r="78" spans="1:6">
      <c r="A78" s="268" t="s">
        <v>370</v>
      </c>
      <c r="B78" s="269"/>
      <c r="C78" s="269"/>
      <c r="D78" s="150">
        <f>aarstal</f>
        <v>2026</v>
      </c>
      <c r="E78" s="337">
        <f>aarstal+1</f>
        <v>2027</v>
      </c>
    </row>
    <row r="79" spans="1:6">
      <c r="A79" s="208" t="s">
        <v>371</v>
      </c>
      <c r="B79" s="211"/>
      <c r="C79" s="211"/>
      <c r="D79" s="276"/>
      <c r="E79" s="336"/>
    </row>
    <row r="80" spans="1:6">
      <c r="A80" s="191" t="s">
        <v>372</v>
      </c>
      <c r="B80" s="237"/>
      <c r="C80" s="237"/>
      <c r="D80" s="236"/>
      <c r="E80" s="309"/>
    </row>
    <row r="81" spans="1:5">
      <c r="A81" s="208" t="s">
        <v>373</v>
      </c>
      <c r="B81" s="211"/>
      <c r="C81" s="211"/>
      <c r="D81" s="236"/>
      <c r="E81" s="309"/>
    </row>
    <row r="82" spans="1:5">
      <c r="A82" s="271" t="s">
        <v>374</v>
      </c>
      <c r="B82" s="173"/>
      <c r="C82" s="173"/>
      <c r="D82" s="236"/>
      <c r="E82" s="309"/>
    </row>
    <row r="83" spans="1:5">
      <c r="A83" s="271"/>
      <c r="B83" s="173"/>
      <c r="C83" s="173"/>
      <c r="D83" s="236"/>
      <c r="E83" s="309"/>
    </row>
    <row r="84" spans="1:5">
      <c r="A84" s="271"/>
      <c r="B84" s="173"/>
      <c r="C84" s="173"/>
      <c r="D84" s="236"/>
      <c r="E84" s="309"/>
    </row>
    <row r="85" spans="1:5">
      <c r="A85" s="277"/>
      <c r="B85" s="278"/>
      <c r="C85" s="278"/>
      <c r="D85" s="279"/>
      <c r="E85" s="323"/>
    </row>
    <row r="86" spans="1:5">
      <c r="A86" s="262" t="s">
        <v>375</v>
      </c>
      <c r="B86" s="264"/>
      <c r="C86" s="298"/>
      <c r="D86" s="280">
        <f>SUM(D79:D85)</f>
        <v>0</v>
      </c>
      <c r="E86" s="280">
        <f>SUM(E79:E85)</f>
        <v>0</v>
      </c>
    </row>
    <row r="87" spans="1:5" ht="14" thickBot="1">
      <c r="A87" s="281"/>
      <c r="B87" s="282"/>
      <c r="C87" s="282"/>
      <c r="D87" s="338" t="s">
        <v>390</v>
      </c>
      <c r="E87" s="339" t="s">
        <v>391</v>
      </c>
    </row>
    <row r="88" spans="1:5">
      <c r="A88" s="283" t="s">
        <v>376</v>
      </c>
      <c r="B88" s="300"/>
      <c r="C88" s="284"/>
      <c r="D88" s="150">
        <f>aarstal</f>
        <v>2026</v>
      </c>
      <c r="E88" s="337">
        <f>aarstal+1</f>
        <v>2027</v>
      </c>
    </row>
    <row r="89" spans="1:5">
      <c r="A89" s="160" t="s">
        <v>377</v>
      </c>
      <c r="B89" s="299"/>
      <c r="C89" s="161"/>
      <c r="D89" s="285"/>
      <c r="E89" s="324"/>
    </row>
    <row r="90" spans="1:5">
      <c r="A90" s="160" t="s">
        <v>378</v>
      </c>
      <c r="B90" s="299"/>
      <c r="C90" s="161"/>
      <c r="D90" s="246"/>
      <c r="E90" s="325"/>
    </row>
    <row r="91" spans="1:5">
      <c r="A91" s="286" t="s">
        <v>379</v>
      </c>
      <c r="B91" s="287"/>
      <c r="C91" s="287"/>
      <c r="D91" s="236"/>
      <c r="E91" s="309"/>
    </row>
    <row r="92" spans="1:5">
      <c r="A92" s="271" t="s">
        <v>380</v>
      </c>
      <c r="B92" s="173"/>
      <c r="C92" s="173"/>
      <c r="D92" s="236"/>
      <c r="E92" s="309"/>
    </row>
    <row r="93" spans="1:5">
      <c r="A93" s="273" t="s">
        <v>381</v>
      </c>
      <c r="B93" s="233"/>
      <c r="C93" s="233"/>
      <c r="D93" s="236"/>
      <c r="E93" s="309"/>
    </row>
    <row r="94" spans="1:5">
      <c r="A94" s="160" t="s">
        <v>382</v>
      </c>
      <c r="B94" s="299"/>
      <c r="C94" s="161"/>
      <c r="D94" s="253"/>
      <c r="E94" s="314"/>
    </row>
    <row r="95" spans="1:5">
      <c r="A95" s="160" t="s">
        <v>383</v>
      </c>
      <c r="B95" s="299"/>
      <c r="C95" s="161"/>
      <c r="D95" s="253"/>
      <c r="E95" s="314"/>
    </row>
    <row r="96" spans="1:5">
      <c r="A96" s="160" t="s">
        <v>384</v>
      </c>
      <c r="B96" s="299"/>
      <c r="C96" s="161"/>
      <c r="D96" s="253"/>
      <c r="E96" s="314"/>
    </row>
    <row r="97" spans="1:6">
      <c r="A97" s="160" t="s">
        <v>385</v>
      </c>
      <c r="B97" s="299"/>
      <c r="C97" s="161"/>
      <c r="D97" s="288">
        <v>0</v>
      </c>
      <c r="E97" s="326">
        <f>E26*30</f>
        <v>0</v>
      </c>
    </row>
    <row r="98" spans="1:6">
      <c r="A98" s="160" t="s">
        <v>350</v>
      </c>
      <c r="B98" s="299"/>
      <c r="C98" s="161"/>
      <c r="D98" s="253"/>
      <c r="E98" s="314"/>
      <c r="F98" t="s">
        <v>401</v>
      </c>
    </row>
    <row r="99" spans="1:6">
      <c r="A99" s="262" t="s">
        <v>386</v>
      </c>
      <c r="B99" s="264"/>
      <c r="C99" s="298"/>
      <c r="D99" s="248">
        <f>SUM(D89:D98)</f>
        <v>0</v>
      </c>
      <c r="E99" s="248">
        <f>SUM(E89:E98)</f>
        <v>0</v>
      </c>
    </row>
    <row r="100" spans="1:6" ht="14" thickBot="1">
      <c r="A100" s="34"/>
    </row>
    <row r="101" spans="1:6" ht="16">
      <c r="A101" s="289" t="s">
        <v>387</v>
      </c>
      <c r="B101" s="290"/>
      <c r="C101" s="290"/>
      <c r="D101" s="329">
        <f>D35+D47+D59+D65+D76+D86+D99</f>
        <v>0</v>
      </c>
      <c r="E101" s="327">
        <f>E35+E47+E59+E65+E76+E86+E99</f>
        <v>0</v>
      </c>
    </row>
    <row r="102" spans="1:6" ht="17" thickBot="1">
      <c r="A102" s="291" t="s">
        <v>388</v>
      </c>
      <c r="B102" s="292"/>
      <c r="C102" s="292"/>
      <c r="D102" s="330">
        <f>D14+D29-D101</f>
        <v>0</v>
      </c>
      <c r="E102" s="328">
        <f>E14+E29-E101</f>
        <v>0</v>
      </c>
    </row>
  </sheetData>
  <sheetProtection sheet="1" objects="1" scenarios="1" formatCells="0" formatColumns="0" formatRows="0"/>
  <mergeCells count="6">
    <mergeCell ref="G7:H7"/>
    <mergeCell ref="G2:H2"/>
    <mergeCell ref="G3:H3"/>
    <mergeCell ref="G4:H4"/>
    <mergeCell ref="G5:H5"/>
    <mergeCell ref="G6:H6"/>
  </mergeCells>
  <hyperlinks>
    <hyperlink ref="H11" location="'22.Dagtilbud'!A1" display="til 'Budget'" xr:uid="{00000000-0004-0000-1500-000000000000}"/>
  </hyperlinks>
  <pageMargins left="0.75" right="0.75" top="1" bottom="1" header="0.5" footer="0.5"/>
  <pageSetup paperSize="9" orientation="portrait"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47"/>
  <sheetViews>
    <sheetView topLeftCell="A2" workbookViewId="0">
      <selection activeCell="E44" sqref="E44"/>
    </sheetView>
  </sheetViews>
  <sheetFormatPr baseColWidth="10" defaultColWidth="11.5" defaultRowHeight="13"/>
  <cols>
    <col min="1" max="1" width="17.6640625" customWidth="1"/>
    <col min="2" max="2" width="13" bestFit="1" customWidth="1"/>
    <col min="3" max="7" width="13.33203125" bestFit="1" customWidth="1"/>
    <col min="8" max="9" width="16.83203125" customWidth="1"/>
    <col min="10" max="21" width="13.33203125" bestFit="1" customWidth="1"/>
    <col min="22" max="22" width="14.83203125" bestFit="1" customWidth="1"/>
  </cols>
  <sheetData>
    <row r="1" spans="1:28">
      <c r="A1">
        <v>18</v>
      </c>
      <c r="B1" t="s">
        <v>434</v>
      </c>
      <c r="C1" t="s">
        <v>420</v>
      </c>
      <c r="D1" t="s">
        <v>421</v>
      </c>
      <c r="E1" t="s">
        <v>422</v>
      </c>
      <c r="F1" t="s">
        <v>423</v>
      </c>
      <c r="G1" t="s">
        <v>424</v>
      </c>
      <c r="H1" s="365" t="s">
        <v>234</v>
      </c>
      <c r="J1" t="s">
        <v>425</v>
      </c>
      <c r="K1" t="s">
        <v>426</v>
      </c>
      <c r="L1" t="s">
        <v>427</v>
      </c>
      <c r="M1" t="s">
        <v>428</v>
      </c>
      <c r="N1" t="s">
        <v>429</v>
      </c>
      <c r="O1" t="s">
        <v>430</v>
      </c>
      <c r="P1" t="s">
        <v>431</v>
      </c>
      <c r="Q1" t="s">
        <v>420</v>
      </c>
      <c r="R1" t="s">
        <v>421</v>
      </c>
      <c r="S1" t="s">
        <v>422</v>
      </c>
      <c r="T1" t="s">
        <v>423</v>
      </c>
      <c r="U1" t="s">
        <v>424</v>
      </c>
      <c r="V1" t="s">
        <v>234</v>
      </c>
      <c r="W1" t="s">
        <v>426</v>
      </c>
      <c r="X1" t="s">
        <v>427</v>
      </c>
      <c r="Y1" t="s">
        <v>428</v>
      </c>
      <c r="Z1" t="s">
        <v>429</v>
      </c>
      <c r="AA1" t="s">
        <v>430</v>
      </c>
      <c r="AB1" t="s">
        <v>431</v>
      </c>
    </row>
    <row r="2" spans="1:28">
      <c r="A2" t="s">
        <v>446</v>
      </c>
      <c r="B2" s="360">
        <v>0</v>
      </c>
      <c r="C2" s="360">
        <f>B13-B25</f>
        <v>240000</v>
      </c>
      <c r="D2" s="360">
        <f>C27</f>
        <v>240000</v>
      </c>
      <c r="E2" s="360">
        <f t="shared" ref="E2:G2" si="0">D27</f>
        <v>240000</v>
      </c>
      <c r="F2" s="360">
        <f t="shared" si="0"/>
        <v>240000</v>
      </c>
      <c r="G2" s="360">
        <f t="shared" si="0"/>
        <v>240000</v>
      </c>
      <c r="H2" s="366"/>
      <c r="I2" s="377"/>
      <c r="J2" s="360">
        <f>G27</f>
        <v>251320.25</v>
      </c>
      <c r="K2" s="360" t="e">
        <f>J27</f>
        <v>#DIV/0!</v>
      </c>
      <c r="L2" s="360" t="e">
        <f t="shared" ref="L2:U2" si="1">K27</f>
        <v>#DIV/0!</v>
      </c>
      <c r="M2" s="360" t="e">
        <f t="shared" si="1"/>
        <v>#DIV/0!</v>
      </c>
      <c r="N2" s="360" t="e">
        <f t="shared" si="1"/>
        <v>#DIV/0!</v>
      </c>
      <c r="O2" s="360" t="e">
        <f t="shared" si="1"/>
        <v>#DIV/0!</v>
      </c>
      <c r="P2" s="360" t="e">
        <f t="shared" si="1"/>
        <v>#DIV/0!</v>
      </c>
      <c r="Q2" s="360" t="e">
        <f t="shared" si="1"/>
        <v>#DIV/0!</v>
      </c>
      <c r="R2" s="360" t="e">
        <f t="shared" si="1"/>
        <v>#DIV/0!</v>
      </c>
      <c r="S2" s="360" t="e">
        <f t="shared" si="1"/>
        <v>#DIV/0!</v>
      </c>
      <c r="T2" s="360" t="e">
        <f t="shared" si="1"/>
        <v>#DIV/0!</v>
      </c>
      <c r="U2" s="360" t="e">
        <f t="shared" si="1"/>
        <v>#DIV/0!</v>
      </c>
      <c r="V2" s="360"/>
    </row>
    <row r="3" spans="1:28">
      <c r="B3" s="360"/>
      <c r="C3" s="360"/>
      <c r="D3" s="360"/>
      <c r="E3" s="360"/>
      <c r="F3" s="360"/>
      <c r="G3" s="360"/>
      <c r="H3" s="366"/>
      <c r="I3" s="377"/>
      <c r="J3" s="360"/>
      <c r="K3" s="360"/>
      <c r="L3" s="360"/>
      <c r="M3" s="360"/>
      <c r="N3" s="360"/>
      <c r="O3" s="360"/>
      <c r="P3" s="360"/>
      <c r="Q3" s="360"/>
      <c r="R3" s="360"/>
      <c r="S3" s="360"/>
      <c r="T3" s="360"/>
      <c r="U3" s="360"/>
      <c r="V3" s="360"/>
    </row>
    <row r="4" spans="1:28">
      <c r="A4" t="s">
        <v>419</v>
      </c>
      <c r="B4" s="360"/>
      <c r="C4" s="360"/>
      <c r="D4" s="360"/>
      <c r="E4" s="360">
        <f>'1.Driftstilskud'!B9/5*4</f>
        <v>0</v>
      </c>
      <c r="F4" s="360">
        <f>'1.Driftstilskud'!B9/5</f>
        <v>0</v>
      </c>
      <c r="G4" s="374">
        <f>'1.Driftstilskud'!$C$29/7</f>
        <v>0</v>
      </c>
      <c r="H4" s="366">
        <f>SUM(B4:G4)</f>
        <v>0</v>
      </c>
      <c r="I4" s="377"/>
      <c r="J4" s="360">
        <f>'1.Driftstilskud'!$C$29/7</f>
        <v>0</v>
      </c>
      <c r="K4" s="360">
        <f>'1.Driftstilskud'!$C$29/7</f>
        <v>0</v>
      </c>
      <c r="L4" s="360">
        <f>'1.Driftstilskud'!$C$29/7</f>
        <v>0</v>
      </c>
      <c r="M4" s="360">
        <f>'1.Driftstilskud'!$C$29/7</f>
        <v>0</v>
      </c>
      <c r="N4" s="360">
        <f>'1.Driftstilskud'!$C$29/7</f>
        <v>0</v>
      </c>
      <c r="O4" s="360">
        <f>'1.Driftstilskud'!$C$29/7</f>
        <v>0</v>
      </c>
      <c r="P4" s="360">
        <f>'1.Driftstilskud'!$C$29/7</f>
        <v>0</v>
      </c>
      <c r="Q4" s="360">
        <f>'1.Driftstilskud'!$C$29/7</f>
        <v>0</v>
      </c>
      <c r="R4" s="360">
        <f>'1.Driftstilskud'!$C$29/7</f>
        <v>0</v>
      </c>
      <c r="S4" s="360">
        <f>'1.Driftstilskud'!$C$29/7</f>
        <v>0</v>
      </c>
      <c r="T4" s="360">
        <f>'1.Driftstilskud'!$C$29/7</f>
        <v>0</v>
      </c>
      <c r="U4" s="360">
        <f>'1.Driftstilskud'!C49+('1.Driftstilskud'!C47/5)-Likviditet!J4-Likviditet!K4-Likviditet!L4-Likviditet!M4-Likviditet!N4-Likviditet!O4-Likviditet!P4-Likviditet!Q4-Likviditet!R4-Likviditet!S4-Likviditet!T4</f>
        <v>0</v>
      </c>
      <c r="V4" s="360">
        <f>SUM(J4:U4)</f>
        <v>0</v>
      </c>
    </row>
    <row r="5" spans="1:28">
      <c r="A5" t="s">
        <v>443</v>
      </c>
      <c r="B5" s="360"/>
      <c r="C5" s="360"/>
      <c r="D5" s="360"/>
      <c r="E5" s="360">
        <f>'2.Oevrige Statstilskud'!$B$11/5*4</f>
        <v>0</v>
      </c>
      <c r="F5" s="360">
        <f>E5/4</f>
        <v>0</v>
      </c>
      <c r="G5" s="374">
        <f>'2.Oevrige Statstilskud'!$B$12/7</f>
        <v>0</v>
      </c>
      <c r="H5" s="366">
        <f>SUM(B5:G5)</f>
        <v>0</v>
      </c>
      <c r="I5" s="377"/>
      <c r="J5" s="360">
        <f>G5</f>
        <v>0</v>
      </c>
      <c r="K5" s="360">
        <f>J5</f>
        <v>0</v>
      </c>
      <c r="L5" s="360">
        <f t="shared" ref="L5:T5" si="2">J5</f>
        <v>0</v>
      </c>
      <c r="M5" s="360">
        <f t="shared" si="2"/>
        <v>0</v>
      </c>
      <c r="N5" s="360">
        <f t="shared" si="2"/>
        <v>0</v>
      </c>
      <c r="O5" s="360">
        <f t="shared" si="2"/>
        <v>0</v>
      </c>
      <c r="P5" s="360">
        <f t="shared" si="2"/>
        <v>0</v>
      </c>
      <c r="Q5" s="360">
        <f t="shared" si="2"/>
        <v>0</v>
      </c>
      <c r="R5" s="360">
        <f t="shared" si="2"/>
        <v>0</v>
      </c>
      <c r="S5" s="360">
        <f t="shared" si="2"/>
        <v>0</v>
      </c>
      <c r="T5" s="360">
        <f t="shared" si="2"/>
        <v>0</v>
      </c>
      <c r="U5" s="360">
        <f>'2.Oevrige Statstilskud'!B12+'2.Oevrige Statstilskud'!B13-J5-K5-L5-M5-N5-O5-P5-Q5-R5-S5-T5+('2.Oevrige Statstilskud'!B13/5)</f>
        <v>0</v>
      </c>
      <c r="V5" s="360">
        <f t="shared" ref="V5:V47" si="3">SUM(J5:U5)</f>
        <v>0</v>
      </c>
    </row>
    <row r="6" spans="1:28">
      <c r="A6" t="s">
        <v>444</v>
      </c>
      <c r="B6" s="360"/>
      <c r="C6" s="360"/>
      <c r="D6" s="360"/>
      <c r="E6" s="360"/>
      <c r="F6" s="360"/>
      <c r="G6" s="374">
        <f>'2.Oevrige Statstilskud'!$B$20/7</f>
        <v>0</v>
      </c>
      <c r="H6" s="366">
        <f t="shared" ref="H6:H29" si="4">SUM(B6:G6)</f>
        <v>0</v>
      </c>
      <c r="I6" s="377"/>
      <c r="J6" s="360">
        <f>G6</f>
        <v>0</v>
      </c>
      <c r="K6" s="360">
        <f>J6</f>
        <v>0</v>
      </c>
      <c r="L6" s="360">
        <f t="shared" ref="L6:T6" si="5">K6</f>
        <v>0</v>
      </c>
      <c r="M6" s="360">
        <f t="shared" si="5"/>
        <v>0</v>
      </c>
      <c r="N6" s="360">
        <f t="shared" si="5"/>
        <v>0</v>
      </c>
      <c r="O6" s="360">
        <f t="shared" si="5"/>
        <v>0</v>
      </c>
      <c r="P6" s="360">
        <f t="shared" si="5"/>
        <v>0</v>
      </c>
      <c r="Q6" s="360">
        <f t="shared" si="5"/>
        <v>0</v>
      </c>
      <c r="R6" s="360">
        <f t="shared" si="5"/>
        <v>0</v>
      </c>
      <c r="S6" s="360">
        <f t="shared" si="5"/>
        <v>0</v>
      </c>
      <c r="T6" s="360">
        <f t="shared" si="5"/>
        <v>0</v>
      </c>
      <c r="U6" s="360">
        <f>'2.Oevrige Statstilskud'!B21-Likviditet!Q6-Likviditet!R6-Likviditet!S6-Likviditet!T6+('2.Oevrige Statstilskud'!B21/5)</f>
        <v>0</v>
      </c>
      <c r="V6" s="360">
        <f t="shared" si="3"/>
        <v>0</v>
      </c>
    </row>
    <row r="7" spans="1:28">
      <c r="A7" t="s">
        <v>445</v>
      </c>
      <c r="B7" s="360"/>
      <c r="C7" s="360"/>
      <c r="D7" s="360"/>
      <c r="E7" s="360"/>
      <c r="F7" s="360"/>
      <c r="G7" s="374">
        <f>'2.Oevrige Statstilskud'!B39/7</f>
        <v>11320.25</v>
      </c>
      <c r="H7" s="366">
        <f t="shared" si="4"/>
        <v>11320.25</v>
      </c>
      <c r="I7" s="377"/>
      <c r="J7" s="360">
        <f>G7</f>
        <v>11320.25</v>
      </c>
      <c r="K7" s="360">
        <f>G7</f>
        <v>11320.25</v>
      </c>
      <c r="L7" s="360">
        <f>K7</f>
        <v>11320.25</v>
      </c>
      <c r="M7" s="360">
        <f t="shared" ref="M7:U7" si="6">J7</f>
        <v>11320.25</v>
      </c>
      <c r="N7" s="360">
        <f t="shared" si="6"/>
        <v>11320.25</v>
      </c>
      <c r="O7" s="360">
        <f t="shared" si="6"/>
        <v>11320.25</v>
      </c>
      <c r="P7" s="360">
        <f t="shared" si="6"/>
        <v>11320.25</v>
      </c>
      <c r="Q7" s="360">
        <f t="shared" si="6"/>
        <v>11320.25</v>
      </c>
      <c r="R7" s="360">
        <f t="shared" si="6"/>
        <v>11320.25</v>
      </c>
      <c r="S7" s="360">
        <f t="shared" si="6"/>
        <v>11320.25</v>
      </c>
      <c r="T7" s="360">
        <f t="shared" si="6"/>
        <v>11320.25</v>
      </c>
      <c r="U7" s="360">
        <f t="shared" si="6"/>
        <v>11320.25</v>
      </c>
      <c r="V7" s="360">
        <f t="shared" si="3"/>
        <v>135843</v>
      </c>
    </row>
    <row r="8" spans="1:28">
      <c r="A8" t="s">
        <v>286</v>
      </c>
      <c r="B8" s="360"/>
      <c r="C8" s="360">
        <f>'3.Skolepenge'!$G$8/5</f>
        <v>0</v>
      </c>
      <c r="D8" s="360">
        <f>'3.Skolepenge'!$G$8/5</f>
        <v>0</v>
      </c>
      <c r="E8" s="360">
        <f>'3.Skolepenge'!$G$8/5</f>
        <v>0</v>
      </c>
      <c r="F8" s="360">
        <f>'3.Skolepenge'!$G$8/5</f>
        <v>0</v>
      </c>
      <c r="G8" s="360">
        <f>'3.Skolepenge'!$G$8/5</f>
        <v>0</v>
      </c>
      <c r="H8" s="366">
        <f t="shared" si="4"/>
        <v>0</v>
      </c>
      <c r="I8" s="377"/>
      <c r="J8" s="360" t="e">
        <f>'3.Skolepenge'!$G$16/'3.Skolepenge'!$F$13</f>
        <v>#DIV/0!</v>
      </c>
      <c r="K8" s="360" t="e">
        <f>'3.Skolepenge'!$G$16/'3.Skolepenge'!$F$13</f>
        <v>#DIV/0!</v>
      </c>
      <c r="L8" s="360" t="e">
        <f>'3.Skolepenge'!$G$16/'3.Skolepenge'!$F$13</f>
        <v>#DIV/0!</v>
      </c>
      <c r="M8" s="360" t="e">
        <f>'3.Skolepenge'!$G$16/'3.Skolepenge'!$F$13</f>
        <v>#DIV/0!</v>
      </c>
      <c r="N8" s="360" t="e">
        <f>'3.Skolepenge'!$G$16/'3.Skolepenge'!$F$13</f>
        <v>#DIV/0!</v>
      </c>
      <c r="O8" s="360" t="e">
        <f>'3.Skolepenge'!$G$16/'3.Skolepenge'!$F$13</f>
        <v>#DIV/0!</v>
      </c>
      <c r="P8" s="360">
        <v>0</v>
      </c>
      <c r="Q8" s="360">
        <f>'3.Skolepenge'!$G$24/5</f>
        <v>0</v>
      </c>
      <c r="R8" s="360">
        <f>'3.Skolepenge'!$G$24/5</f>
        <v>0</v>
      </c>
      <c r="S8" s="360">
        <f>'3.Skolepenge'!$G$24/5</f>
        <v>0</v>
      </c>
      <c r="T8" s="360">
        <f>'3.Skolepenge'!$G$24/5</f>
        <v>0</v>
      </c>
      <c r="U8" s="360">
        <f>'3.Skolepenge'!$G$24/5</f>
        <v>0</v>
      </c>
      <c r="V8" s="360" t="e">
        <f t="shared" si="3"/>
        <v>#DIV/0!</v>
      </c>
    </row>
    <row r="9" spans="1:28">
      <c r="A9" t="s">
        <v>432</v>
      </c>
      <c r="B9" s="360"/>
      <c r="C9" s="360">
        <f>'4.Foraeldrebetaling,SFO'!$G$8/5</f>
        <v>0</v>
      </c>
      <c r="D9" s="360">
        <f>'4.Foraeldrebetaling,SFO'!$G$8/5</f>
        <v>0</v>
      </c>
      <c r="E9" s="360">
        <f>'4.Foraeldrebetaling,SFO'!$G$8/5</f>
        <v>0</v>
      </c>
      <c r="F9" s="360">
        <f>'4.Foraeldrebetaling,SFO'!$G$8/5</f>
        <v>0</v>
      </c>
      <c r="G9" s="360">
        <f>'4.Foraeldrebetaling,SFO'!$G$8/5</f>
        <v>0</v>
      </c>
      <c r="H9" s="366">
        <f t="shared" si="4"/>
        <v>0</v>
      </c>
      <c r="I9" s="377"/>
      <c r="J9" s="360" t="e">
        <f>'4.Foraeldrebetaling,SFO'!$G$15/'4.Foraeldrebetaling,SFO'!$F$13</f>
        <v>#DIV/0!</v>
      </c>
      <c r="K9" s="360" t="e">
        <f>'4.Foraeldrebetaling,SFO'!$G$15/'4.Foraeldrebetaling,SFO'!$F$13</f>
        <v>#DIV/0!</v>
      </c>
      <c r="L9" s="360" t="e">
        <f>'4.Foraeldrebetaling,SFO'!$G$15/'4.Foraeldrebetaling,SFO'!$F$13</f>
        <v>#DIV/0!</v>
      </c>
      <c r="M9" s="360" t="e">
        <f>'4.Foraeldrebetaling,SFO'!$G$15/'4.Foraeldrebetaling,SFO'!$F$13</f>
        <v>#DIV/0!</v>
      </c>
      <c r="N9" s="360" t="e">
        <f>'4.Foraeldrebetaling,SFO'!$G$15/'4.Foraeldrebetaling,SFO'!$F$13</f>
        <v>#DIV/0!</v>
      </c>
      <c r="O9" s="360" t="e">
        <f>'4.Foraeldrebetaling,SFO'!$G$15/'4.Foraeldrebetaling,SFO'!$F$13</f>
        <v>#DIV/0!</v>
      </c>
      <c r="P9" s="360"/>
      <c r="Q9" s="360" t="e">
        <f>'4.Foraeldrebetaling,SFO'!$G$22/'4.Foraeldrebetaling,SFO'!$F$20</f>
        <v>#DIV/0!</v>
      </c>
      <c r="R9" s="360" t="e">
        <f>'4.Foraeldrebetaling,SFO'!$G$22/'4.Foraeldrebetaling,SFO'!$F$20</f>
        <v>#DIV/0!</v>
      </c>
      <c r="S9" s="360" t="e">
        <f>'4.Foraeldrebetaling,SFO'!$G$22/'4.Foraeldrebetaling,SFO'!$F$20</f>
        <v>#DIV/0!</v>
      </c>
      <c r="T9" s="360" t="e">
        <f>'4.Foraeldrebetaling,SFO'!$G$22/'4.Foraeldrebetaling,SFO'!$F$20</f>
        <v>#DIV/0!</v>
      </c>
      <c r="U9" s="360" t="e">
        <f>'4.Foraeldrebetaling,SFO'!$G$22/'4.Foraeldrebetaling,SFO'!$F$20</f>
        <v>#DIV/0!</v>
      </c>
      <c r="V9" s="360" t="e">
        <f t="shared" si="3"/>
        <v>#DIV/0!</v>
      </c>
    </row>
    <row r="10" spans="1:28">
      <c r="A10" t="s">
        <v>448</v>
      </c>
      <c r="B10" s="360"/>
      <c r="C10" s="360">
        <f>'5.Andre_Indt'!$C$15/5</f>
        <v>0</v>
      </c>
      <c r="D10" s="360">
        <f>'5.Andre_Indt'!$C$15/5</f>
        <v>0</v>
      </c>
      <c r="E10" s="360">
        <f>'5.Andre_Indt'!$C$15/5</f>
        <v>0</v>
      </c>
      <c r="F10" s="360">
        <f>'5.Andre_Indt'!$C$15/5</f>
        <v>0</v>
      </c>
      <c r="G10" s="360">
        <f>'5.Andre_Indt'!$C$15/5</f>
        <v>0</v>
      </c>
      <c r="H10" s="366">
        <f t="shared" si="4"/>
        <v>0</v>
      </c>
      <c r="I10" s="377"/>
      <c r="J10" s="360">
        <f>'5.Andre_Indt'!$C$15/5</f>
        <v>0</v>
      </c>
      <c r="K10" s="360">
        <f>'5.Andre_Indt'!$C$15/5</f>
        <v>0</v>
      </c>
      <c r="L10" s="360">
        <f>'5.Andre_Indt'!$C$15/5</f>
        <v>0</v>
      </c>
      <c r="M10" s="360">
        <f>'5.Andre_Indt'!$C$15/5</f>
        <v>0</v>
      </c>
      <c r="N10" s="360">
        <f>'5.Andre_Indt'!$C$15/5</f>
        <v>0</v>
      </c>
      <c r="O10" s="360">
        <f>'5.Andre_Indt'!$C$15/5</f>
        <v>0</v>
      </c>
      <c r="P10" s="360"/>
      <c r="Q10" s="360">
        <f>'5.Andre_Indt'!$E$15*'3.Skolepenge'!$E$21</f>
        <v>0</v>
      </c>
      <c r="R10" s="360">
        <f>'5.Andre_Indt'!$E$15*'3.Skolepenge'!$E$21</f>
        <v>0</v>
      </c>
      <c r="S10" s="360">
        <f>'5.Andre_Indt'!$E$15*'3.Skolepenge'!$E$21</f>
        <v>0</v>
      </c>
      <c r="T10" s="360">
        <f>'5.Andre_Indt'!$E$15*'3.Skolepenge'!$E$21</f>
        <v>0</v>
      </c>
      <c r="U10" s="360">
        <f>'5.Andre_Indt'!$E$15*'3.Skolepenge'!$E$21</f>
        <v>0</v>
      </c>
      <c r="V10" s="360">
        <f t="shared" si="3"/>
        <v>0</v>
      </c>
    </row>
    <row r="11" spans="1:28">
      <c r="A11" t="s">
        <v>433</v>
      </c>
      <c r="B11" s="374">
        <f>24*10000</f>
        <v>240000</v>
      </c>
      <c r="C11" s="360"/>
      <c r="D11" s="360"/>
      <c r="E11" s="360"/>
      <c r="F11" s="360"/>
      <c r="G11" s="360"/>
      <c r="H11" s="366">
        <f t="shared" si="4"/>
        <v>240000</v>
      </c>
      <c r="I11" s="377"/>
      <c r="J11" s="360"/>
      <c r="K11" s="360"/>
      <c r="L11" s="360"/>
      <c r="M11" s="360">
        <f>10000*12</f>
        <v>120000</v>
      </c>
      <c r="N11" s="360"/>
      <c r="O11" s="360"/>
      <c r="P11" s="360"/>
      <c r="Q11" s="360"/>
      <c r="R11" s="360"/>
      <c r="S11" s="360"/>
      <c r="T11" s="360"/>
      <c r="U11" s="360"/>
      <c r="V11" s="360">
        <f t="shared" si="3"/>
        <v>120000</v>
      </c>
    </row>
    <row r="12" spans="1:28">
      <c r="A12" t="s">
        <v>441</v>
      </c>
      <c r="B12" s="360">
        <f>'5.Andre_Indt'!C12</f>
        <v>0</v>
      </c>
      <c r="C12" s="360"/>
      <c r="D12" s="360"/>
      <c r="E12" s="360"/>
      <c r="F12" s="360"/>
      <c r="G12" s="360"/>
      <c r="H12" s="366">
        <f t="shared" si="4"/>
        <v>0</v>
      </c>
      <c r="I12" s="377"/>
      <c r="J12" s="360"/>
      <c r="K12" s="360"/>
      <c r="L12" s="360"/>
      <c r="M12" s="360">
        <f>'5.Andre_Indt'!D12</f>
        <v>0</v>
      </c>
      <c r="N12" s="360"/>
      <c r="O12" s="360"/>
      <c r="P12" s="360"/>
      <c r="Q12" s="360"/>
      <c r="R12" s="360"/>
      <c r="S12" s="360"/>
      <c r="T12" s="360"/>
      <c r="U12" s="360"/>
      <c r="V12" s="360">
        <f t="shared" si="3"/>
        <v>0</v>
      </c>
    </row>
    <row r="13" spans="1:28" s="361" customFormat="1">
      <c r="A13" s="361" t="s">
        <v>326</v>
      </c>
      <c r="B13" s="362">
        <f>SUM(B4:B12)</f>
        <v>240000</v>
      </c>
      <c r="C13" s="362">
        <f t="shared" ref="C13:U13" si="7">SUM(C4:C12)</f>
        <v>0</v>
      </c>
      <c r="D13" s="362">
        <f t="shared" si="7"/>
        <v>0</v>
      </c>
      <c r="E13" s="362">
        <f t="shared" si="7"/>
        <v>0</v>
      </c>
      <c r="F13" s="362">
        <f t="shared" si="7"/>
        <v>0</v>
      </c>
      <c r="G13" s="362">
        <f t="shared" si="7"/>
        <v>11320.25</v>
      </c>
      <c r="H13" s="367">
        <f t="shared" si="7"/>
        <v>251320.25</v>
      </c>
      <c r="I13" s="378"/>
      <c r="J13" s="362" t="e">
        <f t="shared" si="7"/>
        <v>#DIV/0!</v>
      </c>
      <c r="K13" s="362" t="e">
        <f t="shared" si="7"/>
        <v>#DIV/0!</v>
      </c>
      <c r="L13" s="362" t="e">
        <f t="shared" si="7"/>
        <v>#DIV/0!</v>
      </c>
      <c r="M13" s="362" t="e">
        <f t="shared" si="7"/>
        <v>#DIV/0!</v>
      </c>
      <c r="N13" s="362" t="e">
        <f t="shared" si="7"/>
        <v>#DIV/0!</v>
      </c>
      <c r="O13" s="362" t="e">
        <f t="shared" si="7"/>
        <v>#DIV/0!</v>
      </c>
      <c r="P13" s="362">
        <f t="shared" si="7"/>
        <v>11320.25</v>
      </c>
      <c r="Q13" s="362" t="e">
        <f t="shared" si="7"/>
        <v>#DIV/0!</v>
      </c>
      <c r="R13" s="362" t="e">
        <f t="shared" si="7"/>
        <v>#DIV/0!</v>
      </c>
      <c r="S13" s="362" t="e">
        <f t="shared" si="7"/>
        <v>#DIV/0!</v>
      </c>
      <c r="T13" s="362" t="e">
        <f t="shared" si="7"/>
        <v>#DIV/0!</v>
      </c>
      <c r="U13" s="362" t="e">
        <f t="shared" si="7"/>
        <v>#DIV/0!</v>
      </c>
      <c r="V13" s="362" t="e">
        <f>SUM(V4:V12)</f>
        <v>#DIV/0!</v>
      </c>
    </row>
    <row r="14" spans="1:28">
      <c r="B14" s="360"/>
      <c r="C14" s="360"/>
      <c r="D14" s="360"/>
      <c r="E14" s="360"/>
      <c r="F14" s="360"/>
      <c r="G14" s="360"/>
      <c r="H14" s="366">
        <f t="shared" si="4"/>
        <v>0</v>
      </c>
      <c r="I14" s="377"/>
      <c r="J14" s="360"/>
      <c r="K14" s="360"/>
      <c r="L14" s="360"/>
      <c r="M14" s="360"/>
      <c r="N14" s="360"/>
      <c r="O14" s="360"/>
      <c r="P14" s="360"/>
      <c r="Q14" s="360"/>
      <c r="R14" s="360"/>
      <c r="S14" s="360"/>
      <c r="T14" s="360"/>
      <c r="U14" s="360"/>
      <c r="V14" s="360">
        <f t="shared" si="3"/>
        <v>0</v>
      </c>
    </row>
    <row r="15" spans="1:28">
      <c r="A15" t="s">
        <v>442</v>
      </c>
      <c r="B15" s="360">
        <v>0</v>
      </c>
      <c r="C15" s="360"/>
      <c r="D15" s="360"/>
      <c r="E15" s="360"/>
      <c r="F15" s="360"/>
      <c r="G15" s="360"/>
      <c r="H15" s="366">
        <f t="shared" si="4"/>
        <v>0</v>
      </c>
      <c r="I15" s="377"/>
      <c r="J15" s="360"/>
      <c r="K15" s="360"/>
      <c r="L15" s="360"/>
      <c r="M15" s="360"/>
      <c r="N15" s="360"/>
      <c r="O15" s="360"/>
      <c r="P15" s="360"/>
      <c r="Q15" s="360"/>
      <c r="R15" s="360"/>
      <c r="S15" s="360"/>
      <c r="T15" s="360"/>
      <c r="U15" s="360"/>
      <c r="V15" s="360">
        <f t="shared" si="3"/>
        <v>0</v>
      </c>
    </row>
    <row r="16" spans="1:28">
      <c r="A16" t="s">
        <v>435</v>
      </c>
      <c r="B16" s="360"/>
      <c r="C16" s="360">
        <f>'7.Loen,Uv'!$F$14/5</f>
        <v>0</v>
      </c>
      <c r="D16" s="360">
        <f>'7.Loen,Uv'!$F$14/5</f>
        <v>0</v>
      </c>
      <c r="E16" s="360">
        <f>'7.Loen,Uv'!$F$14/5</f>
        <v>0</v>
      </c>
      <c r="F16" s="360">
        <f>'7.Loen,Uv'!$F$14/5</f>
        <v>0</v>
      </c>
      <c r="G16" s="360">
        <f>'7.Loen,Uv'!$F$14/5</f>
        <v>0</v>
      </c>
      <c r="H16" s="366">
        <f t="shared" si="4"/>
        <v>0</v>
      </c>
      <c r="I16" s="377"/>
      <c r="J16" s="360">
        <f>G16</f>
        <v>0</v>
      </c>
      <c r="K16" s="360">
        <f>J16</f>
        <v>0</v>
      </c>
      <c r="L16" s="360">
        <f t="shared" ref="L16:P17" si="8">J16</f>
        <v>0</v>
      </c>
      <c r="M16" s="360">
        <f t="shared" si="8"/>
        <v>0</v>
      </c>
      <c r="N16" s="360">
        <f t="shared" si="8"/>
        <v>0</v>
      </c>
      <c r="O16" s="360">
        <f t="shared" si="8"/>
        <v>0</v>
      </c>
      <c r="P16" s="360">
        <f t="shared" si="8"/>
        <v>0</v>
      </c>
      <c r="Q16" s="360">
        <f>'7.Loen,Uv'!$F$16/5</f>
        <v>0</v>
      </c>
      <c r="R16" s="360">
        <f>'7.Loen,Uv'!$F$16/5</f>
        <v>0</v>
      </c>
      <c r="S16" s="360">
        <f>'7.Loen,Uv'!$F$16/5</f>
        <v>0</v>
      </c>
      <c r="T16" s="360">
        <f>'7.Loen,Uv'!$F$16/5</f>
        <v>0</v>
      </c>
      <c r="U16" s="360">
        <f>'7.Loen,Uv'!$F$16/5</f>
        <v>0</v>
      </c>
      <c r="V16" s="360">
        <f>SUM(J16:U16)</f>
        <v>0</v>
      </c>
    </row>
    <row r="17" spans="1:22">
      <c r="A17" t="s">
        <v>436</v>
      </c>
      <c r="B17" s="360"/>
      <c r="C17" s="360">
        <f>'8.Loen,SFO'!$D$34/5</f>
        <v>0</v>
      </c>
      <c r="D17" s="360">
        <f>'8.Loen,SFO'!$D$34/5</f>
        <v>0</v>
      </c>
      <c r="E17" s="360">
        <f>'8.Loen,SFO'!$D$34/5</f>
        <v>0</v>
      </c>
      <c r="F17" s="360">
        <f>'8.Loen,SFO'!$D$34/5</f>
        <v>0</v>
      </c>
      <c r="G17" s="360">
        <f>'8.Loen,SFO'!$D$34/5</f>
        <v>0</v>
      </c>
      <c r="H17" s="366">
        <f>SUM(B17:G17)</f>
        <v>0</v>
      </c>
      <c r="I17" s="377"/>
      <c r="J17" s="360">
        <f>G17</f>
        <v>0</v>
      </c>
      <c r="K17" s="360">
        <f>J17</f>
        <v>0</v>
      </c>
      <c r="L17" s="360">
        <f t="shared" si="8"/>
        <v>0</v>
      </c>
      <c r="M17" s="360">
        <f t="shared" si="8"/>
        <v>0</v>
      </c>
      <c r="N17" s="360">
        <f t="shared" si="8"/>
        <v>0</v>
      </c>
      <c r="O17" s="360">
        <f t="shared" si="8"/>
        <v>0</v>
      </c>
      <c r="P17" s="360">
        <f t="shared" si="8"/>
        <v>0</v>
      </c>
      <c r="Q17" s="360" t="e">
        <f>'8.Loen,SFO'!$D$36/5</f>
        <v>#DIV/0!</v>
      </c>
      <c r="R17" s="360" t="e">
        <f>'8.Loen,SFO'!$D$36/5</f>
        <v>#DIV/0!</v>
      </c>
      <c r="S17" s="360" t="e">
        <f>'8.Loen,SFO'!$D$36/5</f>
        <v>#DIV/0!</v>
      </c>
      <c r="T17" s="360" t="e">
        <f>'8.Loen,SFO'!$D$36/5</f>
        <v>#DIV/0!</v>
      </c>
      <c r="U17" s="360" t="e">
        <f>'8.Loen,SFO'!$D$36/5</f>
        <v>#DIV/0!</v>
      </c>
      <c r="V17" s="360" t="e">
        <f t="shared" si="3"/>
        <v>#DIV/0!</v>
      </c>
    </row>
    <row r="18" spans="1:22">
      <c r="A18" t="s">
        <v>437</v>
      </c>
      <c r="B18" s="360"/>
      <c r="C18" s="360">
        <f>'20.Adm.loen'!$B$5/5</f>
        <v>0</v>
      </c>
      <c r="D18" s="360">
        <f>'20.Adm.loen'!$B$5/5</f>
        <v>0</v>
      </c>
      <c r="E18" s="360">
        <f>'20.Adm.loen'!$B$5/5</f>
        <v>0</v>
      </c>
      <c r="F18" s="360">
        <f>'20.Adm.loen'!$B$5/5</f>
        <v>0</v>
      </c>
      <c r="G18" s="360">
        <f>'20.Adm.loen'!$B$5/5</f>
        <v>0</v>
      </c>
      <c r="H18" s="366">
        <f t="shared" si="4"/>
        <v>0</v>
      </c>
      <c r="I18" s="377"/>
      <c r="J18" s="360">
        <f>G18</f>
        <v>0</v>
      </c>
      <c r="K18" s="360">
        <f>J18</f>
        <v>0</v>
      </c>
      <c r="L18" s="360">
        <f t="shared" ref="L18:U18" si="9">K18</f>
        <v>0</v>
      </c>
      <c r="M18" s="360">
        <f t="shared" si="9"/>
        <v>0</v>
      </c>
      <c r="N18" s="360">
        <f t="shared" si="9"/>
        <v>0</v>
      </c>
      <c r="O18" s="360">
        <f t="shared" si="9"/>
        <v>0</v>
      </c>
      <c r="P18" s="360">
        <f t="shared" si="9"/>
        <v>0</v>
      </c>
      <c r="Q18" s="360">
        <f t="shared" si="9"/>
        <v>0</v>
      </c>
      <c r="R18" s="360">
        <f t="shared" si="9"/>
        <v>0</v>
      </c>
      <c r="S18" s="360">
        <f t="shared" si="9"/>
        <v>0</v>
      </c>
      <c r="T18" s="360">
        <f t="shared" si="9"/>
        <v>0</v>
      </c>
      <c r="U18" s="360">
        <f t="shared" si="9"/>
        <v>0</v>
      </c>
      <c r="V18" s="360">
        <f t="shared" si="3"/>
        <v>0</v>
      </c>
    </row>
    <row r="19" spans="1:22">
      <c r="A19" t="s">
        <v>438</v>
      </c>
      <c r="B19" s="360"/>
      <c r="C19" s="360">
        <f>'9.Uv.'!$C$19/5</f>
        <v>0</v>
      </c>
      <c r="D19" s="360">
        <f>'9.Uv.'!$C$19/5</f>
        <v>0</v>
      </c>
      <c r="E19" s="360">
        <f>'9.Uv.'!$C$19/5</f>
        <v>0</v>
      </c>
      <c r="F19" s="360">
        <f>'9.Uv.'!$C$19/5</f>
        <v>0</v>
      </c>
      <c r="G19" s="360">
        <f>'9.Uv.'!$C$19/5</f>
        <v>0</v>
      </c>
      <c r="H19" s="366">
        <f t="shared" si="4"/>
        <v>0</v>
      </c>
      <c r="I19" s="377"/>
      <c r="J19" s="360">
        <f>'9.Uv.'!$D$19/12</f>
        <v>0</v>
      </c>
      <c r="K19" s="360">
        <f>'9.Uv.'!$D$19/12</f>
        <v>0</v>
      </c>
      <c r="L19" s="360">
        <f>'9.Uv.'!$D$19/12</f>
        <v>0</v>
      </c>
      <c r="M19" s="360">
        <f>'9.Uv.'!$D$19/12</f>
        <v>0</v>
      </c>
      <c r="N19" s="360">
        <f>'9.Uv.'!$D$19/12</f>
        <v>0</v>
      </c>
      <c r="O19" s="360">
        <f>'9.Uv.'!$D$19/12</f>
        <v>0</v>
      </c>
      <c r="P19" s="360">
        <f>'9.Uv.'!$D$19/12</f>
        <v>0</v>
      </c>
      <c r="Q19" s="360">
        <f>'9.Uv.'!$D$19/12</f>
        <v>0</v>
      </c>
      <c r="R19" s="360">
        <f>'9.Uv.'!$D$19/12</f>
        <v>0</v>
      </c>
      <c r="S19" s="360">
        <f>'9.Uv.'!$D$19/12</f>
        <v>0</v>
      </c>
      <c r="T19" s="360">
        <f>'9.Uv.'!$D$19/12</f>
        <v>0</v>
      </c>
      <c r="U19" s="360">
        <f>'9.Uv.'!$D$19/12</f>
        <v>0</v>
      </c>
      <c r="V19" s="360">
        <f t="shared" si="3"/>
        <v>0</v>
      </c>
    </row>
    <row r="20" spans="1:22">
      <c r="A20" t="s">
        <v>456</v>
      </c>
      <c r="B20" s="360"/>
      <c r="C20" s="360">
        <f>'10.SFOudg.'!$C$19/5</f>
        <v>0</v>
      </c>
      <c r="D20" s="360">
        <f>'10.SFOudg.'!$C$19/5</f>
        <v>0</v>
      </c>
      <c r="E20" s="360">
        <f>'10.SFOudg.'!$C$19/5</f>
        <v>0</v>
      </c>
      <c r="F20" s="360">
        <f>'10.SFOudg.'!$C$19/5</f>
        <v>0</v>
      </c>
      <c r="G20" s="360">
        <f>'10.SFOudg.'!$C$19/5</f>
        <v>0</v>
      </c>
      <c r="H20" s="366">
        <f t="shared" si="4"/>
        <v>0</v>
      </c>
      <c r="I20" s="377"/>
      <c r="J20" s="360">
        <f>Budget!$F$15/12</f>
        <v>0</v>
      </c>
      <c r="K20" s="360">
        <f>Budget!$F$15/12</f>
        <v>0</v>
      </c>
      <c r="L20" s="360">
        <f>Budget!$F$15/12</f>
        <v>0</v>
      </c>
      <c r="M20" s="360">
        <f>Budget!$F$15/12</f>
        <v>0</v>
      </c>
      <c r="N20" s="360">
        <f>Budget!$F$15/12</f>
        <v>0</v>
      </c>
      <c r="O20" s="360">
        <f>Budget!$F$15/12</f>
        <v>0</v>
      </c>
      <c r="P20" s="360">
        <f>Budget!$F$15/12</f>
        <v>0</v>
      </c>
      <c r="Q20" s="360">
        <f>Budget!$F$15/12</f>
        <v>0</v>
      </c>
      <c r="R20" s="360">
        <f>Budget!$F$15/12</f>
        <v>0</v>
      </c>
      <c r="S20" s="360">
        <f>Budget!$F$15/12</f>
        <v>0</v>
      </c>
      <c r="T20" s="360">
        <f>Budget!$F$15/12</f>
        <v>0</v>
      </c>
      <c r="U20" s="360">
        <f>Budget!$F$15/12</f>
        <v>0</v>
      </c>
      <c r="V20" s="360">
        <f t="shared" si="3"/>
        <v>0</v>
      </c>
    </row>
    <row r="21" spans="1:22">
      <c r="A21" t="s">
        <v>439</v>
      </c>
      <c r="B21" s="360"/>
      <c r="C21" s="360">
        <f>('14.Ejendom'!$C$7+'14.Ejendom'!$C$11+'14.Ejendom'!$C$20)/5</f>
        <v>0</v>
      </c>
      <c r="D21" s="360">
        <f>('14.Ejendom'!$C$7+'14.Ejendom'!$C$11+'14.Ejendom'!$C$20)/5</f>
        <v>0</v>
      </c>
      <c r="E21" s="360">
        <f>('14.Ejendom'!$C$7+'14.Ejendom'!$C$11+'14.Ejendom'!$C$20)/5</f>
        <v>0</v>
      </c>
      <c r="F21" s="360">
        <f>('14.Ejendom'!$C$7+'14.Ejendom'!$C$11+'14.Ejendom'!$C$20)/5</f>
        <v>0</v>
      </c>
      <c r="G21" s="360">
        <f>('14.Ejendom'!$C$7+'14.Ejendom'!$C$11+'14.Ejendom'!$C$20)/5</f>
        <v>0</v>
      </c>
      <c r="H21" s="366">
        <f t="shared" si="4"/>
        <v>0</v>
      </c>
      <c r="I21" s="377"/>
      <c r="J21" s="360">
        <f>(Budget!$F$19+Budget!$F$20+Budget!$F$21)/12</f>
        <v>0</v>
      </c>
      <c r="K21" s="360">
        <f>(Budget!$F$19+Budget!$F$20+Budget!$F$21)/12</f>
        <v>0</v>
      </c>
      <c r="L21" s="360">
        <f>(Budget!$F$19+Budget!$F$20+Budget!$F$21)/12</f>
        <v>0</v>
      </c>
      <c r="M21" s="360">
        <f>(Budget!$F$19+Budget!$F$20+Budget!$F$21)/12</f>
        <v>0</v>
      </c>
      <c r="N21" s="360">
        <f>(Budget!$F$19+Budget!$F$20+Budget!$F$21)/12</f>
        <v>0</v>
      </c>
      <c r="O21" s="360">
        <f>(Budget!$F$19+Budget!$F$20+Budget!$F$21)/12</f>
        <v>0</v>
      </c>
      <c r="P21" s="360">
        <f>(Budget!$F$19+Budget!$F$20+Budget!$F$21)/12</f>
        <v>0</v>
      </c>
      <c r="Q21" s="360">
        <f>(Budget!$F$19+Budget!$F$20+Budget!$F$21)/12</f>
        <v>0</v>
      </c>
      <c r="R21" s="360">
        <f>(Budget!$F$19+Budget!$F$20+Budget!$F$21)/12</f>
        <v>0</v>
      </c>
      <c r="S21" s="360">
        <f>(Budget!$F$19+Budget!$F$20+Budget!$F$21)/12</f>
        <v>0</v>
      </c>
      <c r="T21" s="360">
        <f>(Budget!$F$19+Budget!$F$20+Budget!$F$21)/12</f>
        <v>0</v>
      </c>
      <c r="U21" s="360">
        <f>(Budget!$F$19+Budget!$F$20+Budget!$F$21)/12</f>
        <v>0</v>
      </c>
      <c r="V21" s="360">
        <f t="shared" si="3"/>
        <v>0</v>
      </c>
    </row>
    <row r="22" spans="1:22">
      <c r="A22" t="s">
        <v>287</v>
      </c>
      <c r="B22" s="360"/>
      <c r="C22" s="360">
        <f>'13.Lokaleleje'!$B$5/5</f>
        <v>0</v>
      </c>
      <c r="D22" s="360">
        <f>'13.Lokaleleje'!$B$5/5</f>
        <v>0</v>
      </c>
      <c r="E22" s="360">
        <f>'13.Lokaleleje'!$B$5/5</f>
        <v>0</v>
      </c>
      <c r="F22" s="360">
        <f>'13.Lokaleleje'!$B$5/5</f>
        <v>0</v>
      </c>
      <c r="G22" s="360">
        <f>'13.Lokaleleje'!$B$5/5</f>
        <v>0</v>
      </c>
      <c r="H22" s="366">
        <f t="shared" si="4"/>
        <v>0</v>
      </c>
      <c r="I22" s="377"/>
      <c r="J22" s="360">
        <f>G22</f>
        <v>0</v>
      </c>
      <c r="K22" s="360">
        <f>J22</f>
        <v>0</v>
      </c>
      <c r="L22" s="360">
        <f t="shared" ref="L22:U22" si="10">K22</f>
        <v>0</v>
      </c>
      <c r="M22" s="360">
        <f t="shared" si="10"/>
        <v>0</v>
      </c>
      <c r="N22" s="360">
        <f t="shared" si="10"/>
        <v>0</v>
      </c>
      <c r="O22" s="360">
        <f t="shared" si="10"/>
        <v>0</v>
      </c>
      <c r="P22" s="360">
        <f t="shared" si="10"/>
        <v>0</v>
      </c>
      <c r="Q22" s="360">
        <f t="shared" si="10"/>
        <v>0</v>
      </c>
      <c r="R22" s="360">
        <f t="shared" si="10"/>
        <v>0</v>
      </c>
      <c r="S22" s="360">
        <f t="shared" si="10"/>
        <v>0</v>
      </c>
      <c r="T22" s="360">
        <f t="shared" si="10"/>
        <v>0</v>
      </c>
      <c r="U22" s="360">
        <f t="shared" si="10"/>
        <v>0</v>
      </c>
      <c r="V22" s="360">
        <f t="shared" si="3"/>
        <v>0</v>
      </c>
    </row>
    <row r="23" spans="1:22">
      <c r="A23" t="s">
        <v>440</v>
      </c>
      <c r="B23" s="360">
        <v>0</v>
      </c>
      <c r="C23" s="360">
        <f>'21.Adm'!$C$25/5</f>
        <v>0</v>
      </c>
      <c r="D23" s="360">
        <f>'21.Adm'!$C$25/5</f>
        <v>0</v>
      </c>
      <c r="E23" s="360">
        <f>'21.Adm'!$C$25/5</f>
        <v>0</v>
      </c>
      <c r="F23" s="360">
        <f>'21.Adm'!$C$25/5</f>
        <v>0</v>
      </c>
      <c r="G23" s="360">
        <f>'21.Adm'!$C$25/5</f>
        <v>0</v>
      </c>
      <c r="H23" s="366">
        <f>SUM(B23:G23)</f>
        <v>0</v>
      </c>
      <c r="I23" s="377"/>
      <c r="J23" s="360">
        <f>Budget!F26/12</f>
        <v>0</v>
      </c>
      <c r="K23" s="360">
        <f>'21.Adm'!$D$25/12</f>
        <v>0</v>
      </c>
      <c r="L23" s="360">
        <f>'21.Adm'!$D$25/12</f>
        <v>0</v>
      </c>
      <c r="M23" s="360">
        <f>'21.Adm'!$D$25/12</f>
        <v>0</v>
      </c>
      <c r="N23" s="360">
        <f>'21.Adm'!$D$25/12</f>
        <v>0</v>
      </c>
      <c r="O23" s="360">
        <f>'21.Adm'!$D$25/12</f>
        <v>0</v>
      </c>
      <c r="P23" s="360">
        <f>'21.Adm'!$D$25/12</f>
        <v>0</v>
      </c>
      <c r="Q23" s="360">
        <f>'21.Adm'!$D$25/12</f>
        <v>0</v>
      </c>
      <c r="R23" s="360">
        <f>'21.Adm'!$D$25/12</f>
        <v>0</v>
      </c>
      <c r="S23" s="360">
        <f>'21.Adm'!$D$25/12</f>
        <v>0</v>
      </c>
      <c r="T23" s="360">
        <f>'21.Adm'!$D$25/12</f>
        <v>0</v>
      </c>
      <c r="U23" s="360">
        <f>'21.Adm'!$D$25/12</f>
        <v>0</v>
      </c>
      <c r="V23" s="360">
        <f t="shared" si="3"/>
        <v>0</v>
      </c>
    </row>
    <row r="24" spans="1:22">
      <c r="A24" t="s">
        <v>365</v>
      </c>
      <c r="B24" s="360"/>
      <c r="C24" s="360">
        <f>Budget!$C$32/5*-1</f>
        <v>0</v>
      </c>
      <c r="D24" s="360">
        <f>Budget!$C$32/5*-1</f>
        <v>0</v>
      </c>
      <c r="E24" s="360">
        <f>Budget!$C$32/5*-1</f>
        <v>0</v>
      </c>
      <c r="F24" s="360">
        <f>Budget!$C$32/5*-1</f>
        <v>0</v>
      </c>
      <c r="G24" s="360">
        <f>Budget!$C$32/5*-1</f>
        <v>0</v>
      </c>
      <c r="H24" s="366">
        <f>SUM(B24:G24)</f>
        <v>0</v>
      </c>
      <c r="I24" s="377"/>
      <c r="J24" s="360"/>
      <c r="K24" s="360"/>
      <c r="L24" s="360"/>
      <c r="M24" s="360"/>
      <c r="N24" s="360"/>
      <c r="O24" s="360"/>
      <c r="P24" s="360"/>
      <c r="Q24" s="360"/>
      <c r="R24" s="360"/>
      <c r="S24" s="360"/>
      <c r="T24" s="360"/>
      <c r="U24" s="360"/>
      <c r="V24" s="360"/>
    </row>
    <row r="25" spans="1:22" s="363" customFormat="1">
      <c r="A25" s="363" t="s">
        <v>387</v>
      </c>
      <c r="B25" s="368">
        <f>SUM(B15:B23)</f>
        <v>0</v>
      </c>
      <c r="C25" s="368">
        <f t="shared" ref="C25:G25" si="11">SUM(C15:C23)</f>
        <v>0</v>
      </c>
      <c r="D25" s="368">
        <f t="shared" si="11"/>
        <v>0</v>
      </c>
      <c r="E25" s="368">
        <f t="shared" si="11"/>
        <v>0</v>
      </c>
      <c r="F25" s="368">
        <f t="shared" si="11"/>
        <v>0</v>
      </c>
      <c r="G25" s="368">
        <f t="shared" si="11"/>
        <v>0</v>
      </c>
      <c r="H25" s="369">
        <f>SUM(H15:H24)</f>
        <v>0</v>
      </c>
      <c r="I25" s="379"/>
      <c r="J25" s="368">
        <f t="shared" ref="J25" si="12">SUM(J15:J23)</f>
        <v>0</v>
      </c>
      <c r="K25" s="368">
        <f t="shared" ref="K25" si="13">SUM(K15:K23)</f>
        <v>0</v>
      </c>
      <c r="L25" s="368">
        <f t="shared" ref="L25" si="14">SUM(L15:L23)</f>
        <v>0</v>
      </c>
      <c r="M25" s="368">
        <f t="shared" ref="M25" si="15">SUM(M15:M23)</f>
        <v>0</v>
      </c>
      <c r="N25" s="368">
        <f t="shared" ref="N25" si="16">SUM(N15:N23)</f>
        <v>0</v>
      </c>
      <c r="O25" s="368">
        <f t="shared" ref="O25" si="17">SUM(O15:O23)</f>
        <v>0</v>
      </c>
      <c r="P25" s="368">
        <f t="shared" ref="P25" si="18">SUM(P15:P23)</f>
        <v>0</v>
      </c>
      <c r="Q25" s="368" t="e">
        <f t="shared" ref="Q25" si="19">SUM(Q15:Q23)</f>
        <v>#DIV/0!</v>
      </c>
      <c r="R25" s="368" t="e">
        <f t="shared" ref="R25" si="20">SUM(R15:R23)</f>
        <v>#DIV/0!</v>
      </c>
      <c r="S25" s="368" t="e">
        <f t="shared" ref="S25" si="21">SUM(S15:S23)</f>
        <v>#DIV/0!</v>
      </c>
      <c r="T25" s="368" t="e">
        <f t="shared" ref="T25" si="22">SUM(T15:T23)</f>
        <v>#DIV/0!</v>
      </c>
      <c r="U25" s="368" t="e">
        <f t="shared" ref="U25" si="23">SUM(U15:U23)</f>
        <v>#DIV/0!</v>
      </c>
      <c r="V25" s="368" t="e">
        <f>SUM(V15:V23)</f>
        <v>#DIV/0!</v>
      </c>
    </row>
    <row r="26" spans="1:22">
      <c r="B26" s="360"/>
      <c r="C26" s="360"/>
      <c r="D26" s="360"/>
      <c r="E26" s="360"/>
      <c r="F26" s="360"/>
      <c r="G26" s="360"/>
      <c r="H26" s="366">
        <f t="shared" si="4"/>
        <v>0</v>
      </c>
      <c r="I26" s="377"/>
      <c r="J26" s="360"/>
      <c r="K26" s="360"/>
      <c r="L26" s="360"/>
      <c r="M26" s="360"/>
      <c r="N26" s="360"/>
      <c r="O26" s="360"/>
      <c r="P26" s="360"/>
      <c r="Q26" s="360"/>
      <c r="R26" s="360"/>
      <c r="S26" s="360"/>
      <c r="T26" s="360"/>
      <c r="U26" s="360"/>
      <c r="V26" s="360">
        <f t="shared" si="3"/>
        <v>0</v>
      </c>
    </row>
    <row r="27" spans="1:22" s="364" customFormat="1">
      <c r="A27" s="364" t="s">
        <v>447</v>
      </c>
      <c r="B27" s="370">
        <f>B13-B25</f>
        <v>240000</v>
      </c>
      <c r="C27" s="370">
        <f>C2+C13-C25</f>
        <v>240000</v>
      </c>
      <c r="D27" s="370">
        <f t="shared" ref="D27:H27" si="24">D2+D13-D25</f>
        <v>240000</v>
      </c>
      <c r="E27" s="370">
        <f t="shared" si="24"/>
        <v>240000</v>
      </c>
      <c r="F27" s="370">
        <f t="shared" si="24"/>
        <v>240000</v>
      </c>
      <c r="G27" s="370">
        <f t="shared" si="24"/>
        <v>251320.25</v>
      </c>
      <c r="H27" s="371">
        <f t="shared" si="24"/>
        <v>251320.25</v>
      </c>
      <c r="I27" s="380"/>
      <c r="J27" s="370" t="e">
        <f>J2+J13-J25</f>
        <v>#DIV/0!</v>
      </c>
      <c r="K27" s="370" t="e">
        <f t="shared" ref="K27:U27" si="25">K2+K13-K25</f>
        <v>#DIV/0!</v>
      </c>
      <c r="L27" s="370" t="e">
        <f t="shared" si="25"/>
        <v>#DIV/0!</v>
      </c>
      <c r="M27" s="370" t="e">
        <f t="shared" si="25"/>
        <v>#DIV/0!</v>
      </c>
      <c r="N27" s="370" t="e">
        <f t="shared" si="25"/>
        <v>#DIV/0!</v>
      </c>
      <c r="O27" s="370" t="e">
        <f t="shared" si="25"/>
        <v>#DIV/0!</v>
      </c>
      <c r="P27" s="370" t="e">
        <f t="shared" si="25"/>
        <v>#DIV/0!</v>
      </c>
      <c r="Q27" s="370" t="e">
        <f t="shared" si="25"/>
        <v>#DIV/0!</v>
      </c>
      <c r="R27" s="370" t="e">
        <f t="shared" si="25"/>
        <v>#DIV/0!</v>
      </c>
      <c r="S27" s="370" t="e">
        <f t="shared" si="25"/>
        <v>#DIV/0!</v>
      </c>
      <c r="T27" s="370" t="e">
        <f t="shared" si="25"/>
        <v>#DIV/0!</v>
      </c>
      <c r="U27" s="370" t="e">
        <f t="shared" si="25"/>
        <v>#DIV/0!</v>
      </c>
      <c r="V27" s="370" t="e">
        <f>V13-V25</f>
        <v>#DIV/0!</v>
      </c>
    </row>
    <row r="28" spans="1:22">
      <c r="B28" s="360"/>
      <c r="C28" s="360"/>
      <c r="D28" s="360"/>
      <c r="E28" s="360"/>
      <c r="F28" s="360"/>
      <c r="G28" s="360"/>
      <c r="H28" s="360">
        <f t="shared" si="4"/>
        <v>0</v>
      </c>
      <c r="I28" s="360"/>
      <c r="J28" s="360"/>
      <c r="K28" s="360"/>
      <c r="L28" s="360"/>
      <c r="M28" s="360"/>
      <c r="N28" s="360"/>
      <c r="O28" s="360"/>
      <c r="P28" s="360"/>
      <c r="Q28" s="360"/>
      <c r="R28" s="360"/>
      <c r="S28" s="360"/>
      <c r="T28" s="360"/>
      <c r="U28" s="360"/>
      <c r="V28" s="360">
        <f t="shared" si="3"/>
        <v>0</v>
      </c>
    </row>
    <row r="29" spans="1:22">
      <c r="B29" s="360"/>
      <c r="C29" s="360"/>
      <c r="D29" s="360"/>
      <c r="E29" s="360"/>
      <c r="F29" s="360"/>
      <c r="G29" s="360"/>
      <c r="H29" s="360">
        <f t="shared" si="4"/>
        <v>0</v>
      </c>
      <c r="I29" s="360"/>
      <c r="J29" s="360"/>
      <c r="K29" s="360"/>
      <c r="L29" s="360"/>
      <c r="M29" s="360"/>
      <c r="N29" s="360"/>
      <c r="O29" s="360"/>
      <c r="P29" s="360"/>
      <c r="Q29" s="360"/>
      <c r="R29" s="360"/>
      <c r="S29" s="360"/>
      <c r="T29" s="360"/>
      <c r="U29" s="360"/>
      <c r="V29" s="360">
        <f t="shared" si="3"/>
        <v>0</v>
      </c>
    </row>
    <row r="30" spans="1:22">
      <c r="A30" t="s">
        <v>457</v>
      </c>
      <c r="C30" s="360">
        <f>Budget!C41</f>
        <v>0</v>
      </c>
      <c r="H30" s="373"/>
      <c r="I30" s="373"/>
      <c r="J30" t="s">
        <v>457</v>
      </c>
      <c r="L30" s="360" t="e">
        <f>Budget!F41</f>
        <v>#DIV/0!</v>
      </c>
      <c r="V30" s="360"/>
    </row>
    <row r="31" spans="1:22">
      <c r="A31" t="s">
        <v>458</v>
      </c>
      <c r="C31" s="360"/>
      <c r="H31" s="180"/>
      <c r="I31" s="180"/>
      <c r="J31" t="s">
        <v>458</v>
      </c>
      <c r="L31" s="360"/>
      <c r="V31" s="360"/>
    </row>
    <row r="32" spans="1:22">
      <c r="A32" t="str">
        <f>A4</f>
        <v>Statstilskud</v>
      </c>
      <c r="C32" s="360">
        <f>G4</f>
        <v>0</v>
      </c>
      <c r="J32" t="str">
        <f>A4</f>
        <v>Statstilskud</v>
      </c>
      <c r="L32" s="360">
        <f>'1.Driftstilskud'!C47/5</f>
        <v>0</v>
      </c>
      <c r="V32" s="360"/>
    </row>
    <row r="33" spans="1:22">
      <c r="A33" t="str">
        <f t="shared" ref="A33:A35" si="26">A5</f>
        <v>SFO tilskud</v>
      </c>
      <c r="C33" s="360">
        <f t="shared" ref="C33:C35" si="27">G5</f>
        <v>0</v>
      </c>
      <c r="H33" s="373"/>
      <c r="I33" s="373"/>
      <c r="J33" t="str">
        <f t="shared" ref="J33:J35" si="28">A5</f>
        <v>SFO tilskud</v>
      </c>
      <c r="L33" s="360">
        <f>'2.Oevrige Statstilskud'!B13/5</f>
        <v>0</v>
      </c>
      <c r="V33" s="360"/>
    </row>
    <row r="34" spans="1:22">
      <c r="A34" t="str">
        <f t="shared" si="26"/>
        <v>Bygningstilskud</v>
      </c>
      <c r="C34" s="360">
        <f t="shared" si="27"/>
        <v>0</v>
      </c>
      <c r="J34" t="str">
        <f t="shared" si="28"/>
        <v>Bygningstilskud</v>
      </c>
      <c r="L34" s="360">
        <f>'2.Oevrige Statstilskud'!B21/5</f>
        <v>0</v>
      </c>
      <c r="V34" s="360"/>
    </row>
    <row r="35" spans="1:22">
      <c r="A35" t="str">
        <f t="shared" si="26"/>
        <v>Inklustionstilskud</v>
      </c>
      <c r="C35" s="360">
        <f t="shared" si="27"/>
        <v>11320.25</v>
      </c>
      <c r="J35" t="str">
        <f t="shared" si="28"/>
        <v>Inklustionstilskud</v>
      </c>
      <c r="L35" s="360"/>
      <c r="V35" s="360"/>
    </row>
    <row r="36" spans="1:22">
      <c r="A36" t="s">
        <v>433</v>
      </c>
      <c r="C36" s="360">
        <f>B11</f>
        <v>240000</v>
      </c>
      <c r="J36" t="s">
        <v>433</v>
      </c>
      <c r="L36" s="360">
        <f>M11</f>
        <v>120000</v>
      </c>
      <c r="V36" s="360"/>
    </row>
    <row r="37" spans="1:22">
      <c r="A37" t="s">
        <v>459</v>
      </c>
      <c r="C37" s="360">
        <f>'7.Loen,Uv'!H14</f>
        <v>0</v>
      </c>
      <c r="J37" t="s">
        <v>459</v>
      </c>
      <c r="L37" s="360">
        <f>'7.Loen,Uv'!H16</f>
        <v>0</v>
      </c>
      <c r="V37" s="360"/>
    </row>
    <row r="38" spans="1:22">
      <c r="A38" t="s">
        <v>460</v>
      </c>
      <c r="C38" s="360">
        <f>'8.Loen,SFO'!F34</f>
        <v>0</v>
      </c>
      <c r="J38" t="s">
        <v>460</v>
      </c>
      <c r="L38" s="360" t="e">
        <f>'8.Loen,SFO'!F36</f>
        <v>#DIV/0!</v>
      </c>
      <c r="V38" s="360"/>
    </row>
    <row r="39" spans="1:22" ht="14" thickBot="1">
      <c r="A39" s="375" t="s">
        <v>461</v>
      </c>
      <c r="B39" s="375"/>
      <c r="C39" s="376">
        <f>SUM(C30:C38)</f>
        <v>251320.25</v>
      </c>
      <c r="J39" s="375" t="s">
        <v>461</v>
      </c>
      <c r="K39" s="375"/>
      <c r="L39" s="376" t="e">
        <f>SUM(L30:L38)</f>
        <v>#DIV/0!</v>
      </c>
      <c r="V39" s="360"/>
    </row>
    <row r="40" spans="1:22">
      <c r="V40" s="360"/>
    </row>
    <row r="41" spans="1:22">
      <c r="V41" s="360">
        <f t="shared" si="3"/>
        <v>0</v>
      </c>
    </row>
    <row r="42" spans="1:22">
      <c r="V42" s="360">
        <f t="shared" si="3"/>
        <v>0</v>
      </c>
    </row>
    <row r="43" spans="1:22">
      <c r="V43" s="360">
        <f t="shared" si="3"/>
        <v>0</v>
      </c>
    </row>
    <row r="44" spans="1:22">
      <c r="V44" s="360">
        <f t="shared" si="3"/>
        <v>0</v>
      </c>
    </row>
    <row r="45" spans="1:22">
      <c r="V45" s="360">
        <f t="shared" si="3"/>
        <v>0</v>
      </c>
    </row>
    <row r="46" spans="1:22">
      <c r="V46" s="360">
        <f t="shared" si="3"/>
        <v>0</v>
      </c>
    </row>
    <row r="47" spans="1:22">
      <c r="V47" s="360">
        <f t="shared" si="3"/>
        <v>0</v>
      </c>
    </row>
  </sheetData>
  <phoneticPr fontId="32" type="noConversion"/>
  <conditionalFormatting sqref="C27:U27">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753E3-6CF5-6B42-9B8D-1FEE786D814C}">
  <sheetPr>
    <tabColor theme="9" tint="-0.499984740745262"/>
    <pageSetUpPr fitToPage="1"/>
  </sheetPr>
  <dimension ref="A1:M634"/>
  <sheetViews>
    <sheetView showGridLines="0" zoomScale="88" zoomScaleNormal="70" workbookViewId="0">
      <pane ySplit="1" topLeftCell="A2" activePane="bottomLeft" state="frozenSplit"/>
      <selection pane="bottomLeft" activeCell="A211" sqref="A211:XFD211"/>
    </sheetView>
  </sheetViews>
  <sheetFormatPr baseColWidth="10" defaultColWidth="10.83203125" defaultRowHeight="13"/>
  <cols>
    <col min="1" max="1" width="2.83203125" style="383" customWidth="1"/>
    <col min="2" max="2" width="0.83203125" style="383" customWidth="1"/>
    <col min="3" max="3" width="71.6640625" style="383" customWidth="1"/>
    <col min="4" max="4" width="2.1640625" style="383" customWidth="1"/>
    <col min="5" max="6" width="24.33203125" style="383" customWidth="1"/>
    <col min="7" max="7" width="24.1640625" style="383" customWidth="1"/>
    <col min="8" max="13" width="24.33203125" style="383" customWidth="1"/>
    <col min="14" max="14" width="0" style="383" hidden="1" customWidth="1"/>
    <col min="15" max="15" width="2.83203125" style="383" customWidth="1"/>
    <col min="16" max="256" width="8.83203125" style="383" customWidth="1"/>
    <col min="257" max="257" width="2.83203125" style="383" customWidth="1"/>
    <col min="258" max="258" width="0.83203125" style="383" customWidth="1"/>
    <col min="259" max="259" width="71.6640625" style="383" customWidth="1"/>
    <col min="260" max="260" width="2.1640625" style="383" customWidth="1"/>
    <col min="261" max="262" width="24.33203125" style="383" customWidth="1"/>
    <col min="263" max="263" width="24.1640625" style="383" customWidth="1"/>
    <col min="264" max="269" width="24.33203125" style="383" customWidth="1"/>
    <col min="270" max="270" width="0" style="383" hidden="1" customWidth="1"/>
    <col min="271" max="271" width="2.83203125" style="383" customWidth="1"/>
    <col min="272" max="512" width="8.83203125" style="383" customWidth="1"/>
    <col min="513" max="513" width="2.83203125" style="383" customWidth="1"/>
    <col min="514" max="514" width="0.83203125" style="383" customWidth="1"/>
    <col min="515" max="515" width="71.6640625" style="383" customWidth="1"/>
    <col min="516" max="516" width="2.1640625" style="383" customWidth="1"/>
    <col min="517" max="518" width="24.33203125" style="383" customWidth="1"/>
    <col min="519" max="519" width="24.1640625" style="383" customWidth="1"/>
    <col min="520" max="525" width="24.33203125" style="383" customWidth="1"/>
    <col min="526" max="526" width="0" style="383" hidden="1" customWidth="1"/>
    <col min="527" max="527" width="2.83203125" style="383" customWidth="1"/>
    <col min="528" max="768" width="8.83203125" style="383" customWidth="1"/>
    <col min="769" max="769" width="2.83203125" style="383" customWidth="1"/>
    <col min="770" max="770" width="0.83203125" style="383" customWidth="1"/>
    <col min="771" max="771" width="71.6640625" style="383" customWidth="1"/>
    <col min="772" max="772" width="2.1640625" style="383" customWidth="1"/>
    <col min="773" max="774" width="24.33203125" style="383" customWidth="1"/>
    <col min="775" max="775" width="24.1640625" style="383" customWidth="1"/>
    <col min="776" max="781" width="24.33203125" style="383" customWidth="1"/>
    <col min="782" max="782" width="0" style="383" hidden="1" customWidth="1"/>
    <col min="783" max="783" width="2.83203125" style="383" customWidth="1"/>
    <col min="784" max="1024" width="8.83203125" style="383" customWidth="1"/>
    <col min="1025" max="1025" width="2.83203125" style="383" customWidth="1"/>
    <col min="1026" max="1026" width="0.83203125" style="383" customWidth="1"/>
    <col min="1027" max="1027" width="71.6640625" style="383" customWidth="1"/>
    <col min="1028" max="1028" width="2.1640625" style="383" customWidth="1"/>
    <col min="1029" max="1030" width="24.33203125" style="383" customWidth="1"/>
    <col min="1031" max="1031" width="24.1640625" style="383" customWidth="1"/>
    <col min="1032" max="1037" width="24.33203125" style="383" customWidth="1"/>
    <col min="1038" max="1038" width="0" style="383" hidden="1" customWidth="1"/>
    <col min="1039" max="1039" width="2.83203125" style="383" customWidth="1"/>
    <col min="1040" max="1280" width="8.83203125" style="383" customWidth="1"/>
    <col min="1281" max="1281" width="2.83203125" style="383" customWidth="1"/>
    <col min="1282" max="1282" width="0.83203125" style="383" customWidth="1"/>
    <col min="1283" max="1283" width="71.6640625" style="383" customWidth="1"/>
    <col min="1284" max="1284" width="2.1640625" style="383" customWidth="1"/>
    <col min="1285" max="1286" width="24.33203125" style="383" customWidth="1"/>
    <col min="1287" max="1287" width="24.1640625" style="383" customWidth="1"/>
    <col min="1288" max="1293" width="24.33203125" style="383" customWidth="1"/>
    <col min="1294" max="1294" width="0" style="383" hidden="1" customWidth="1"/>
    <col min="1295" max="1295" width="2.83203125" style="383" customWidth="1"/>
    <col min="1296" max="1536" width="8.83203125" style="383" customWidth="1"/>
    <col min="1537" max="1537" width="2.83203125" style="383" customWidth="1"/>
    <col min="1538" max="1538" width="0.83203125" style="383" customWidth="1"/>
    <col min="1539" max="1539" width="71.6640625" style="383" customWidth="1"/>
    <col min="1540" max="1540" width="2.1640625" style="383" customWidth="1"/>
    <col min="1541" max="1542" width="24.33203125" style="383" customWidth="1"/>
    <col min="1543" max="1543" width="24.1640625" style="383" customWidth="1"/>
    <col min="1544" max="1549" width="24.33203125" style="383" customWidth="1"/>
    <col min="1550" max="1550" width="0" style="383" hidden="1" customWidth="1"/>
    <col min="1551" max="1551" width="2.83203125" style="383" customWidth="1"/>
    <col min="1552" max="1792" width="8.83203125" style="383" customWidth="1"/>
    <col min="1793" max="1793" width="2.83203125" style="383" customWidth="1"/>
    <col min="1794" max="1794" width="0.83203125" style="383" customWidth="1"/>
    <col min="1795" max="1795" width="71.6640625" style="383" customWidth="1"/>
    <col min="1796" max="1796" width="2.1640625" style="383" customWidth="1"/>
    <col min="1797" max="1798" width="24.33203125" style="383" customWidth="1"/>
    <col min="1799" max="1799" width="24.1640625" style="383" customWidth="1"/>
    <col min="1800" max="1805" width="24.33203125" style="383" customWidth="1"/>
    <col min="1806" max="1806" width="0" style="383" hidden="1" customWidth="1"/>
    <col min="1807" max="1807" width="2.83203125" style="383" customWidth="1"/>
    <col min="1808" max="2048" width="8.83203125" style="383" customWidth="1"/>
    <col min="2049" max="2049" width="2.83203125" style="383" customWidth="1"/>
    <col min="2050" max="2050" width="0.83203125" style="383" customWidth="1"/>
    <col min="2051" max="2051" width="71.6640625" style="383" customWidth="1"/>
    <col min="2052" max="2052" width="2.1640625" style="383" customWidth="1"/>
    <col min="2053" max="2054" width="24.33203125" style="383" customWidth="1"/>
    <col min="2055" max="2055" width="24.1640625" style="383" customWidth="1"/>
    <col min="2056" max="2061" width="24.33203125" style="383" customWidth="1"/>
    <col min="2062" max="2062" width="0" style="383" hidden="1" customWidth="1"/>
    <col min="2063" max="2063" width="2.83203125" style="383" customWidth="1"/>
    <col min="2064" max="2304" width="8.83203125" style="383" customWidth="1"/>
    <col min="2305" max="2305" width="2.83203125" style="383" customWidth="1"/>
    <col min="2306" max="2306" width="0.83203125" style="383" customWidth="1"/>
    <col min="2307" max="2307" width="71.6640625" style="383" customWidth="1"/>
    <col min="2308" max="2308" width="2.1640625" style="383" customWidth="1"/>
    <col min="2309" max="2310" width="24.33203125" style="383" customWidth="1"/>
    <col min="2311" max="2311" width="24.1640625" style="383" customWidth="1"/>
    <col min="2312" max="2317" width="24.33203125" style="383" customWidth="1"/>
    <col min="2318" max="2318" width="0" style="383" hidden="1" customWidth="1"/>
    <col min="2319" max="2319" width="2.83203125" style="383" customWidth="1"/>
    <col min="2320" max="2560" width="8.83203125" style="383" customWidth="1"/>
    <col min="2561" max="2561" width="2.83203125" style="383" customWidth="1"/>
    <col min="2562" max="2562" width="0.83203125" style="383" customWidth="1"/>
    <col min="2563" max="2563" width="71.6640625" style="383" customWidth="1"/>
    <col min="2564" max="2564" width="2.1640625" style="383" customWidth="1"/>
    <col min="2565" max="2566" width="24.33203125" style="383" customWidth="1"/>
    <col min="2567" max="2567" width="24.1640625" style="383" customWidth="1"/>
    <col min="2568" max="2573" width="24.33203125" style="383" customWidth="1"/>
    <col min="2574" max="2574" width="0" style="383" hidden="1" customWidth="1"/>
    <col min="2575" max="2575" width="2.83203125" style="383" customWidth="1"/>
    <col min="2576" max="2816" width="8.83203125" style="383" customWidth="1"/>
    <col min="2817" max="2817" width="2.83203125" style="383" customWidth="1"/>
    <col min="2818" max="2818" width="0.83203125" style="383" customWidth="1"/>
    <col min="2819" max="2819" width="71.6640625" style="383" customWidth="1"/>
    <col min="2820" max="2820" width="2.1640625" style="383" customWidth="1"/>
    <col min="2821" max="2822" width="24.33203125" style="383" customWidth="1"/>
    <col min="2823" max="2823" width="24.1640625" style="383" customWidth="1"/>
    <col min="2824" max="2829" width="24.33203125" style="383" customWidth="1"/>
    <col min="2830" max="2830" width="0" style="383" hidden="1" customWidth="1"/>
    <col min="2831" max="2831" width="2.83203125" style="383" customWidth="1"/>
    <col min="2832" max="3072" width="8.83203125" style="383" customWidth="1"/>
    <col min="3073" max="3073" width="2.83203125" style="383" customWidth="1"/>
    <col min="3074" max="3074" width="0.83203125" style="383" customWidth="1"/>
    <col min="3075" max="3075" width="71.6640625" style="383" customWidth="1"/>
    <col min="3076" max="3076" width="2.1640625" style="383" customWidth="1"/>
    <col min="3077" max="3078" width="24.33203125" style="383" customWidth="1"/>
    <col min="3079" max="3079" width="24.1640625" style="383" customWidth="1"/>
    <col min="3080" max="3085" width="24.33203125" style="383" customWidth="1"/>
    <col min="3086" max="3086" width="0" style="383" hidden="1" customWidth="1"/>
    <col min="3087" max="3087" width="2.83203125" style="383" customWidth="1"/>
    <col min="3088" max="3328" width="8.83203125" style="383" customWidth="1"/>
    <col min="3329" max="3329" width="2.83203125" style="383" customWidth="1"/>
    <col min="3330" max="3330" width="0.83203125" style="383" customWidth="1"/>
    <col min="3331" max="3331" width="71.6640625" style="383" customWidth="1"/>
    <col min="3332" max="3332" width="2.1640625" style="383" customWidth="1"/>
    <col min="3333" max="3334" width="24.33203125" style="383" customWidth="1"/>
    <col min="3335" max="3335" width="24.1640625" style="383" customWidth="1"/>
    <col min="3336" max="3341" width="24.33203125" style="383" customWidth="1"/>
    <col min="3342" max="3342" width="0" style="383" hidden="1" customWidth="1"/>
    <col min="3343" max="3343" width="2.83203125" style="383" customWidth="1"/>
    <col min="3344" max="3584" width="8.83203125" style="383" customWidth="1"/>
    <col min="3585" max="3585" width="2.83203125" style="383" customWidth="1"/>
    <col min="3586" max="3586" width="0.83203125" style="383" customWidth="1"/>
    <col min="3587" max="3587" width="71.6640625" style="383" customWidth="1"/>
    <col min="3588" max="3588" width="2.1640625" style="383" customWidth="1"/>
    <col min="3589" max="3590" width="24.33203125" style="383" customWidth="1"/>
    <col min="3591" max="3591" width="24.1640625" style="383" customWidth="1"/>
    <col min="3592" max="3597" width="24.33203125" style="383" customWidth="1"/>
    <col min="3598" max="3598" width="0" style="383" hidden="1" customWidth="1"/>
    <col min="3599" max="3599" width="2.83203125" style="383" customWidth="1"/>
    <col min="3600" max="3840" width="8.83203125" style="383" customWidth="1"/>
    <col min="3841" max="3841" width="2.83203125" style="383" customWidth="1"/>
    <col min="3842" max="3842" width="0.83203125" style="383" customWidth="1"/>
    <col min="3843" max="3843" width="71.6640625" style="383" customWidth="1"/>
    <col min="3844" max="3844" width="2.1640625" style="383" customWidth="1"/>
    <col min="3845" max="3846" width="24.33203125" style="383" customWidth="1"/>
    <col min="3847" max="3847" width="24.1640625" style="383" customWidth="1"/>
    <col min="3848" max="3853" width="24.33203125" style="383" customWidth="1"/>
    <col min="3854" max="3854" width="0" style="383" hidden="1" customWidth="1"/>
    <col min="3855" max="3855" width="2.83203125" style="383" customWidth="1"/>
    <col min="3856" max="4096" width="8.83203125" style="383" customWidth="1"/>
    <col min="4097" max="4097" width="2.83203125" style="383" customWidth="1"/>
    <col min="4098" max="4098" width="0.83203125" style="383" customWidth="1"/>
    <col min="4099" max="4099" width="71.6640625" style="383" customWidth="1"/>
    <col min="4100" max="4100" width="2.1640625" style="383" customWidth="1"/>
    <col min="4101" max="4102" width="24.33203125" style="383" customWidth="1"/>
    <col min="4103" max="4103" width="24.1640625" style="383" customWidth="1"/>
    <col min="4104" max="4109" width="24.33203125" style="383" customWidth="1"/>
    <col min="4110" max="4110" width="0" style="383" hidden="1" customWidth="1"/>
    <col min="4111" max="4111" width="2.83203125" style="383" customWidth="1"/>
    <col min="4112" max="4352" width="8.83203125" style="383" customWidth="1"/>
    <col min="4353" max="4353" width="2.83203125" style="383" customWidth="1"/>
    <col min="4354" max="4354" width="0.83203125" style="383" customWidth="1"/>
    <col min="4355" max="4355" width="71.6640625" style="383" customWidth="1"/>
    <col min="4356" max="4356" width="2.1640625" style="383" customWidth="1"/>
    <col min="4357" max="4358" width="24.33203125" style="383" customWidth="1"/>
    <col min="4359" max="4359" width="24.1640625" style="383" customWidth="1"/>
    <col min="4360" max="4365" width="24.33203125" style="383" customWidth="1"/>
    <col min="4366" max="4366" width="0" style="383" hidden="1" customWidth="1"/>
    <col min="4367" max="4367" width="2.83203125" style="383" customWidth="1"/>
    <col min="4368" max="4608" width="8.83203125" style="383" customWidth="1"/>
    <col min="4609" max="4609" width="2.83203125" style="383" customWidth="1"/>
    <col min="4610" max="4610" width="0.83203125" style="383" customWidth="1"/>
    <col min="4611" max="4611" width="71.6640625" style="383" customWidth="1"/>
    <col min="4612" max="4612" width="2.1640625" style="383" customWidth="1"/>
    <col min="4613" max="4614" width="24.33203125" style="383" customWidth="1"/>
    <col min="4615" max="4615" width="24.1640625" style="383" customWidth="1"/>
    <col min="4616" max="4621" width="24.33203125" style="383" customWidth="1"/>
    <col min="4622" max="4622" width="0" style="383" hidden="1" customWidth="1"/>
    <col min="4623" max="4623" width="2.83203125" style="383" customWidth="1"/>
    <col min="4624" max="4864" width="8.83203125" style="383" customWidth="1"/>
    <col min="4865" max="4865" width="2.83203125" style="383" customWidth="1"/>
    <col min="4866" max="4866" width="0.83203125" style="383" customWidth="1"/>
    <col min="4867" max="4867" width="71.6640625" style="383" customWidth="1"/>
    <col min="4868" max="4868" width="2.1640625" style="383" customWidth="1"/>
    <col min="4869" max="4870" width="24.33203125" style="383" customWidth="1"/>
    <col min="4871" max="4871" width="24.1640625" style="383" customWidth="1"/>
    <col min="4872" max="4877" width="24.33203125" style="383" customWidth="1"/>
    <col min="4878" max="4878" width="0" style="383" hidden="1" customWidth="1"/>
    <col min="4879" max="4879" width="2.83203125" style="383" customWidth="1"/>
    <col min="4880" max="5120" width="8.83203125" style="383" customWidth="1"/>
    <col min="5121" max="5121" width="2.83203125" style="383" customWidth="1"/>
    <col min="5122" max="5122" width="0.83203125" style="383" customWidth="1"/>
    <col min="5123" max="5123" width="71.6640625" style="383" customWidth="1"/>
    <col min="5124" max="5124" width="2.1640625" style="383" customWidth="1"/>
    <col min="5125" max="5126" width="24.33203125" style="383" customWidth="1"/>
    <col min="5127" max="5127" width="24.1640625" style="383" customWidth="1"/>
    <col min="5128" max="5133" width="24.33203125" style="383" customWidth="1"/>
    <col min="5134" max="5134" width="0" style="383" hidden="1" customWidth="1"/>
    <col min="5135" max="5135" width="2.83203125" style="383" customWidth="1"/>
    <col min="5136" max="5376" width="8.83203125" style="383" customWidth="1"/>
    <col min="5377" max="5377" width="2.83203125" style="383" customWidth="1"/>
    <col min="5378" max="5378" width="0.83203125" style="383" customWidth="1"/>
    <col min="5379" max="5379" width="71.6640625" style="383" customWidth="1"/>
    <col min="5380" max="5380" width="2.1640625" style="383" customWidth="1"/>
    <col min="5381" max="5382" width="24.33203125" style="383" customWidth="1"/>
    <col min="5383" max="5383" width="24.1640625" style="383" customWidth="1"/>
    <col min="5384" max="5389" width="24.33203125" style="383" customWidth="1"/>
    <col min="5390" max="5390" width="0" style="383" hidden="1" customWidth="1"/>
    <col min="5391" max="5391" width="2.83203125" style="383" customWidth="1"/>
    <col min="5392" max="5632" width="8.83203125" style="383" customWidth="1"/>
    <col min="5633" max="5633" width="2.83203125" style="383" customWidth="1"/>
    <col min="5634" max="5634" width="0.83203125" style="383" customWidth="1"/>
    <col min="5635" max="5635" width="71.6640625" style="383" customWidth="1"/>
    <col min="5636" max="5636" width="2.1640625" style="383" customWidth="1"/>
    <col min="5637" max="5638" width="24.33203125" style="383" customWidth="1"/>
    <col min="5639" max="5639" width="24.1640625" style="383" customWidth="1"/>
    <col min="5640" max="5645" width="24.33203125" style="383" customWidth="1"/>
    <col min="5646" max="5646" width="0" style="383" hidden="1" customWidth="1"/>
    <col min="5647" max="5647" width="2.83203125" style="383" customWidth="1"/>
    <col min="5648" max="5888" width="8.83203125" style="383" customWidth="1"/>
    <col min="5889" max="5889" width="2.83203125" style="383" customWidth="1"/>
    <col min="5890" max="5890" width="0.83203125" style="383" customWidth="1"/>
    <col min="5891" max="5891" width="71.6640625" style="383" customWidth="1"/>
    <col min="5892" max="5892" width="2.1640625" style="383" customWidth="1"/>
    <col min="5893" max="5894" width="24.33203125" style="383" customWidth="1"/>
    <col min="5895" max="5895" width="24.1640625" style="383" customWidth="1"/>
    <col min="5896" max="5901" width="24.33203125" style="383" customWidth="1"/>
    <col min="5902" max="5902" width="0" style="383" hidden="1" customWidth="1"/>
    <col min="5903" max="5903" width="2.83203125" style="383" customWidth="1"/>
    <col min="5904" max="6144" width="8.83203125" style="383" customWidth="1"/>
    <col min="6145" max="6145" width="2.83203125" style="383" customWidth="1"/>
    <col min="6146" max="6146" width="0.83203125" style="383" customWidth="1"/>
    <col min="6147" max="6147" width="71.6640625" style="383" customWidth="1"/>
    <col min="6148" max="6148" width="2.1640625" style="383" customWidth="1"/>
    <col min="6149" max="6150" width="24.33203125" style="383" customWidth="1"/>
    <col min="6151" max="6151" width="24.1640625" style="383" customWidth="1"/>
    <col min="6152" max="6157" width="24.33203125" style="383" customWidth="1"/>
    <col min="6158" max="6158" width="0" style="383" hidden="1" customWidth="1"/>
    <col min="6159" max="6159" width="2.83203125" style="383" customWidth="1"/>
    <col min="6160" max="6400" width="8.83203125" style="383" customWidth="1"/>
    <col min="6401" max="6401" width="2.83203125" style="383" customWidth="1"/>
    <col min="6402" max="6402" width="0.83203125" style="383" customWidth="1"/>
    <col min="6403" max="6403" width="71.6640625" style="383" customWidth="1"/>
    <col min="6404" max="6404" width="2.1640625" style="383" customWidth="1"/>
    <col min="6405" max="6406" width="24.33203125" style="383" customWidth="1"/>
    <col min="6407" max="6407" width="24.1640625" style="383" customWidth="1"/>
    <col min="6408" max="6413" width="24.33203125" style="383" customWidth="1"/>
    <col min="6414" max="6414" width="0" style="383" hidden="1" customWidth="1"/>
    <col min="6415" max="6415" width="2.83203125" style="383" customWidth="1"/>
    <col min="6416" max="6656" width="8.83203125" style="383" customWidth="1"/>
    <col min="6657" max="6657" width="2.83203125" style="383" customWidth="1"/>
    <col min="6658" max="6658" width="0.83203125" style="383" customWidth="1"/>
    <col min="6659" max="6659" width="71.6640625" style="383" customWidth="1"/>
    <col min="6660" max="6660" width="2.1640625" style="383" customWidth="1"/>
    <col min="6661" max="6662" width="24.33203125" style="383" customWidth="1"/>
    <col min="6663" max="6663" width="24.1640625" style="383" customWidth="1"/>
    <col min="6664" max="6669" width="24.33203125" style="383" customWidth="1"/>
    <col min="6670" max="6670" width="0" style="383" hidden="1" customWidth="1"/>
    <col min="6671" max="6671" width="2.83203125" style="383" customWidth="1"/>
    <col min="6672" max="6912" width="8.83203125" style="383" customWidth="1"/>
    <col min="6913" max="6913" width="2.83203125" style="383" customWidth="1"/>
    <col min="6914" max="6914" width="0.83203125" style="383" customWidth="1"/>
    <col min="6915" max="6915" width="71.6640625" style="383" customWidth="1"/>
    <col min="6916" max="6916" width="2.1640625" style="383" customWidth="1"/>
    <col min="6917" max="6918" width="24.33203125" style="383" customWidth="1"/>
    <col min="6919" max="6919" width="24.1640625" style="383" customWidth="1"/>
    <col min="6920" max="6925" width="24.33203125" style="383" customWidth="1"/>
    <col min="6926" max="6926" width="0" style="383" hidden="1" customWidth="1"/>
    <col min="6927" max="6927" width="2.83203125" style="383" customWidth="1"/>
    <col min="6928" max="7168" width="8.83203125" style="383" customWidth="1"/>
    <col min="7169" max="7169" width="2.83203125" style="383" customWidth="1"/>
    <col min="7170" max="7170" width="0.83203125" style="383" customWidth="1"/>
    <col min="7171" max="7171" width="71.6640625" style="383" customWidth="1"/>
    <col min="7172" max="7172" width="2.1640625" style="383" customWidth="1"/>
    <col min="7173" max="7174" width="24.33203125" style="383" customWidth="1"/>
    <col min="7175" max="7175" width="24.1640625" style="383" customWidth="1"/>
    <col min="7176" max="7181" width="24.33203125" style="383" customWidth="1"/>
    <col min="7182" max="7182" width="0" style="383" hidden="1" customWidth="1"/>
    <col min="7183" max="7183" width="2.83203125" style="383" customWidth="1"/>
    <col min="7184" max="7424" width="8.83203125" style="383" customWidth="1"/>
    <col min="7425" max="7425" width="2.83203125" style="383" customWidth="1"/>
    <col min="7426" max="7426" width="0.83203125" style="383" customWidth="1"/>
    <col min="7427" max="7427" width="71.6640625" style="383" customWidth="1"/>
    <col min="7428" max="7428" width="2.1640625" style="383" customWidth="1"/>
    <col min="7429" max="7430" width="24.33203125" style="383" customWidth="1"/>
    <col min="7431" max="7431" width="24.1640625" style="383" customWidth="1"/>
    <col min="7432" max="7437" width="24.33203125" style="383" customWidth="1"/>
    <col min="7438" max="7438" width="0" style="383" hidden="1" customWidth="1"/>
    <col min="7439" max="7439" width="2.83203125" style="383" customWidth="1"/>
    <col min="7440" max="7680" width="8.83203125" style="383" customWidth="1"/>
    <col min="7681" max="7681" width="2.83203125" style="383" customWidth="1"/>
    <col min="7682" max="7682" width="0.83203125" style="383" customWidth="1"/>
    <col min="7683" max="7683" width="71.6640625" style="383" customWidth="1"/>
    <col min="7684" max="7684" width="2.1640625" style="383" customWidth="1"/>
    <col min="7685" max="7686" width="24.33203125" style="383" customWidth="1"/>
    <col min="7687" max="7687" width="24.1640625" style="383" customWidth="1"/>
    <col min="7688" max="7693" width="24.33203125" style="383" customWidth="1"/>
    <col min="7694" max="7694" width="0" style="383" hidden="1" customWidth="1"/>
    <col min="7695" max="7695" width="2.83203125" style="383" customWidth="1"/>
    <col min="7696" max="7936" width="8.83203125" style="383" customWidth="1"/>
    <col min="7937" max="7937" width="2.83203125" style="383" customWidth="1"/>
    <col min="7938" max="7938" width="0.83203125" style="383" customWidth="1"/>
    <col min="7939" max="7939" width="71.6640625" style="383" customWidth="1"/>
    <col min="7940" max="7940" width="2.1640625" style="383" customWidth="1"/>
    <col min="7941" max="7942" width="24.33203125" style="383" customWidth="1"/>
    <col min="7943" max="7943" width="24.1640625" style="383" customWidth="1"/>
    <col min="7944" max="7949" width="24.33203125" style="383" customWidth="1"/>
    <col min="7950" max="7950" width="0" style="383" hidden="1" customWidth="1"/>
    <col min="7951" max="7951" width="2.83203125" style="383" customWidth="1"/>
    <col min="7952" max="8192" width="8.83203125" style="383" customWidth="1"/>
    <col min="8193" max="8193" width="2.83203125" style="383" customWidth="1"/>
    <col min="8194" max="8194" width="0.83203125" style="383" customWidth="1"/>
    <col min="8195" max="8195" width="71.6640625" style="383" customWidth="1"/>
    <col min="8196" max="8196" width="2.1640625" style="383" customWidth="1"/>
    <col min="8197" max="8198" width="24.33203125" style="383" customWidth="1"/>
    <col min="8199" max="8199" width="24.1640625" style="383" customWidth="1"/>
    <col min="8200" max="8205" width="24.33203125" style="383" customWidth="1"/>
    <col min="8206" max="8206" width="0" style="383" hidden="1" customWidth="1"/>
    <col min="8207" max="8207" width="2.83203125" style="383" customWidth="1"/>
    <col min="8208" max="8448" width="8.83203125" style="383" customWidth="1"/>
    <col min="8449" max="8449" width="2.83203125" style="383" customWidth="1"/>
    <col min="8450" max="8450" width="0.83203125" style="383" customWidth="1"/>
    <col min="8451" max="8451" width="71.6640625" style="383" customWidth="1"/>
    <col min="8452" max="8452" width="2.1640625" style="383" customWidth="1"/>
    <col min="8453" max="8454" width="24.33203125" style="383" customWidth="1"/>
    <col min="8455" max="8455" width="24.1640625" style="383" customWidth="1"/>
    <col min="8456" max="8461" width="24.33203125" style="383" customWidth="1"/>
    <col min="8462" max="8462" width="0" style="383" hidden="1" customWidth="1"/>
    <col min="8463" max="8463" width="2.83203125" style="383" customWidth="1"/>
    <col min="8464" max="8704" width="8.83203125" style="383" customWidth="1"/>
    <col min="8705" max="8705" width="2.83203125" style="383" customWidth="1"/>
    <col min="8706" max="8706" width="0.83203125" style="383" customWidth="1"/>
    <col min="8707" max="8707" width="71.6640625" style="383" customWidth="1"/>
    <col min="8708" max="8708" width="2.1640625" style="383" customWidth="1"/>
    <col min="8709" max="8710" width="24.33203125" style="383" customWidth="1"/>
    <col min="8711" max="8711" width="24.1640625" style="383" customWidth="1"/>
    <col min="8712" max="8717" width="24.33203125" style="383" customWidth="1"/>
    <col min="8718" max="8718" width="0" style="383" hidden="1" customWidth="1"/>
    <col min="8719" max="8719" width="2.83203125" style="383" customWidth="1"/>
    <col min="8720" max="8960" width="8.83203125" style="383" customWidth="1"/>
    <col min="8961" max="8961" width="2.83203125" style="383" customWidth="1"/>
    <col min="8962" max="8962" width="0.83203125" style="383" customWidth="1"/>
    <col min="8963" max="8963" width="71.6640625" style="383" customWidth="1"/>
    <col min="8964" max="8964" width="2.1640625" style="383" customWidth="1"/>
    <col min="8965" max="8966" width="24.33203125" style="383" customWidth="1"/>
    <col min="8967" max="8967" width="24.1640625" style="383" customWidth="1"/>
    <col min="8968" max="8973" width="24.33203125" style="383" customWidth="1"/>
    <col min="8974" max="8974" width="0" style="383" hidden="1" customWidth="1"/>
    <col min="8975" max="8975" width="2.83203125" style="383" customWidth="1"/>
    <col min="8976" max="9216" width="8.83203125" style="383" customWidth="1"/>
    <col min="9217" max="9217" width="2.83203125" style="383" customWidth="1"/>
    <col min="9218" max="9218" width="0.83203125" style="383" customWidth="1"/>
    <col min="9219" max="9219" width="71.6640625" style="383" customWidth="1"/>
    <col min="9220" max="9220" width="2.1640625" style="383" customWidth="1"/>
    <col min="9221" max="9222" width="24.33203125" style="383" customWidth="1"/>
    <col min="9223" max="9223" width="24.1640625" style="383" customWidth="1"/>
    <col min="9224" max="9229" width="24.33203125" style="383" customWidth="1"/>
    <col min="9230" max="9230" width="0" style="383" hidden="1" customWidth="1"/>
    <col min="9231" max="9231" width="2.83203125" style="383" customWidth="1"/>
    <col min="9232" max="9472" width="8.83203125" style="383" customWidth="1"/>
    <col min="9473" max="9473" width="2.83203125" style="383" customWidth="1"/>
    <col min="9474" max="9474" width="0.83203125" style="383" customWidth="1"/>
    <col min="9475" max="9475" width="71.6640625" style="383" customWidth="1"/>
    <col min="9476" max="9476" width="2.1640625" style="383" customWidth="1"/>
    <col min="9477" max="9478" width="24.33203125" style="383" customWidth="1"/>
    <col min="9479" max="9479" width="24.1640625" style="383" customWidth="1"/>
    <col min="9480" max="9485" width="24.33203125" style="383" customWidth="1"/>
    <col min="9486" max="9486" width="0" style="383" hidden="1" customWidth="1"/>
    <col min="9487" max="9487" width="2.83203125" style="383" customWidth="1"/>
    <col min="9488" max="9728" width="8.83203125" style="383" customWidth="1"/>
    <col min="9729" max="9729" width="2.83203125" style="383" customWidth="1"/>
    <col min="9730" max="9730" width="0.83203125" style="383" customWidth="1"/>
    <col min="9731" max="9731" width="71.6640625" style="383" customWidth="1"/>
    <col min="9732" max="9732" width="2.1640625" style="383" customWidth="1"/>
    <col min="9733" max="9734" width="24.33203125" style="383" customWidth="1"/>
    <col min="9735" max="9735" width="24.1640625" style="383" customWidth="1"/>
    <col min="9736" max="9741" width="24.33203125" style="383" customWidth="1"/>
    <col min="9742" max="9742" width="0" style="383" hidden="1" customWidth="1"/>
    <col min="9743" max="9743" width="2.83203125" style="383" customWidth="1"/>
    <col min="9744" max="9984" width="8.83203125" style="383" customWidth="1"/>
    <col min="9985" max="9985" width="2.83203125" style="383" customWidth="1"/>
    <col min="9986" max="9986" width="0.83203125" style="383" customWidth="1"/>
    <col min="9987" max="9987" width="71.6640625" style="383" customWidth="1"/>
    <col min="9988" max="9988" width="2.1640625" style="383" customWidth="1"/>
    <col min="9989" max="9990" width="24.33203125" style="383" customWidth="1"/>
    <col min="9991" max="9991" width="24.1640625" style="383" customWidth="1"/>
    <col min="9992" max="9997" width="24.33203125" style="383" customWidth="1"/>
    <col min="9998" max="9998" width="0" style="383" hidden="1" customWidth="1"/>
    <col min="9999" max="9999" width="2.83203125" style="383" customWidth="1"/>
    <col min="10000" max="10240" width="8.83203125" style="383" customWidth="1"/>
    <col min="10241" max="10241" width="2.83203125" style="383" customWidth="1"/>
    <col min="10242" max="10242" width="0.83203125" style="383" customWidth="1"/>
    <col min="10243" max="10243" width="71.6640625" style="383" customWidth="1"/>
    <col min="10244" max="10244" width="2.1640625" style="383" customWidth="1"/>
    <col min="10245" max="10246" width="24.33203125" style="383" customWidth="1"/>
    <col min="10247" max="10247" width="24.1640625" style="383" customWidth="1"/>
    <col min="10248" max="10253" width="24.33203125" style="383" customWidth="1"/>
    <col min="10254" max="10254" width="0" style="383" hidden="1" customWidth="1"/>
    <col min="10255" max="10255" width="2.83203125" style="383" customWidth="1"/>
    <col min="10256" max="10496" width="8.83203125" style="383" customWidth="1"/>
    <col min="10497" max="10497" width="2.83203125" style="383" customWidth="1"/>
    <col min="10498" max="10498" width="0.83203125" style="383" customWidth="1"/>
    <col min="10499" max="10499" width="71.6640625" style="383" customWidth="1"/>
    <col min="10500" max="10500" width="2.1640625" style="383" customWidth="1"/>
    <col min="10501" max="10502" width="24.33203125" style="383" customWidth="1"/>
    <col min="10503" max="10503" width="24.1640625" style="383" customWidth="1"/>
    <col min="10504" max="10509" width="24.33203125" style="383" customWidth="1"/>
    <col min="10510" max="10510" width="0" style="383" hidden="1" customWidth="1"/>
    <col min="10511" max="10511" width="2.83203125" style="383" customWidth="1"/>
    <col min="10512" max="10752" width="8.83203125" style="383" customWidth="1"/>
    <col min="10753" max="10753" width="2.83203125" style="383" customWidth="1"/>
    <col min="10754" max="10754" width="0.83203125" style="383" customWidth="1"/>
    <col min="10755" max="10755" width="71.6640625" style="383" customWidth="1"/>
    <col min="10756" max="10756" width="2.1640625" style="383" customWidth="1"/>
    <col min="10757" max="10758" width="24.33203125" style="383" customWidth="1"/>
    <col min="10759" max="10759" width="24.1640625" style="383" customWidth="1"/>
    <col min="10760" max="10765" width="24.33203125" style="383" customWidth="1"/>
    <col min="10766" max="10766" width="0" style="383" hidden="1" customWidth="1"/>
    <col min="10767" max="10767" width="2.83203125" style="383" customWidth="1"/>
    <col min="10768" max="11008" width="8.83203125" style="383" customWidth="1"/>
    <col min="11009" max="11009" width="2.83203125" style="383" customWidth="1"/>
    <col min="11010" max="11010" width="0.83203125" style="383" customWidth="1"/>
    <col min="11011" max="11011" width="71.6640625" style="383" customWidth="1"/>
    <col min="11012" max="11012" width="2.1640625" style="383" customWidth="1"/>
    <col min="11013" max="11014" width="24.33203125" style="383" customWidth="1"/>
    <col min="11015" max="11015" width="24.1640625" style="383" customWidth="1"/>
    <col min="11016" max="11021" width="24.33203125" style="383" customWidth="1"/>
    <col min="11022" max="11022" width="0" style="383" hidden="1" customWidth="1"/>
    <col min="11023" max="11023" width="2.83203125" style="383" customWidth="1"/>
    <col min="11024" max="11264" width="8.83203125" style="383" customWidth="1"/>
    <col min="11265" max="11265" width="2.83203125" style="383" customWidth="1"/>
    <col min="11266" max="11266" width="0.83203125" style="383" customWidth="1"/>
    <col min="11267" max="11267" width="71.6640625" style="383" customWidth="1"/>
    <col min="11268" max="11268" width="2.1640625" style="383" customWidth="1"/>
    <col min="11269" max="11270" width="24.33203125" style="383" customWidth="1"/>
    <col min="11271" max="11271" width="24.1640625" style="383" customWidth="1"/>
    <col min="11272" max="11277" width="24.33203125" style="383" customWidth="1"/>
    <col min="11278" max="11278" width="0" style="383" hidden="1" customWidth="1"/>
    <col min="11279" max="11279" width="2.83203125" style="383" customWidth="1"/>
    <col min="11280" max="11520" width="8.83203125" style="383" customWidth="1"/>
    <col min="11521" max="11521" width="2.83203125" style="383" customWidth="1"/>
    <col min="11522" max="11522" width="0.83203125" style="383" customWidth="1"/>
    <col min="11523" max="11523" width="71.6640625" style="383" customWidth="1"/>
    <col min="11524" max="11524" width="2.1640625" style="383" customWidth="1"/>
    <col min="11525" max="11526" width="24.33203125" style="383" customWidth="1"/>
    <col min="11527" max="11527" width="24.1640625" style="383" customWidth="1"/>
    <col min="11528" max="11533" width="24.33203125" style="383" customWidth="1"/>
    <col min="11534" max="11534" width="0" style="383" hidden="1" customWidth="1"/>
    <col min="11535" max="11535" width="2.83203125" style="383" customWidth="1"/>
    <col min="11536" max="11776" width="8.83203125" style="383" customWidth="1"/>
    <col min="11777" max="11777" width="2.83203125" style="383" customWidth="1"/>
    <col min="11778" max="11778" width="0.83203125" style="383" customWidth="1"/>
    <col min="11779" max="11779" width="71.6640625" style="383" customWidth="1"/>
    <col min="11780" max="11780" width="2.1640625" style="383" customWidth="1"/>
    <col min="11781" max="11782" width="24.33203125" style="383" customWidth="1"/>
    <col min="11783" max="11783" width="24.1640625" style="383" customWidth="1"/>
    <col min="11784" max="11789" width="24.33203125" style="383" customWidth="1"/>
    <col min="11790" max="11790" width="0" style="383" hidden="1" customWidth="1"/>
    <col min="11791" max="11791" width="2.83203125" style="383" customWidth="1"/>
    <col min="11792" max="12032" width="8.83203125" style="383" customWidth="1"/>
    <col min="12033" max="12033" width="2.83203125" style="383" customWidth="1"/>
    <col min="12034" max="12034" width="0.83203125" style="383" customWidth="1"/>
    <col min="12035" max="12035" width="71.6640625" style="383" customWidth="1"/>
    <col min="12036" max="12036" width="2.1640625" style="383" customWidth="1"/>
    <col min="12037" max="12038" width="24.33203125" style="383" customWidth="1"/>
    <col min="12039" max="12039" width="24.1640625" style="383" customWidth="1"/>
    <col min="12040" max="12045" width="24.33203125" style="383" customWidth="1"/>
    <col min="12046" max="12046" width="0" style="383" hidden="1" customWidth="1"/>
    <col min="12047" max="12047" width="2.83203125" style="383" customWidth="1"/>
    <col min="12048" max="12288" width="8.83203125" style="383" customWidth="1"/>
    <col min="12289" max="12289" width="2.83203125" style="383" customWidth="1"/>
    <col min="12290" max="12290" width="0.83203125" style="383" customWidth="1"/>
    <col min="12291" max="12291" width="71.6640625" style="383" customWidth="1"/>
    <col min="12292" max="12292" width="2.1640625" style="383" customWidth="1"/>
    <col min="12293" max="12294" width="24.33203125" style="383" customWidth="1"/>
    <col min="12295" max="12295" width="24.1640625" style="383" customWidth="1"/>
    <col min="12296" max="12301" width="24.33203125" style="383" customWidth="1"/>
    <col min="12302" max="12302" width="0" style="383" hidden="1" customWidth="1"/>
    <col min="12303" max="12303" width="2.83203125" style="383" customWidth="1"/>
    <col min="12304" max="12544" width="8.83203125" style="383" customWidth="1"/>
    <col min="12545" max="12545" width="2.83203125" style="383" customWidth="1"/>
    <col min="12546" max="12546" width="0.83203125" style="383" customWidth="1"/>
    <col min="12547" max="12547" width="71.6640625" style="383" customWidth="1"/>
    <col min="12548" max="12548" width="2.1640625" style="383" customWidth="1"/>
    <col min="12549" max="12550" width="24.33203125" style="383" customWidth="1"/>
    <col min="12551" max="12551" width="24.1640625" style="383" customWidth="1"/>
    <col min="12552" max="12557" width="24.33203125" style="383" customWidth="1"/>
    <col min="12558" max="12558" width="0" style="383" hidden="1" customWidth="1"/>
    <col min="12559" max="12559" width="2.83203125" style="383" customWidth="1"/>
    <col min="12560" max="12800" width="8.83203125" style="383" customWidth="1"/>
    <col min="12801" max="12801" width="2.83203125" style="383" customWidth="1"/>
    <col min="12802" max="12802" width="0.83203125" style="383" customWidth="1"/>
    <col min="12803" max="12803" width="71.6640625" style="383" customWidth="1"/>
    <col min="12804" max="12804" width="2.1640625" style="383" customWidth="1"/>
    <col min="12805" max="12806" width="24.33203125" style="383" customWidth="1"/>
    <col min="12807" max="12807" width="24.1640625" style="383" customWidth="1"/>
    <col min="12808" max="12813" width="24.33203125" style="383" customWidth="1"/>
    <col min="12814" max="12814" width="0" style="383" hidden="1" customWidth="1"/>
    <col min="12815" max="12815" width="2.83203125" style="383" customWidth="1"/>
    <col min="12816" max="13056" width="8.83203125" style="383" customWidth="1"/>
    <col min="13057" max="13057" width="2.83203125" style="383" customWidth="1"/>
    <col min="13058" max="13058" width="0.83203125" style="383" customWidth="1"/>
    <col min="13059" max="13059" width="71.6640625" style="383" customWidth="1"/>
    <col min="13060" max="13060" width="2.1640625" style="383" customWidth="1"/>
    <col min="13061" max="13062" width="24.33203125" style="383" customWidth="1"/>
    <col min="13063" max="13063" width="24.1640625" style="383" customWidth="1"/>
    <col min="13064" max="13069" width="24.33203125" style="383" customWidth="1"/>
    <col min="13070" max="13070" width="0" style="383" hidden="1" customWidth="1"/>
    <col min="13071" max="13071" width="2.83203125" style="383" customWidth="1"/>
    <col min="13072" max="13312" width="8.83203125" style="383" customWidth="1"/>
    <col min="13313" max="13313" width="2.83203125" style="383" customWidth="1"/>
    <col min="13314" max="13314" width="0.83203125" style="383" customWidth="1"/>
    <col min="13315" max="13315" width="71.6640625" style="383" customWidth="1"/>
    <col min="13316" max="13316" width="2.1640625" style="383" customWidth="1"/>
    <col min="13317" max="13318" width="24.33203125" style="383" customWidth="1"/>
    <col min="13319" max="13319" width="24.1640625" style="383" customWidth="1"/>
    <col min="13320" max="13325" width="24.33203125" style="383" customWidth="1"/>
    <col min="13326" max="13326" width="0" style="383" hidden="1" customWidth="1"/>
    <col min="13327" max="13327" width="2.83203125" style="383" customWidth="1"/>
    <col min="13328" max="13568" width="8.83203125" style="383" customWidth="1"/>
    <col min="13569" max="13569" width="2.83203125" style="383" customWidth="1"/>
    <col min="13570" max="13570" width="0.83203125" style="383" customWidth="1"/>
    <col min="13571" max="13571" width="71.6640625" style="383" customWidth="1"/>
    <col min="13572" max="13572" width="2.1640625" style="383" customWidth="1"/>
    <col min="13573" max="13574" width="24.33203125" style="383" customWidth="1"/>
    <col min="13575" max="13575" width="24.1640625" style="383" customWidth="1"/>
    <col min="13576" max="13581" width="24.33203125" style="383" customWidth="1"/>
    <col min="13582" max="13582" width="0" style="383" hidden="1" customWidth="1"/>
    <col min="13583" max="13583" width="2.83203125" style="383" customWidth="1"/>
    <col min="13584" max="13824" width="8.83203125" style="383" customWidth="1"/>
    <col min="13825" max="13825" width="2.83203125" style="383" customWidth="1"/>
    <col min="13826" max="13826" width="0.83203125" style="383" customWidth="1"/>
    <col min="13827" max="13827" width="71.6640625" style="383" customWidth="1"/>
    <col min="13828" max="13828" width="2.1640625" style="383" customWidth="1"/>
    <col min="13829" max="13830" width="24.33203125" style="383" customWidth="1"/>
    <col min="13831" max="13831" width="24.1640625" style="383" customWidth="1"/>
    <col min="13832" max="13837" width="24.33203125" style="383" customWidth="1"/>
    <col min="13838" max="13838" width="0" style="383" hidden="1" customWidth="1"/>
    <col min="13839" max="13839" width="2.83203125" style="383" customWidth="1"/>
    <col min="13840" max="14080" width="8.83203125" style="383" customWidth="1"/>
    <col min="14081" max="14081" width="2.83203125" style="383" customWidth="1"/>
    <col min="14082" max="14082" width="0.83203125" style="383" customWidth="1"/>
    <col min="14083" max="14083" width="71.6640625" style="383" customWidth="1"/>
    <col min="14084" max="14084" width="2.1640625" style="383" customWidth="1"/>
    <col min="14085" max="14086" width="24.33203125" style="383" customWidth="1"/>
    <col min="14087" max="14087" width="24.1640625" style="383" customWidth="1"/>
    <col min="14088" max="14093" width="24.33203125" style="383" customWidth="1"/>
    <col min="14094" max="14094" width="0" style="383" hidden="1" customWidth="1"/>
    <col min="14095" max="14095" width="2.83203125" style="383" customWidth="1"/>
    <col min="14096" max="14336" width="8.83203125" style="383" customWidth="1"/>
    <col min="14337" max="14337" width="2.83203125" style="383" customWidth="1"/>
    <col min="14338" max="14338" width="0.83203125" style="383" customWidth="1"/>
    <col min="14339" max="14339" width="71.6640625" style="383" customWidth="1"/>
    <col min="14340" max="14340" width="2.1640625" style="383" customWidth="1"/>
    <col min="14341" max="14342" width="24.33203125" style="383" customWidth="1"/>
    <col min="14343" max="14343" width="24.1640625" style="383" customWidth="1"/>
    <col min="14344" max="14349" width="24.33203125" style="383" customWidth="1"/>
    <col min="14350" max="14350" width="0" style="383" hidden="1" customWidth="1"/>
    <col min="14351" max="14351" width="2.83203125" style="383" customWidth="1"/>
    <col min="14352" max="14592" width="8.83203125" style="383" customWidth="1"/>
    <col min="14593" max="14593" width="2.83203125" style="383" customWidth="1"/>
    <col min="14594" max="14594" width="0.83203125" style="383" customWidth="1"/>
    <col min="14595" max="14595" width="71.6640625" style="383" customWidth="1"/>
    <col min="14596" max="14596" width="2.1640625" style="383" customWidth="1"/>
    <col min="14597" max="14598" width="24.33203125" style="383" customWidth="1"/>
    <col min="14599" max="14599" width="24.1640625" style="383" customWidth="1"/>
    <col min="14600" max="14605" width="24.33203125" style="383" customWidth="1"/>
    <col min="14606" max="14606" width="0" style="383" hidden="1" customWidth="1"/>
    <col min="14607" max="14607" width="2.83203125" style="383" customWidth="1"/>
    <col min="14608" max="14848" width="8.83203125" style="383" customWidth="1"/>
    <col min="14849" max="14849" width="2.83203125" style="383" customWidth="1"/>
    <col min="14850" max="14850" width="0.83203125" style="383" customWidth="1"/>
    <col min="14851" max="14851" width="71.6640625" style="383" customWidth="1"/>
    <col min="14852" max="14852" width="2.1640625" style="383" customWidth="1"/>
    <col min="14853" max="14854" width="24.33203125" style="383" customWidth="1"/>
    <col min="14855" max="14855" width="24.1640625" style="383" customWidth="1"/>
    <col min="14856" max="14861" width="24.33203125" style="383" customWidth="1"/>
    <col min="14862" max="14862" width="0" style="383" hidden="1" customWidth="1"/>
    <col min="14863" max="14863" width="2.83203125" style="383" customWidth="1"/>
    <col min="14864" max="15104" width="8.83203125" style="383" customWidth="1"/>
    <col min="15105" max="15105" width="2.83203125" style="383" customWidth="1"/>
    <col min="15106" max="15106" width="0.83203125" style="383" customWidth="1"/>
    <col min="15107" max="15107" width="71.6640625" style="383" customWidth="1"/>
    <col min="15108" max="15108" width="2.1640625" style="383" customWidth="1"/>
    <col min="15109" max="15110" width="24.33203125" style="383" customWidth="1"/>
    <col min="15111" max="15111" width="24.1640625" style="383" customWidth="1"/>
    <col min="15112" max="15117" width="24.33203125" style="383" customWidth="1"/>
    <col min="15118" max="15118" width="0" style="383" hidden="1" customWidth="1"/>
    <col min="15119" max="15119" width="2.83203125" style="383" customWidth="1"/>
    <col min="15120" max="15360" width="8.83203125" style="383" customWidth="1"/>
    <col min="15361" max="15361" width="2.83203125" style="383" customWidth="1"/>
    <col min="15362" max="15362" width="0.83203125" style="383" customWidth="1"/>
    <col min="15363" max="15363" width="71.6640625" style="383" customWidth="1"/>
    <col min="15364" max="15364" width="2.1640625" style="383" customWidth="1"/>
    <col min="15365" max="15366" width="24.33203125" style="383" customWidth="1"/>
    <col min="15367" max="15367" width="24.1640625" style="383" customWidth="1"/>
    <col min="15368" max="15373" width="24.33203125" style="383" customWidth="1"/>
    <col min="15374" max="15374" width="0" style="383" hidden="1" customWidth="1"/>
    <col min="15375" max="15375" width="2.83203125" style="383" customWidth="1"/>
    <col min="15376" max="15616" width="8.83203125" style="383" customWidth="1"/>
    <col min="15617" max="15617" width="2.83203125" style="383" customWidth="1"/>
    <col min="15618" max="15618" width="0.83203125" style="383" customWidth="1"/>
    <col min="15619" max="15619" width="71.6640625" style="383" customWidth="1"/>
    <col min="15620" max="15620" width="2.1640625" style="383" customWidth="1"/>
    <col min="15621" max="15622" width="24.33203125" style="383" customWidth="1"/>
    <col min="15623" max="15623" width="24.1640625" style="383" customWidth="1"/>
    <col min="15624" max="15629" width="24.33203125" style="383" customWidth="1"/>
    <col min="15630" max="15630" width="0" style="383" hidden="1" customWidth="1"/>
    <col min="15631" max="15631" width="2.83203125" style="383" customWidth="1"/>
    <col min="15632" max="15872" width="8.83203125" style="383" customWidth="1"/>
    <col min="15873" max="15873" width="2.83203125" style="383" customWidth="1"/>
    <col min="15874" max="15874" width="0.83203125" style="383" customWidth="1"/>
    <col min="15875" max="15875" width="71.6640625" style="383" customWidth="1"/>
    <col min="15876" max="15876" width="2.1640625" style="383" customWidth="1"/>
    <col min="15877" max="15878" width="24.33203125" style="383" customWidth="1"/>
    <col min="15879" max="15879" width="24.1640625" style="383" customWidth="1"/>
    <col min="15880" max="15885" width="24.33203125" style="383" customWidth="1"/>
    <col min="15886" max="15886" width="0" style="383" hidden="1" customWidth="1"/>
    <col min="15887" max="15887" width="2.83203125" style="383" customWidth="1"/>
    <col min="15888" max="16128" width="8.83203125" style="383" customWidth="1"/>
    <col min="16129" max="16129" width="2.83203125" style="383" customWidth="1"/>
    <col min="16130" max="16130" width="0.83203125" style="383" customWidth="1"/>
    <col min="16131" max="16131" width="71.6640625" style="383" customWidth="1"/>
    <col min="16132" max="16132" width="2.1640625" style="383" customWidth="1"/>
    <col min="16133" max="16134" width="24.33203125" style="383" customWidth="1"/>
    <col min="16135" max="16135" width="24.1640625" style="383" customWidth="1"/>
    <col min="16136" max="16141" width="24.33203125" style="383" customWidth="1"/>
    <col min="16142" max="16142" width="0" style="383" hidden="1" customWidth="1"/>
    <col min="16143" max="16143" width="2.83203125" style="383" customWidth="1"/>
    <col min="16144" max="16384" width="8.83203125" style="383" customWidth="1"/>
  </cols>
  <sheetData>
    <row r="1" spans="1:13" ht="12" customHeight="1"/>
    <row r="2" spans="1:13" ht="14" thickBot="1">
      <c r="B2" s="592"/>
      <c r="C2" s="593"/>
      <c r="D2" s="594"/>
      <c r="E2" s="384"/>
      <c r="F2" s="384"/>
      <c r="G2" s="384"/>
      <c r="H2" s="384"/>
      <c r="I2" s="384"/>
      <c r="J2" s="384"/>
      <c r="K2" s="384"/>
      <c r="L2" s="384"/>
      <c r="M2" s="384"/>
    </row>
    <row r="3" spans="1:13" s="387" customFormat="1" ht="14" thickBot="1">
      <c r="A3" s="385"/>
      <c r="B3" s="595" t="s">
        <v>462</v>
      </c>
      <c r="C3" s="596"/>
      <c r="D3" s="597"/>
      <c r="E3" s="386">
        <v>13</v>
      </c>
      <c r="F3" s="386">
        <v>19</v>
      </c>
      <c r="G3" s="386">
        <v>28</v>
      </c>
      <c r="H3" s="386">
        <v>60</v>
      </c>
      <c r="I3" s="386">
        <v>62</v>
      </c>
      <c r="J3" s="386">
        <v>63</v>
      </c>
      <c r="K3" s="386">
        <v>79</v>
      </c>
      <c r="L3" s="386">
        <v>150</v>
      </c>
      <c r="M3" s="386">
        <v>142</v>
      </c>
    </row>
    <row r="4" spans="1:13" s="425" customFormat="1" ht="25" customHeight="1">
      <c r="B4" s="598" t="s">
        <v>463</v>
      </c>
      <c r="C4" s="599"/>
      <c r="D4" s="600"/>
      <c r="E4" s="427" t="s">
        <v>464</v>
      </c>
      <c r="F4" s="428"/>
      <c r="G4" s="428"/>
      <c r="H4" s="428"/>
      <c r="I4" s="428"/>
      <c r="J4" s="428"/>
      <c r="K4" s="428"/>
      <c r="L4" s="428"/>
      <c r="M4" s="428"/>
    </row>
    <row r="5" spans="1:13" s="399" customFormat="1">
      <c r="B5" s="601" t="s">
        <v>465</v>
      </c>
      <c r="C5" s="602"/>
      <c r="D5" s="603"/>
      <c r="E5" s="397"/>
      <c r="F5" s="397"/>
      <c r="G5" s="397"/>
      <c r="H5" s="397"/>
      <c r="I5" s="397"/>
      <c r="J5" s="397"/>
      <c r="K5" s="397"/>
      <c r="L5" s="397"/>
      <c r="M5" s="397"/>
    </row>
    <row r="6" spans="1:13" s="430" customFormat="1">
      <c r="B6" s="604" t="s">
        <v>466</v>
      </c>
      <c r="C6" s="605"/>
      <c r="D6" s="606"/>
      <c r="E6" s="429"/>
      <c r="F6" s="429"/>
      <c r="G6" s="429"/>
      <c r="H6" s="429"/>
      <c r="I6" s="429"/>
      <c r="J6" s="429"/>
      <c r="K6" s="429"/>
      <c r="L6" s="429"/>
      <c r="M6" s="429"/>
    </row>
    <row r="7" spans="1:13" s="406" customFormat="1">
      <c r="B7" s="589" t="s">
        <v>467</v>
      </c>
      <c r="C7" s="590"/>
      <c r="D7" s="591"/>
      <c r="E7" s="407"/>
      <c r="F7" s="407"/>
      <c r="G7" s="407"/>
      <c r="H7" s="407"/>
      <c r="I7" s="407"/>
      <c r="J7" s="407"/>
      <c r="K7" s="407"/>
      <c r="L7" s="407"/>
      <c r="M7" s="407"/>
    </row>
    <row r="8" spans="1:13" s="406" customFormat="1">
      <c r="B8" s="589" t="s">
        <v>468</v>
      </c>
      <c r="C8" s="590"/>
      <c r="D8" s="591"/>
      <c r="E8" s="408">
        <v>0</v>
      </c>
      <c r="F8" s="408">
        <v>160000</v>
      </c>
      <c r="G8" s="408">
        <v>230000</v>
      </c>
      <c r="H8" s="408">
        <v>400000</v>
      </c>
      <c r="I8" s="408">
        <v>400000</v>
      </c>
      <c r="J8" s="408">
        <v>400000</v>
      </c>
      <c r="K8" s="408">
        <v>400000</v>
      </c>
      <c r="L8" s="408">
        <v>400000</v>
      </c>
      <c r="M8" s="408">
        <v>400000</v>
      </c>
    </row>
    <row r="9" spans="1:13" s="406" customFormat="1">
      <c r="B9" s="589" t="s">
        <v>469</v>
      </c>
      <c r="C9" s="590"/>
      <c r="D9" s="591"/>
      <c r="E9" s="408">
        <v>668037</v>
      </c>
      <c r="F9" s="408">
        <v>719562</v>
      </c>
      <c r="G9" s="408">
        <v>1061523</v>
      </c>
      <c r="H9" s="408">
        <v>2329968</v>
      </c>
      <c r="I9" s="408">
        <v>2428883</v>
      </c>
      <c r="J9" s="408">
        <v>2323545</v>
      </c>
      <c r="K9" s="408">
        <v>3354583</v>
      </c>
      <c r="L9" s="408">
        <v>5947049</v>
      </c>
      <c r="M9" s="408">
        <v>5554903</v>
      </c>
    </row>
    <row r="10" spans="1:13" s="406" customFormat="1">
      <c r="B10" s="589" t="s">
        <v>470</v>
      </c>
      <c r="C10" s="590"/>
      <c r="D10" s="591"/>
      <c r="E10" s="408">
        <v>0</v>
      </c>
      <c r="F10" s="408">
        <v>133980</v>
      </c>
      <c r="G10" s="408">
        <v>196928</v>
      </c>
      <c r="H10" s="408">
        <v>414068</v>
      </c>
      <c r="I10" s="408">
        <v>427928</v>
      </c>
      <c r="J10" s="408">
        <v>438900</v>
      </c>
      <c r="K10" s="408">
        <v>554978</v>
      </c>
      <c r="L10" s="408">
        <v>1055670</v>
      </c>
      <c r="M10" s="408">
        <v>984638</v>
      </c>
    </row>
    <row r="11" spans="1:13" s="406" customFormat="1">
      <c r="B11" s="589" t="s">
        <v>444</v>
      </c>
      <c r="C11" s="590"/>
      <c r="D11" s="591"/>
      <c r="E11" s="408">
        <v>0</v>
      </c>
      <c r="F11" s="408">
        <v>35568</v>
      </c>
      <c r="G11" s="408">
        <v>51129</v>
      </c>
      <c r="H11" s="408">
        <v>135603</v>
      </c>
      <c r="I11" s="408">
        <v>140049</v>
      </c>
      <c r="J11" s="408">
        <v>144495</v>
      </c>
      <c r="K11" s="408">
        <v>173394</v>
      </c>
      <c r="L11" s="408">
        <v>320112</v>
      </c>
      <c r="M11" s="408">
        <v>311220</v>
      </c>
    </row>
    <row r="12" spans="1:13" s="406" customFormat="1">
      <c r="B12" s="589" t="s">
        <v>471</v>
      </c>
      <c r="C12" s="590"/>
      <c r="D12" s="591"/>
      <c r="E12" s="408">
        <v>59550</v>
      </c>
      <c r="F12" s="408">
        <v>81385</v>
      </c>
      <c r="G12" s="408">
        <v>139612</v>
      </c>
      <c r="H12" s="408">
        <v>174680</v>
      </c>
      <c r="I12" s="408">
        <v>0</v>
      </c>
      <c r="J12" s="408">
        <v>296427</v>
      </c>
      <c r="K12" s="408">
        <v>212395</v>
      </c>
      <c r="L12" s="408">
        <v>418173</v>
      </c>
      <c r="M12" s="408">
        <v>452580</v>
      </c>
    </row>
    <row r="13" spans="1:13" s="406" customFormat="1">
      <c r="B13" s="589" t="s">
        <v>472</v>
      </c>
      <c r="C13" s="590"/>
      <c r="D13" s="591"/>
      <c r="E13" s="408">
        <v>0</v>
      </c>
      <c r="F13" s="408">
        <v>136559</v>
      </c>
      <c r="G13" s="408">
        <v>136559</v>
      </c>
      <c r="H13" s="408">
        <v>136559</v>
      </c>
      <c r="I13" s="408">
        <v>136559</v>
      </c>
      <c r="J13" s="408">
        <v>136559</v>
      </c>
      <c r="K13" s="408">
        <v>0</v>
      </c>
      <c r="L13" s="408">
        <v>136559</v>
      </c>
      <c r="M13" s="408">
        <v>136559</v>
      </c>
    </row>
    <row r="14" spans="1:13" s="406" customFormat="1">
      <c r="B14" s="589" t="s">
        <v>473</v>
      </c>
      <c r="C14" s="590"/>
      <c r="D14" s="591"/>
      <c r="E14" s="408">
        <v>0</v>
      </c>
      <c r="F14" s="408">
        <v>221249</v>
      </c>
      <c r="G14" s="408">
        <v>360985</v>
      </c>
      <c r="H14" s="408">
        <v>291117</v>
      </c>
      <c r="I14" s="408">
        <v>360985</v>
      </c>
      <c r="J14" s="408">
        <v>360985</v>
      </c>
      <c r="K14" s="408">
        <v>780193</v>
      </c>
      <c r="L14" s="408">
        <v>116447</v>
      </c>
      <c r="M14" s="408">
        <v>221249</v>
      </c>
    </row>
    <row r="15" spans="1:13" s="406" customFormat="1">
      <c r="B15" s="589" t="s">
        <v>474</v>
      </c>
      <c r="C15" s="590"/>
      <c r="D15" s="591"/>
      <c r="E15" s="408">
        <v>0</v>
      </c>
      <c r="F15" s="408">
        <v>0</v>
      </c>
      <c r="G15" s="408">
        <v>0</v>
      </c>
      <c r="H15" s="408">
        <v>0</v>
      </c>
      <c r="I15" s="408">
        <v>0</v>
      </c>
      <c r="J15" s="408">
        <v>18590</v>
      </c>
      <c r="K15" s="408">
        <v>0</v>
      </c>
      <c r="L15" s="408">
        <v>0</v>
      </c>
      <c r="M15" s="408">
        <v>111850</v>
      </c>
    </row>
    <row r="16" spans="1:13" s="406" customFormat="1">
      <c r="B16" s="589" t="s">
        <v>475</v>
      </c>
      <c r="C16" s="590"/>
      <c r="D16" s="591"/>
      <c r="E16" s="408">
        <v>0</v>
      </c>
      <c r="F16" s="408">
        <v>0</v>
      </c>
      <c r="G16" s="408">
        <v>0</v>
      </c>
      <c r="H16" s="408">
        <v>0</v>
      </c>
      <c r="I16" s="408">
        <v>0</v>
      </c>
      <c r="J16" s="408">
        <v>0</v>
      </c>
      <c r="K16" s="408">
        <v>0</v>
      </c>
      <c r="L16" s="408">
        <v>0</v>
      </c>
      <c r="M16" s="408">
        <v>0</v>
      </c>
    </row>
    <row r="17" spans="2:13" s="406" customFormat="1">
      <c r="B17" s="589" t="s">
        <v>476</v>
      </c>
      <c r="C17" s="590"/>
      <c r="D17" s="591"/>
      <c r="E17" s="408">
        <v>3500</v>
      </c>
      <c r="F17" s="408">
        <v>0</v>
      </c>
      <c r="G17" s="408">
        <v>23034</v>
      </c>
      <c r="H17" s="408">
        <v>49210</v>
      </c>
      <c r="I17" s="408">
        <v>54549</v>
      </c>
      <c r="J17" s="408">
        <v>49881</v>
      </c>
      <c r="K17" s="408">
        <v>0</v>
      </c>
      <c r="L17" s="408">
        <v>0</v>
      </c>
      <c r="M17" s="408">
        <v>108483</v>
      </c>
    </row>
    <row r="18" spans="2:13" s="406" customFormat="1">
      <c r="B18" s="589" t="s">
        <v>17</v>
      </c>
      <c r="C18" s="590"/>
      <c r="D18" s="591"/>
      <c r="E18" s="408">
        <v>0</v>
      </c>
      <c r="F18" s="408">
        <v>16118</v>
      </c>
      <c r="G18" s="408">
        <v>0</v>
      </c>
      <c r="H18" s="408">
        <v>0</v>
      </c>
      <c r="I18" s="408">
        <v>0</v>
      </c>
      <c r="J18" s="408">
        <v>0</v>
      </c>
      <c r="K18" s="408">
        <v>72446</v>
      </c>
      <c r="L18" s="408">
        <v>107593</v>
      </c>
      <c r="M18" s="408">
        <v>0</v>
      </c>
    </row>
    <row r="19" spans="2:13" s="406" customFormat="1">
      <c r="B19" s="589" t="s">
        <v>477</v>
      </c>
      <c r="C19" s="590"/>
      <c r="D19" s="591"/>
      <c r="E19" s="408">
        <v>0</v>
      </c>
      <c r="F19" s="408">
        <v>0</v>
      </c>
      <c r="G19" s="408">
        <v>50776</v>
      </c>
      <c r="H19" s="408">
        <v>0</v>
      </c>
      <c r="I19" s="408">
        <v>23799</v>
      </c>
      <c r="J19" s="408">
        <v>0</v>
      </c>
      <c r="K19" s="408">
        <v>0</v>
      </c>
      <c r="L19" s="408">
        <v>0</v>
      </c>
      <c r="M19" s="408">
        <v>0</v>
      </c>
    </row>
    <row r="20" spans="2:13" s="406" customFormat="1">
      <c r="B20" s="589" t="s">
        <v>478</v>
      </c>
      <c r="C20" s="590"/>
      <c r="D20" s="591"/>
      <c r="E20" s="408">
        <v>0</v>
      </c>
      <c r="F20" s="408">
        <v>0</v>
      </c>
      <c r="G20" s="408">
        <v>0</v>
      </c>
      <c r="H20" s="408">
        <v>0</v>
      </c>
      <c r="I20" s="408">
        <v>0</v>
      </c>
      <c r="J20" s="408">
        <v>0</v>
      </c>
      <c r="K20" s="408">
        <v>0</v>
      </c>
      <c r="L20" s="408">
        <v>0</v>
      </c>
      <c r="M20" s="408">
        <v>0</v>
      </c>
    </row>
    <row r="21" spans="2:13" s="406" customFormat="1">
      <c r="B21" s="589" t="s">
        <v>479</v>
      </c>
      <c r="C21" s="590"/>
      <c r="D21" s="591"/>
      <c r="E21" s="408">
        <v>0</v>
      </c>
      <c r="F21" s="408">
        <v>0</v>
      </c>
      <c r="G21" s="408">
        <v>0</v>
      </c>
      <c r="H21" s="408">
        <v>0</v>
      </c>
      <c r="I21" s="408">
        <v>0</v>
      </c>
      <c r="J21" s="408">
        <v>0</v>
      </c>
      <c r="K21" s="408">
        <v>0</v>
      </c>
      <c r="L21" s="408">
        <v>0</v>
      </c>
      <c r="M21" s="408">
        <v>0</v>
      </c>
    </row>
    <row r="22" spans="2:13" s="406" customFormat="1">
      <c r="B22" s="607" t="s">
        <v>480</v>
      </c>
      <c r="C22" s="590"/>
      <c r="D22" s="591"/>
      <c r="E22" s="409">
        <v>731087</v>
      </c>
      <c r="F22" s="409">
        <v>1504421</v>
      </c>
      <c r="G22" s="409">
        <v>2250546</v>
      </c>
      <c r="H22" s="409">
        <v>3931205</v>
      </c>
      <c r="I22" s="409">
        <v>3972752</v>
      </c>
      <c r="J22" s="409">
        <v>4169382</v>
      </c>
      <c r="K22" s="409">
        <v>5547989</v>
      </c>
      <c r="L22" s="409">
        <v>8501603</v>
      </c>
      <c r="M22" s="409">
        <v>8281482</v>
      </c>
    </row>
    <row r="23" spans="2:13" s="430" customFormat="1">
      <c r="B23" s="604" t="s">
        <v>481</v>
      </c>
      <c r="C23" s="605"/>
      <c r="D23" s="606"/>
      <c r="E23" s="429"/>
      <c r="F23" s="429"/>
      <c r="G23" s="429"/>
      <c r="H23" s="429"/>
      <c r="I23" s="429"/>
      <c r="J23" s="429"/>
      <c r="K23" s="429"/>
      <c r="L23" s="429"/>
      <c r="M23" s="429"/>
    </row>
    <row r="24" spans="2:13" s="406" customFormat="1">
      <c r="B24" s="589" t="s">
        <v>482</v>
      </c>
      <c r="C24" s="590"/>
      <c r="D24" s="591"/>
      <c r="E24" s="407"/>
      <c r="F24" s="407"/>
      <c r="G24" s="407"/>
      <c r="H24" s="407"/>
      <c r="I24" s="407"/>
      <c r="J24" s="407"/>
      <c r="K24" s="407"/>
      <c r="L24" s="407"/>
      <c r="M24" s="407"/>
    </row>
    <row r="25" spans="2:13" s="406" customFormat="1">
      <c r="B25" s="589" t="s">
        <v>483</v>
      </c>
      <c r="C25" s="590"/>
      <c r="D25" s="591"/>
      <c r="E25" s="408">
        <v>175000</v>
      </c>
      <c r="F25" s="408">
        <v>188740</v>
      </c>
      <c r="G25" s="408">
        <v>257911</v>
      </c>
      <c r="H25" s="408">
        <v>483634</v>
      </c>
      <c r="I25" s="408">
        <v>568153</v>
      </c>
      <c r="J25" s="408">
        <v>647257</v>
      </c>
      <c r="K25" s="408">
        <v>1039055</v>
      </c>
      <c r="L25" s="408">
        <v>1922313</v>
      </c>
      <c r="M25" s="408">
        <v>1985839</v>
      </c>
    </row>
    <row r="26" spans="2:13" s="406" customFormat="1">
      <c r="B26" s="589" t="s">
        <v>484</v>
      </c>
      <c r="C26" s="590"/>
      <c r="D26" s="591"/>
      <c r="E26" s="408">
        <v>0</v>
      </c>
      <c r="F26" s="408">
        <v>2165</v>
      </c>
      <c r="G26" s="408">
        <v>961</v>
      </c>
      <c r="H26" s="408">
        <v>9447</v>
      </c>
      <c r="I26" s="408">
        <v>6230</v>
      </c>
      <c r="J26" s="408">
        <v>20329</v>
      </c>
      <c r="K26" s="408">
        <v>15059</v>
      </c>
      <c r="L26" s="408">
        <v>58824</v>
      </c>
      <c r="M26" s="408">
        <v>35716</v>
      </c>
    </row>
    <row r="27" spans="2:13" s="406" customFormat="1">
      <c r="B27" s="589" t="s">
        <v>485</v>
      </c>
      <c r="C27" s="590"/>
      <c r="D27" s="591"/>
      <c r="E27" s="408">
        <v>79400</v>
      </c>
      <c r="F27" s="408">
        <v>89900</v>
      </c>
      <c r="G27" s="408">
        <v>172404</v>
      </c>
      <c r="H27" s="408">
        <v>179399</v>
      </c>
      <c r="I27" s="408">
        <v>0</v>
      </c>
      <c r="J27" s="408">
        <v>275804</v>
      </c>
      <c r="K27" s="408">
        <v>192500</v>
      </c>
      <c r="L27" s="408">
        <v>331440</v>
      </c>
      <c r="M27" s="408">
        <v>337098</v>
      </c>
    </row>
    <row r="28" spans="2:13" s="406" customFormat="1">
      <c r="B28" s="589" t="s">
        <v>486</v>
      </c>
      <c r="C28" s="590"/>
      <c r="D28" s="591"/>
      <c r="E28" s="408">
        <v>0</v>
      </c>
      <c r="F28" s="408">
        <v>0</v>
      </c>
      <c r="G28" s="408">
        <v>376</v>
      </c>
      <c r="H28" s="408">
        <v>2171</v>
      </c>
      <c r="I28" s="408">
        <v>0</v>
      </c>
      <c r="J28" s="408">
        <v>5790</v>
      </c>
      <c r="K28" s="408">
        <v>987</v>
      </c>
      <c r="L28" s="408">
        <v>6285</v>
      </c>
      <c r="M28" s="408">
        <v>1902</v>
      </c>
    </row>
    <row r="29" spans="2:13" s="406" customFormat="1">
      <c r="B29" s="589" t="s">
        <v>487</v>
      </c>
      <c r="C29" s="590"/>
      <c r="D29" s="591"/>
      <c r="E29" s="408">
        <v>22000</v>
      </c>
      <c r="F29" s="408">
        <v>0</v>
      </c>
      <c r="G29" s="408">
        <v>23469</v>
      </c>
      <c r="H29" s="408">
        <v>5100</v>
      </c>
      <c r="I29" s="408">
        <v>0</v>
      </c>
      <c r="J29" s="408">
        <v>0</v>
      </c>
      <c r="K29" s="408">
        <v>0</v>
      </c>
      <c r="L29" s="408">
        <v>0</v>
      </c>
      <c r="M29" s="408">
        <v>0</v>
      </c>
    </row>
    <row r="30" spans="2:13" s="406" customFormat="1">
      <c r="B30" s="589" t="s">
        <v>488</v>
      </c>
      <c r="C30" s="590"/>
      <c r="D30" s="591"/>
      <c r="E30" s="408">
        <v>0</v>
      </c>
      <c r="F30" s="408">
        <v>0</v>
      </c>
      <c r="G30" s="408">
        <v>0</v>
      </c>
      <c r="H30" s="408">
        <v>0</v>
      </c>
      <c r="I30" s="408">
        <v>0</v>
      </c>
      <c r="J30" s="408">
        <v>0</v>
      </c>
      <c r="K30" s="408">
        <v>0</v>
      </c>
      <c r="L30" s="408">
        <v>0</v>
      </c>
      <c r="M30" s="408">
        <v>0</v>
      </c>
    </row>
    <row r="31" spans="2:13" s="406" customFormat="1">
      <c r="B31" s="589" t="s">
        <v>489</v>
      </c>
      <c r="C31" s="590"/>
      <c r="D31" s="591"/>
      <c r="E31" s="408">
        <v>0</v>
      </c>
      <c r="F31" s="408">
        <v>0</v>
      </c>
      <c r="G31" s="408">
        <v>0</v>
      </c>
      <c r="H31" s="408">
        <v>0</v>
      </c>
      <c r="I31" s="408">
        <v>0</v>
      </c>
      <c r="J31" s="408">
        <v>0</v>
      </c>
      <c r="K31" s="408">
        <v>0</v>
      </c>
      <c r="L31" s="408">
        <v>0</v>
      </c>
      <c r="M31" s="408">
        <v>0</v>
      </c>
    </row>
    <row r="32" spans="2:13" s="406" customFormat="1">
      <c r="B32" s="589" t="s">
        <v>490</v>
      </c>
      <c r="C32" s="590"/>
      <c r="D32" s="591"/>
      <c r="E32" s="408">
        <v>0</v>
      </c>
      <c r="F32" s="408">
        <v>0</v>
      </c>
      <c r="G32" s="408">
        <v>0</v>
      </c>
      <c r="H32" s="408">
        <v>0</v>
      </c>
      <c r="I32" s="408">
        <v>0</v>
      </c>
      <c r="J32" s="408">
        <v>0</v>
      </c>
      <c r="K32" s="408">
        <v>0</v>
      </c>
      <c r="L32" s="408">
        <v>0</v>
      </c>
      <c r="M32" s="408">
        <v>0</v>
      </c>
    </row>
    <row r="33" spans="2:13" s="406" customFormat="1">
      <c r="B33" s="589" t="s">
        <v>491</v>
      </c>
      <c r="C33" s="590"/>
      <c r="D33" s="591"/>
      <c r="E33" s="408">
        <v>0</v>
      </c>
      <c r="F33" s="408">
        <v>0</v>
      </c>
      <c r="G33" s="408">
        <v>235846</v>
      </c>
      <c r="H33" s="408">
        <v>0</v>
      </c>
      <c r="I33" s="408">
        <v>0</v>
      </c>
      <c r="J33" s="408">
        <v>0</v>
      </c>
      <c r="K33" s="408">
        <v>0</v>
      </c>
      <c r="L33" s="408">
        <v>0</v>
      </c>
      <c r="M33" s="408">
        <v>0</v>
      </c>
    </row>
    <row r="34" spans="2:13" s="406" customFormat="1">
      <c r="B34" s="589" t="s">
        <v>492</v>
      </c>
      <c r="C34" s="590"/>
      <c r="D34" s="591"/>
      <c r="E34" s="408">
        <v>0</v>
      </c>
      <c r="F34" s="408">
        <v>0</v>
      </c>
      <c r="G34" s="408">
        <v>0</v>
      </c>
      <c r="H34" s="408">
        <v>0</v>
      </c>
      <c r="I34" s="408">
        <v>0</v>
      </c>
      <c r="J34" s="408">
        <v>0</v>
      </c>
      <c r="K34" s="408">
        <v>6528</v>
      </c>
      <c r="L34" s="408">
        <v>62400</v>
      </c>
      <c r="M34" s="408">
        <v>161280</v>
      </c>
    </row>
    <row r="35" spans="2:13" s="406" customFormat="1">
      <c r="B35" s="589" t="s">
        <v>493</v>
      </c>
      <c r="C35" s="590"/>
      <c r="D35" s="591"/>
      <c r="E35" s="408">
        <v>0</v>
      </c>
      <c r="F35" s="408">
        <v>0</v>
      </c>
      <c r="G35" s="408">
        <v>5420</v>
      </c>
      <c r="H35" s="408">
        <v>1925</v>
      </c>
      <c r="I35" s="408">
        <v>11496</v>
      </c>
      <c r="J35" s="408">
        <v>20530</v>
      </c>
      <c r="K35" s="408">
        <v>0</v>
      </c>
      <c r="L35" s="408">
        <v>6009</v>
      </c>
      <c r="M35" s="408">
        <v>50000</v>
      </c>
    </row>
    <row r="36" spans="2:13" s="406" customFormat="1">
      <c r="B36" s="589" t="s">
        <v>494</v>
      </c>
      <c r="C36" s="590"/>
      <c r="D36" s="591"/>
      <c r="E36" s="408">
        <v>77000</v>
      </c>
      <c r="F36" s="408">
        <v>4000</v>
      </c>
      <c r="G36" s="408">
        <v>0</v>
      </c>
      <c r="H36" s="408">
        <v>0</v>
      </c>
      <c r="I36" s="408">
        <v>0</v>
      </c>
      <c r="J36" s="408">
        <v>0</v>
      </c>
      <c r="K36" s="408">
        <v>2100</v>
      </c>
      <c r="L36" s="408">
        <v>11000</v>
      </c>
      <c r="M36" s="408">
        <v>0</v>
      </c>
    </row>
    <row r="37" spans="2:13" s="406" customFormat="1">
      <c r="B37" s="607" t="s">
        <v>495</v>
      </c>
      <c r="C37" s="590"/>
      <c r="D37" s="591"/>
      <c r="E37" s="409">
        <v>353400</v>
      </c>
      <c r="F37" s="409">
        <v>284805</v>
      </c>
      <c r="G37" s="409">
        <v>696387</v>
      </c>
      <c r="H37" s="409">
        <v>681676</v>
      </c>
      <c r="I37" s="409">
        <v>585879</v>
      </c>
      <c r="J37" s="409">
        <v>969710</v>
      </c>
      <c r="K37" s="409">
        <v>1256229</v>
      </c>
      <c r="L37" s="409">
        <v>2398271</v>
      </c>
      <c r="M37" s="409">
        <v>2571835</v>
      </c>
    </row>
    <row r="38" spans="2:13" s="391" customFormat="1">
      <c r="B38" s="611" t="s">
        <v>462</v>
      </c>
      <c r="C38" s="612"/>
      <c r="D38" s="613"/>
      <c r="E38" s="390">
        <v>13</v>
      </c>
      <c r="F38" s="390">
        <v>19</v>
      </c>
      <c r="G38" s="390">
        <v>28</v>
      </c>
      <c r="H38" s="390">
        <v>60</v>
      </c>
      <c r="I38" s="390">
        <v>62</v>
      </c>
      <c r="J38" s="390">
        <v>63</v>
      </c>
      <c r="K38" s="390">
        <v>79</v>
      </c>
      <c r="L38" s="390">
        <v>150</v>
      </c>
      <c r="M38" s="390">
        <v>142</v>
      </c>
    </row>
    <row r="39" spans="2:13" s="396" customFormat="1" ht="14">
      <c r="B39" s="392"/>
      <c r="C39" s="393" t="s">
        <v>496</v>
      </c>
      <c r="D39" s="394"/>
      <c r="E39" s="395">
        <f>E37/E38</f>
        <v>27184.615384615383</v>
      </c>
      <c r="F39" s="395">
        <f t="shared" ref="F39:J39" si="0">F37/F38</f>
        <v>14989.736842105263</v>
      </c>
      <c r="G39" s="395">
        <f t="shared" si="0"/>
        <v>24870.964285714286</v>
      </c>
      <c r="H39" s="395">
        <f t="shared" si="0"/>
        <v>11361.266666666666</v>
      </c>
      <c r="I39" s="395">
        <f t="shared" si="0"/>
        <v>9449.6612903225814</v>
      </c>
      <c r="J39" s="395">
        <f t="shared" si="0"/>
        <v>15392.222222222223</v>
      </c>
      <c r="K39" s="395">
        <f>K37/K38</f>
        <v>15901.632911392406</v>
      </c>
      <c r="L39" s="395">
        <f t="shared" ref="L39:M39" si="1">L37/L38</f>
        <v>15988.473333333333</v>
      </c>
      <c r="M39" s="395">
        <f t="shared" si="1"/>
        <v>18111.514084507042</v>
      </c>
    </row>
    <row r="40" spans="2:13" s="430" customFormat="1">
      <c r="B40" s="604" t="s">
        <v>497</v>
      </c>
      <c r="C40" s="605"/>
      <c r="D40" s="606"/>
      <c r="E40" s="429"/>
      <c r="F40" s="429"/>
      <c r="G40" s="429"/>
      <c r="H40" s="429"/>
      <c r="I40" s="429"/>
      <c r="J40" s="429"/>
      <c r="K40" s="429"/>
      <c r="L40" s="429"/>
      <c r="M40" s="429"/>
    </row>
    <row r="41" spans="2:13">
      <c r="B41" s="608" t="s">
        <v>498</v>
      </c>
      <c r="C41" s="609"/>
      <c r="D41" s="610"/>
      <c r="E41" s="388"/>
      <c r="F41" s="388"/>
      <c r="G41" s="388"/>
      <c r="H41" s="388"/>
      <c r="I41" s="388"/>
      <c r="J41" s="388"/>
      <c r="K41" s="388"/>
      <c r="L41" s="388"/>
      <c r="M41" s="388"/>
    </row>
    <row r="42" spans="2:13">
      <c r="B42" s="608" t="s">
        <v>499</v>
      </c>
      <c r="C42" s="609"/>
      <c r="D42" s="610"/>
      <c r="E42" s="405">
        <v>0</v>
      </c>
      <c r="F42" s="405">
        <v>0</v>
      </c>
      <c r="G42" s="405">
        <v>0</v>
      </c>
      <c r="H42" s="405">
        <v>0</v>
      </c>
      <c r="I42" s="405">
        <v>1500</v>
      </c>
      <c r="J42" s="405">
        <v>0</v>
      </c>
      <c r="K42" s="405">
        <v>0</v>
      </c>
      <c r="L42" s="405">
        <v>0</v>
      </c>
      <c r="M42" s="405">
        <v>72730</v>
      </c>
    </row>
    <row r="43" spans="2:13">
      <c r="B43" s="608" t="s">
        <v>500</v>
      </c>
      <c r="C43" s="609"/>
      <c r="D43" s="610"/>
      <c r="E43" s="405">
        <v>0</v>
      </c>
      <c r="F43" s="405">
        <v>0</v>
      </c>
      <c r="G43" s="405">
        <v>0</v>
      </c>
      <c r="H43" s="405">
        <v>0</v>
      </c>
      <c r="I43" s="405">
        <v>0</v>
      </c>
      <c r="J43" s="405">
        <v>0</v>
      </c>
      <c r="K43" s="405">
        <v>0</v>
      </c>
      <c r="L43" s="405">
        <v>0</v>
      </c>
      <c r="M43" s="405">
        <v>0</v>
      </c>
    </row>
    <row r="44" spans="2:13">
      <c r="B44" s="608" t="s">
        <v>501</v>
      </c>
      <c r="C44" s="609"/>
      <c r="D44" s="610"/>
      <c r="E44" s="405">
        <v>0</v>
      </c>
      <c r="F44" s="405">
        <v>0</v>
      </c>
      <c r="G44" s="405">
        <v>0</v>
      </c>
      <c r="H44" s="405">
        <v>0</v>
      </c>
      <c r="I44" s="405">
        <v>0</v>
      </c>
      <c r="J44" s="405">
        <v>0</v>
      </c>
      <c r="K44" s="405">
        <v>0</v>
      </c>
      <c r="L44" s="405">
        <v>0</v>
      </c>
      <c r="M44" s="405">
        <v>0</v>
      </c>
    </row>
    <row r="45" spans="2:13">
      <c r="B45" s="608" t="s">
        <v>502</v>
      </c>
      <c r="C45" s="609"/>
      <c r="D45" s="610"/>
      <c r="E45" s="405">
        <v>0</v>
      </c>
      <c r="F45" s="405">
        <v>0</v>
      </c>
      <c r="G45" s="405">
        <v>0</v>
      </c>
      <c r="H45" s="405">
        <v>0</v>
      </c>
      <c r="I45" s="405">
        <v>0</v>
      </c>
      <c r="J45" s="405">
        <v>0</v>
      </c>
      <c r="K45" s="405">
        <v>0</v>
      </c>
      <c r="L45" s="405">
        <v>0</v>
      </c>
      <c r="M45" s="405">
        <v>0</v>
      </c>
    </row>
    <row r="46" spans="2:13">
      <c r="B46" s="608" t="s">
        <v>503</v>
      </c>
      <c r="C46" s="609"/>
      <c r="D46" s="610"/>
      <c r="E46" s="405">
        <v>0</v>
      </c>
      <c r="F46" s="405">
        <v>0</v>
      </c>
      <c r="G46" s="405">
        <v>0</v>
      </c>
      <c r="H46" s="405">
        <v>0</v>
      </c>
      <c r="I46" s="405">
        <v>0</v>
      </c>
      <c r="J46" s="405">
        <v>0</v>
      </c>
      <c r="K46" s="405">
        <v>0</v>
      </c>
      <c r="L46" s="405">
        <v>0</v>
      </c>
      <c r="M46" s="405">
        <v>0</v>
      </c>
    </row>
    <row r="47" spans="2:13">
      <c r="B47" s="608" t="s">
        <v>504</v>
      </c>
      <c r="C47" s="609"/>
      <c r="D47" s="610"/>
      <c r="E47" s="405">
        <v>0</v>
      </c>
      <c r="F47" s="405">
        <v>0</v>
      </c>
      <c r="G47" s="405">
        <v>0</v>
      </c>
      <c r="H47" s="405">
        <v>5240</v>
      </c>
      <c r="I47" s="405">
        <v>27568</v>
      </c>
      <c r="J47" s="405">
        <v>0</v>
      </c>
      <c r="K47" s="405">
        <v>0</v>
      </c>
      <c r="L47" s="405">
        <v>0</v>
      </c>
      <c r="M47" s="405">
        <v>579996</v>
      </c>
    </row>
    <row r="48" spans="2:13">
      <c r="B48" s="608" t="s">
        <v>505</v>
      </c>
      <c r="C48" s="609"/>
      <c r="D48" s="610"/>
      <c r="E48" s="405">
        <v>0</v>
      </c>
      <c r="F48" s="405">
        <v>200</v>
      </c>
      <c r="G48" s="405">
        <v>900</v>
      </c>
      <c r="H48" s="405">
        <v>0</v>
      </c>
      <c r="I48" s="405">
        <v>0</v>
      </c>
      <c r="J48" s="405">
        <v>6400</v>
      </c>
      <c r="K48" s="405">
        <v>0</v>
      </c>
      <c r="L48" s="405">
        <v>4400</v>
      </c>
      <c r="M48" s="405">
        <v>0</v>
      </c>
    </row>
    <row r="49" spans="2:13">
      <c r="B49" s="608" t="s">
        <v>506</v>
      </c>
      <c r="C49" s="609"/>
      <c r="D49" s="610"/>
      <c r="E49" s="405">
        <v>100300</v>
      </c>
      <c r="F49" s="405">
        <v>5442</v>
      </c>
      <c r="G49" s="405">
        <v>0</v>
      </c>
      <c r="H49" s="405">
        <v>5000</v>
      </c>
      <c r="I49" s="405">
        <v>87375</v>
      </c>
      <c r="J49" s="405">
        <v>24650</v>
      </c>
      <c r="K49" s="405">
        <v>0</v>
      </c>
      <c r="L49" s="405">
        <v>0</v>
      </c>
      <c r="M49" s="405">
        <v>0</v>
      </c>
    </row>
    <row r="50" spans="2:13">
      <c r="B50" s="608" t="s">
        <v>507</v>
      </c>
      <c r="C50" s="609"/>
      <c r="D50" s="610"/>
      <c r="E50" s="405">
        <v>0</v>
      </c>
      <c r="F50" s="405">
        <v>0</v>
      </c>
      <c r="G50" s="405">
        <v>0</v>
      </c>
      <c r="H50" s="405">
        <v>0</v>
      </c>
      <c r="I50" s="405">
        <v>0</v>
      </c>
      <c r="J50" s="405">
        <v>0</v>
      </c>
      <c r="K50" s="405">
        <v>0</v>
      </c>
      <c r="L50" s="405">
        <v>0</v>
      </c>
      <c r="M50" s="405">
        <v>0</v>
      </c>
    </row>
    <row r="51" spans="2:13">
      <c r="B51" s="608" t="s">
        <v>508</v>
      </c>
      <c r="C51" s="609"/>
      <c r="D51" s="610"/>
      <c r="E51" s="405">
        <v>0</v>
      </c>
      <c r="F51" s="405">
        <v>0</v>
      </c>
      <c r="G51" s="405">
        <v>0</v>
      </c>
      <c r="H51" s="405">
        <v>0</v>
      </c>
      <c r="I51" s="405">
        <v>0</v>
      </c>
      <c r="J51" s="405">
        <v>0</v>
      </c>
      <c r="K51" s="405">
        <v>0</v>
      </c>
      <c r="L51" s="405">
        <v>0</v>
      </c>
      <c r="M51" s="405">
        <v>0</v>
      </c>
    </row>
    <row r="52" spans="2:13">
      <c r="B52" s="608" t="s">
        <v>509</v>
      </c>
      <c r="C52" s="609"/>
      <c r="D52" s="610"/>
      <c r="E52" s="405">
        <v>0</v>
      </c>
      <c r="F52" s="405">
        <v>0</v>
      </c>
      <c r="G52" s="405">
        <v>0</v>
      </c>
      <c r="H52" s="405">
        <v>0</v>
      </c>
      <c r="I52" s="405">
        <v>0</v>
      </c>
      <c r="J52" s="405">
        <v>0</v>
      </c>
      <c r="K52" s="405">
        <v>0</v>
      </c>
      <c r="L52" s="405">
        <v>0</v>
      </c>
      <c r="M52" s="405">
        <v>0</v>
      </c>
    </row>
    <row r="53" spans="2:13">
      <c r="B53" s="608" t="s">
        <v>510</v>
      </c>
      <c r="C53" s="609"/>
      <c r="D53" s="610"/>
      <c r="E53" s="405">
        <v>0</v>
      </c>
      <c r="F53" s="405">
        <v>0</v>
      </c>
      <c r="G53" s="405">
        <v>0</v>
      </c>
      <c r="H53" s="405">
        <v>0</v>
      </c>
      <c r="I53" s="405">
        <v>0</v>
      </c>
      <c r="J53" s="405">
        <v>0</v>
      </c>
      <c r="K53" s="405">
        <v>0</v>
      </c>
      <c r="L53" s="405">
        <v>0</v>
      </c>
      <c r="M53" s="405">
        <v>0</v>
      </c>
    </row>
    <row r="54" spans="2:13">
      <c r="B54" s="608" t="s">
        <v>511</v>
      </c>
      <c r="C54" s="609"/>
      <c r="D54" s="610"/>
      <c r="E54" s="405">
        <v>0</v>
      </c>
      <c r="F54" s="405">
        <v>0</v>
      </c>
      <c r="G54" s="405">
        <v>0</v>
      </c>
      <c r="H54" s="405">
        <v>0</v>
      </c>
      <c r="I54" s="405">
        <v>0</v>
      </c>
      <c r="J54" s="405">
        <v>0</v>
      </c>
      <c r="K54" s="405">
        <v>0</v>
      </c>
      <c r="L54" s="405">
        <v>0</v>
      </c>
      <c r="M54" s="405">
        <v>0</v>
      </c>
    </row>
    <row r="55" spans="2:13">
      <c r="B55" s="608" t="s">
        <v>512</v>
      </c>
      <c r="C55" s="609"/>
      <c r="D55" s="610"/>
      <c r="E55" s="405">
        <v>0</v>
      </c>
      <c r="F55" s="405">
        <v>0</v>
      </c>
      <c r="G55" s="405">
        <v>0</v>
      </c>
      <c r="H55" s="405">
        <v>0</v>
      </c>
      <c r="I55" s="405">
        <v>0</v>
      </c>
      <c r="J55" s="405">
        <v>0</v>
      </c>
      <c r="K55" s="405">
        <v>0</v>
      </c>
      <c r="L55" s="405">
        <v>0</v>
      </c>
      <c r="M55" s="405">
        <v>0</v>
      </c>
    </row>
    <row r="56" spans="2:13">
      <c r="B56" s="608" t="s">
        <v>513</v>
      </c>
      <c r="C56" s="609"/>
      <c r="D56" s="610"/>
      <c r="E56" s="405">
        <v>0</v>
      </c>
      <c r="F56" s="405">
        <v>0</v>
      </c>
      <c r="G56" s="405">
        <v>0</v>
      </c>
      <c r="H56" s="405">
        <v>0</v>
      </c>
      <c r="I56" s="405">
        <v>0</v>
      </c>
      <c r="J56" s="405">
        <v>0</v>
      </c>
      <c r="K56" s="405">
        <v>0</v>
      </c>
      <c r="L56" s="405">
        <v>0</v>
      </c>
      <c r="M56" s="405">
        <v>0</v>
      </c>
    </row>
    <row r="57" spans="2:13">
      <c r="B57" s="608" t="s">
        <v>514</v>
      </c>
      <c r="C57" s="609"/>
      <c r="D57" s="610"/>
      <c r="E57" s="405">
        <v>0</v>
      </c>
      <c r="F57" s="405">
        <v>0</v>
      </c>
      <c r="G57" s="405">
        <v>970989</v>
      </c>
      <c r="H57" s="405">
        <v>0</v>
      </c>
      <c r="I57" s="405">
        <v>0</v>
      </c>
      <c r="J57" s="405">
        <v>0</v>
      </c>
      <c r="K57" s="405">
        <v>0</v>
      </c>
      <c r="L57" s="405">
        <v>0</v>
      </c>
      <c r="M57" s="405">
        <v>0</v>
      </c>
    </row>
    <row r="58" spans="2:13">
      <c r="B58" s="608" t="s">
        <v>515</v>
      </c>
      <c r="C58" s="609"/>
      <c r="D58" s="610"/>
      <c r="E58" s="405">
        <v>0</v>
      </c>
      <c r="F58" s="405">
        <v>0</v>
      </c>
      <c r="G58" s="405">
        <v>0</v>
      </c>
      <c r="H58" s="405">
        <v>0</v>
      </c>
      <c r="I58" s="405">
        <v>0</v>
      </c>
      <c r="J58" s="405">
        <v>0</v>
      </c>
      <c r="K58" s="405">
        <v>10279</v>
      </c>
      <c r="L58" s="405">
        <v>158088</v>
      </c>
      <c r="M58" s="405">
        <v>100425</v>
      </c>
    </row>
    <row r="59" spans="2:13">
      <c r="B59" s="608" t="s">
        <v>516</v>
      </c>
      <c r="C59" s="609"/>
      <c r="D59" s="610"/>
      <c r="E59" s="405">
        <v>0</v>
      </c>
      <c r="F59" s="405">
        <v>0</v>
      </c>
      <c r="G59" s="405">
        <v>0</v>
      </c>
      <c r="H59" s="405">
        <v>0</v>
      </c>
      <c r="I59" s="405">
        <v>0</v>
      </c>
      <c r="J59" s="405">
        <v>0</v>
      </c>
      <c r="K59" s="405">
        <v>0</v>
      </c>
      <c r="L59" s="405">
        <v>0</v>
      </c>
      <c r="M59" s="405">
        <v>0</v>
      </c>
    </row>
    <row r="60" spans="2:13">
      <c r="B60" s="608" t="s">
        <v>517</v>
      </c>
      <c r="C60" s="609"/>
      <c r="D60" s="610"/>
      <c r="E60" s="405">
        <v>0</v>
      </c>
      <c r="F60" s="405">
        <v>0</v>
      </c>
      <c r="G60" s="405">
        <v>0</v>
      </c>
      <c r="H60" s="405">
        <v>0</v>
      </c>
      <c r="I60" s="405">
        <v>0</v>
      </c>
      <c r="J60" s="405">
        <v>0</v>
      </c>
      <c r="K60" s="405">
        <v>0</v>
      </c>
      <c r="L60" s="405">
        <v>0</v>
      </c>
      <c r="M60" s="405">
        <v>0</v>
      </c>
    </row>
    <row r="61" spans="2:13">
      <c r="B61" s="608" t="s">
        <v>518</v>
      </c>
      <c r="C61" s="609"/>
      <c r="D61" s="610"/>
      <c r="E61" s="405">
        <v>0</v>
      </c>
      <c r="F61" s="405">
        <v>0</v>
      </c>
      <c r="G61" s="405">
        <v>0</v>
      </c>
      <c r="H61" s="405">
        <v>0</v>
      </c>
      <c r="I61" s="405">
        <v>0</v>
      </c>
      <c r="J61" s="405">
        <v>0</v>
      </c>
      <c r="K61" s="405">
        <v>0</v>
      </c>
      <c r="L61" s="405">
        <v>0</v>
      </c>
      <c r="M61" s="405">
        <v>0</v>
      </c>
    </row>
    <row r="62" spans="2:13">
      <c r="B62" s="608" t="s">
        <v>519</v>
      </c>
      <c r="C62" s="609"/>
      <c r="D62" s="610"/>
      <c r="E62" s="405">
        <v>0</v>
      </c>
      <c r="F62" s="405">
        <v>0</v>
      </c>
      <c r="G62" s="405">
        <v>0</v>
      </c>
      <c r="H62" s="405">
        <v>0</v>
      </c>
      <c r="I62" s="405">
        <v>0</v>
      </c>
      <c r="J62" s="405">
        <v>0</v>
      </c>
      <c r="K62" s="405">
        <v>0</v>
      </c>
      <c r="L62" s="405">
        <v>0</v>
      </c>
      <c r="M62" s="405">
        <v>0</v>
      </c>
    </row>
    <row r="63" spans="2:13">
      <c r="B63" s="608" t="s">
        <v>520</v>
      </c>
      <c r="C63" s="609"/>
      <c r="D63" s="610"/>
      <c r="E63" s="405">
        <v>0</v>
      </c>
      <c r="F63" s="405">
        <v>6600</v>
      </c>
      <c r="G63" s="405">
        <v>10909</v>
      </c>
      <c r="H63" s="405">
        <v>0</v>
      </c>
      <c r="I63" s="405">
        <v>0</v>
      </c>
      <c r="J63" s="405">
        <v>0</v>
      </c>
      <c r="K63" s="405">
        <v>0</v>
      </c>
      <c r="L63" s="405">
        <v>0</v>
      </c>
      <c r="M63" s="405">
        <v>0</v>
      </c>
    </row>
    <row r="64" spans="2:13">
      <c r="B64" s="608" t="s">
        <v>521</v>
      </c>
      <c r="C64" s="609"/>
      <c r="D64" s="610"/>
      <c r="E64" s="405">
        <v>0</v>
      </c>
      <c r="F64" s="405">
        <v>0</v>
      </c>
      <c r="G64" s="405">
        <v>0</v>
      </c>
      <c r="H64" s="405">
        <v>0</v>
      </c>
      <c r="I64" s="405">
        <v>2914</v>
      </c>
      <c r="J64" s="405">
        <v>0</v>
      </c>
      <c r="K64" s="405">
        <v>0</v>
      </c>
      <c r="L64" s="405">
        <v>0</v>
      </c>
      <c r="M64" s="405">
        <v>43975</v>
      </c>
    </row>
    <row r="65" spans="2:13">
      <c r="B65" s="608" t="s">
        <v>522</v>
      </c>
      <c r="C65" s="609"/>
      <c r="D65" s="610"/>
      <c r="E65" s="405">
        <v>0</v>
      </c>
      <c r="F65" s="405">
        <v>15500</v>
      </c>
      <c r="G65" s="405">
        <v>45972</v>
      </c>
      <c r="H65" s="405">
        <v>100</v>
      </c>
      <c r="I65" s="405">
        <v>3714</v>
      </c>
      <c r="J65" s="405">
        <v>8586</v>
      </c>
      <c r="K65" s="405">
        <v>5000</v>
      </c>
      <c r="L65" s="405">
        <v>3210</v>
      </c>
      <c r="M65" s="405">
        <v>120439</v>
      </c>
    </row>
    <row r="66" spans="2:13">
      <c r="B66" s="615" t="s">
        <v>523</v>
      </c>
      <c r="C66" s="609"/>
      <c r="D66" s="610"/>
      <c r="E66" s="400">
        <v>100300</v>
      </c>
      <c r="F66" s="400">
        <v>27742</v>
      </c>
      <c r="G66" s="400">
        <v>1028770</v>
      </c>
      <c r="H66" s="400">
        <v>10340</v>
      </c>
      <c r="I66" s="400">
        <v>123071</v>
      </c>
      <c r="J66" s="400">
        <v>39636</v>
      </c>
      <c r="K66" s="400">
        <v>15279</v>
      </c>
      <c r="L66" s="400">
        <v>165698</v>
      </c>
      <c r="M66" s="400">
        <v>917565</v>
      </c>
    </row>
    <row r="67" spans="2:13" s="391" customFormat="1">
      <c r="B67" s="611" t="s">
        <v>462</v>
      </c>
      <c r="C67" s="612"/>
      <c r="D67" s="613"/>
      <c r="E67" s="390">
        <v>13</v>
      </c>
      <c r="F67" s="390">
        <v>19</v>
      </c>
      <c r="G67" s="390">
        <v>28</v>
      </c>
      <c r="H67" s="390">
        <v>60</v>
      </c>
      <c r="I67" s="390">
        <v>62</v>
      </c>
      <c r="J67" s="390">
        <v>63</v>
      </c>
      <c r="K67" s="390">
        <v>79</v>
      </c>
      <c r="L67" s="390">
        <v>150</v>
      </c>
      <c r="M67" s="390">
        <v>142</v>
      </c>
    </row>
    <row r="68" spans="2:13" s="396" customFormat="1" ht="14">
      <c r="B68" s="392"/>
      <c r="C68" s="393" t="s">
        <v>524</v>
      </c>
      <c r="D68" s="394"/>
      <c r="E68" s="395">
        <f>E66/E67</f>
        <v>7715.3846153846152</v>
      </c>
      <c r="F68" s="395">
        <f t="shared" ref="F68:J68" si="2">F66/F67</f>
        <v>1460.1052631578948</v>
      </c>
      <c r="G68" s="395">
        <f t="shared" si="2"/>
        <v>36741.785714285717</v>
      </c>
      <c r="H68" s="395">
        <f t="shared" si="2"/>
        <v>172.33333333333334</v>
      </c>
      <c r="I68" s="395">
        <f t="shared" si="2"/>
        <v>1985.016129032258</v>
      </c>
      <c r="J68" s="395">
        <f t="shared" si="2"/>
        <v>629.14285714285711</v>
      </c>
      <c r="K68" s="395">
        <f>K66/K67</f>
        <v>193.40506329113924</v>
      </c>
      <c r="L68" s="395">
        <f t="shared" ref="L68:M68" si="3">L66/L67</f>
        <v>1104.6533333333334</v>
      </c>
      <c r="M68" s="395">
        <f t="shared" si="3"/>
        <v>6461.7253521126759</v>
      </c>
    </row>
    <row r="69" spans="2:13" s="399" customFormat="1" ht="20" customHeight="1">
      <c r="B69" s="614" t="s">
        <v>525</v>
      </c>
      <c r="C69" s="602"/>
      <c r="D69" s="603"/>
      <c r="E69" s="398">
        <v>1184787</v>
      </c>
      <c r="F69" s="398">
        <v>1816968</v>
      </c>
      <c r="G69" s="398">
        <v>3975703</v>
      </c>
      <c r="H69" s="398">
        <v>4623221</v>
      </c>
      <c r="I69" s="398">
        <v>4681702</v>
      </c>
      <c r="J69" s="398">
        <v>5178728</v>
      </c>
      <c r="K69" s="398">
        <v>6819497</v>
      </c>
      <c r="L69" s="398">
        <v>11065572</v>
      </c>
      <c r="M69" s="398">
        <v>11770882</v>
      </c>
    </row>
    <row r="70" spans="2:13">
      <c r="B70" s="615" t="s">
        <v>326</v>
      </c>
      <c r="C70" s="609"/>
      <c r="D70" s="610"/>
      <c r="E70" s="400">
        <v>1184787</v>
      </c>
      <c r="F70" s="400">
        <v>1816968</v>
      </c>
      <c r="G70" s="400">
        <v>3975703</v>
      </c>
      <c r="H70" s="400">
        <v>4623221</v>
      </c>
      <c r="I70" s="400">
        <v>4681702</v>
      </c>
      <c r="J70" s="400">
        <v>5178728</v>
      </c>
      <c r="K70" s="400">
        <v>6819497</v>
      </c>
      <c r="L70" s="400">
        <v>11065572</v>
      </c>
      <c r="M70" s="400">
        <v>11770882</v>
      </c>
    </row>
    <row r="71" spans="2:13" s="411" customFormat="1">
      <c r="B71" s="616" t="s">
        <v>526</v>
      </c>
      <c r="C71" s="617"/>
      <c r="D71" s="618"/>
      <c r="E71" s="410"/>
      <c r="F71" s="410"/>
      <c r="G71" s="410"/>
      <c r="H71" s="410"/>
      <c r="I71" s="410"/>
      <c r="J71" s="410"/>
      <c r="K71" s="410"/>
      <c r="L71" s="410"/>
      <c r="M71" s="410"/>
    </row>
    <row r="72" spans="2:13" s="411" customFormat="1">
      <c r="B72" s="616" t="s">
        <v>527</v>
      </c>
      <c r="C72" s="617"/>
      <c r="D72" s="618"/>
      <c r="E72" s="410"/>
      <c r="F72" s="410"/>
      <c r="G72" s="410"/>
      <c r="H72" s="410"/>
      <c r="I72" s="410"/>
      <c r="J72" s="410"/>
      <c r="K72" s="410"/>
      <c r="L72" s="410"/>
      <c r="M72" s="410"/>
    </row>
    <row r="73" spans="2:13" s="430" customFormat="1">
      <c r="B73" s="604" t="s">
        <v>528</v>
      </c>
      <c r="C73" s="605"/>
      <c r="D73" s="606"/>
      <c r="E73" s="429"/>
      <c r="F73" s="429"/>
      <c r="G73" s="429"/>
      <c r="H73" s="429"/>
      <c r="I73" s="429"/>
      <c r="J73" s="429"/>
      <c r="K73" s="429"/>
      <c r="L73" s="429"/>
      <c r="M73" s="429"/>
    </row>
    <row r="74" spans="2:13">
      <c r="B74" s="608" t="s">
        <v>529</v>
      </c>
      <c r="C74" s="609"/>
      <c r="D74" s="610"/>
      <c r="E74" s="388"/>
      <c r="F74" s="388"/>
      <c r="G74" s="388"/>
      <c r="H74" s="388"/>
      <c r="I74" s="388"/>
      <c r="J74" s="388"/>
      <c r="K74" s="388"/>
      <c r="L74" s="388"/>
      <c r="M74" s="388"/>
    </row>
    <row r="75" spans="2:13">
      <c r="B75" s="608" t="s">
        <v>527</v>
      </c>
      <c r="C75" s="609"/>
      <c r="D75" s="610"/>
      <c r="E75" s="388"/>
      <c r="F75" s="388"/>
      <c r="G75" s="388"/>
      <c r="H75" s="388"/>
      <c r="I75" s="388"/>
      <c r="J75" s="388"/>
      <c r="K75" s="388"/>
      <c r="L75" s="388"/>
      <c r="M75" s="388"/>
    </row>
    <row r="76" spans="2:13">
      <c r="B76" s="608" t="s">
        <v>530</v>
      </c>
      <c r="C76" s="609"/>
      <c r="D76" s="610"/>
      <c r="E76" s="405">
        <v>644888</v>
      </c>
      <c r="F76" s="405">
        <v>1093163</v>
      </c>
      <c r="G76" s="405">
        <v>2810692</v>
      </c>
      <c r="H76" s="405">
        <v>3188937</v>
      </c>
      <c r="I76" s="405">
        <v>3012851</v>
      </c>
      <c r="J76" s="405">
        <v>3818289</v>
      </c>
      <c r="K76" s="405">
        <v>4178663</v>
      </c>
      <c r="L76" s="405">
        <v>7148549</v>
      </c>
      <c r="M76" s="405">
        <v>7527071</v>
      </c>
    </row>
    <row r="77" spans="2:13">
      <c r="B77" s="608" t="s">
        <v>531</v>
      </c>
      <c r="C77" s="609"/>
      <c r="D77" s="610"/>
      <c r="E77" s="405">
        <v>0</v>
      </c>
      <c r="F77" s="405">
        <v>32838</v>
      </c>
      <c r="G77" s="405">
        <v>408804</v>
      </c>
      <c r="H77" s="405">
        <v>17267</v>
      </c>
      <c r="I77" s="405">
        <v>85714</v>
      </c>
      <c r="J77" s="405">
        <v>20577</v>
      </c>
      <c r="K77" s="405">
        <v>126059</v>
      </c>
      <c r="L77" s="405">
        <v>592236</v>
      </c>
      <c r="M77" s="405">
        <v>237390</v>
      </c>
    </row>
    <row r="78" spans="2:13">
      <c r="B78" s="608" t="s">
        <v>532</v>
      </c>
      <c r="C78" s="609"/>
      <c r="D78" s="610"/>
      <c r="E78" s="405">
        <v>0</v>
      </c>
      <c r="F78" s="405">
        <v>0</v>
      </c>
      <c r="G78" s="405">
        <v>5014</v>
      </c>
      <c r="H78" s="405">
        <v>0</v>
      </c>
      <c r="I78" s="405">
        <v>0</v>
      </c>
      <c r="J78" s="405">
        <v>321455</v>
      </c>
      <c r="K78" s="405">
        <v>0</v>
      </c>
      <c r="L78" s="405">
        <v>74035</v>
      </c>
      <c r="M78" s="405">
        <v>17094</v>
      </c>
    </row>
    <row r="79" spans="2:13">
      <c r="B79" s="608" t="s">
        <v>533</v>
      </c>
      <c r="C79" s="609"/>
      <c r="D79" s="610"/>
      <c r="E79" s="405">
        <v>0</v>
      </c>
      <c r="F79" s="405">
        <v>23451</v>
      </c>
      <c r="G79" s="405">
        <v>8899</v>
      </c>
      <c r="H79" s="405">
        <v>18782</v>
      </c>
      <c r="I79" s="405">
        <v>57089</v>
      </c>
      <c r="J79" s="405">
        <v>52509</v>
      </c>
      <c r="K79" s="405">
        <v>3043</v>
      </c>
      <c r="L79" s="405">
        <v>217602</v>
      </c>
      <c r="M79" s="405">
        <v>226307</v>
      </c>
    </row>
    <row r="80" spans="2:13">
      <c r="B80" s="608" t="s">
        <v>534</v>
      </c>
      <c r="C80" s="609"/>
      <c r="D80" s="610"/>
      <c r="E80" s="405">
        <v>0</v>
      </c>
      <c r="F80" s="405">
        <v>0</v>
      </c>
      <c r="G80" s="405">
        <v>0</v>
      </c>
      <c r="H80" s="405">
        <v>0</v>
      </c>
      <c r="I80" s="405">
        <v>0</v>
      </c>
      <c r="J80" s="405">
        <v>0</v>
      </c>
      <c r="K80" s="405">
        <v>0</v>
      </c>
      <c r="L80" s="405">
        <v>0</v>
      </c>
      <c r="M80" s="405">
        <v>0</v>
      </c>
    </row>
    <row r="81" spans="2:13" ht="14" customHeight="1">
      <c r="B81" s="608" t="s">
        <v>535</v>
      </c>
      <c r="C81" s="609"/>
      <c r="D81" s="610"/>
      <c r="E81" s="405">
        <v>0</v>
      </c>
      <c r="F81" s="405">
        <v>0</v>
      </c>
      <c r="G81" s="405">
        <v>0</v>
      </c>
      <c r="H81" s="405">
        <v>0</v>
      </c>
      <c r="I81" s="405">
        <v>0</v>
      </c>
      <c r="J81" s="405">
        <v>0</v>
      </c>
      <c r="K81" s="405">
        <v>0</v>
      </c>
      <c r="L81" s="405">
        <v>0</v>
      </c>
      <c r="M81" s="405">
        <v>0</v>
      </c>
    </row>
    <row r="82" spans="2:13">
      <c r="B82" s="615" t="s">
        <v>537</v>
      </c>
      <c r="C82" s="609"/>
      <c r="D82" s="610"/>
      <c r="E82" s="400">
        <v>644888</v>
      </c>
      <c r="F82" s="400">
        <v>1036874</v>
      </c>
      <c r="G82" s="400">
        <v>2387975</v>
      </c>
      <c r="H82" s="400">
        <v>3152888</v>
      </c>
      <c r="I82" s="400">
        <v>2870048</v>
      </c>
      <c r="J82" s="400">
        <v>3423748</v>
      </c>
      <c r="K82" s="400">
        <v>4049561</v>
      </c>
      <c r="L82" s="400">
        <v>6264676</v>
      </c>
      <c r="M82" s="400">
        <v>7046280</v>
      </c>
    </row>
    <row r="83" spans="2:13" s="391" customFormat="1">
      <c r="B83" s="611" t="s">
        <v>462</v>
      </c>
      <c r="C83" s="612"/>
      <c r="D83" s="613"/>
      <c r="E83" s="390">
        <v>13</v>
      </c>
      <c r="F83" s="390">
        <v>19</v>
      </c>
      <c r="G83" s="390">
        <v>28</v>
      </c>
      <c r="H83" s="390">
        <v>60</v>
      </c>
      <c r="I83" s="390">
        <v>62</v>
      </c>
      <c r="J83" s="390">
        <v>63</v>
      </c>
      <c r="K83" s="390">
        <v>79</v>
      </c>
      <c r="L83" s="390">
        <v>150</v>
      </c>
      <c r="M83" s="390">
        <v>142</v>
      </c>
    </row>
    <row r="84" spans="2:13" s="396" customFormat="1" ht="14">
      <c r="B84" s="392"/>
      <c r="C84" s="393" t="s">
        <v>920</v>
      </c>
      <c r="D84" s="394"/>
      <c r="E84" s="395">
        <f>E82/E83</f>
        <v>49606.769230769234</v>
      </c>
      <c r="F84" s="395">
        <f t="shared" ref="F84" si="4">F82/F83</f>
        <v>54572.315789473687</v>
      </c>
      <c r="G84" s="395">
        <f t="shared" ref="G84" si="5">G82/G83</f>
        <v>85284.821428571435</v>
      </c>
      <c r="H84" s="395">
        <f t="shared" ref="H84" si="6">H82/H83</f>
        <v>52548.133333333331</v>
      </c>
      <c r="I84" s="395">
        <f t="shared" ref="I84" si="7">I82/I83</f>
        <v>46291.096774193546</v>
      </c>
      <c r="J84" s="395">
        <f t="shared" ref="J84" si="8">J82/J83</f>
        <v>54345.206349206346</v>
      </c>
      <c r="K84" s="395">
        <f>K82/K83</f>
        <v>51260.265822784808</v>
      </c>
      <c r="L84" s="395">
        <f t="shared" ref="L84" si="9">L82/L83</f>
        <v>41764.506666666668</v>
      </c>
      <c r="M84" s="395">
        <f t="shared" ref="M84" si="10">M82/M83</f>
        <v>49621.690140845072</v>
      </c>
    </row>
    <row r="85" spans="2:13">
      <c r="B85" s="608" t="s">
        <v>538</v>
      </c>
      <c r="C85" s="609"/>
      <c r="D85" s="610"/>
      <c r="E85" s="388"/>
      <c r="F85" s="388"/>
      <c r="G85" s="388"/>
      <c r="H85" s="388"/>
      <c r="I85" s="388"/>
      <c r="J85" s="388"/>
      <c r="K85" s="388"/>
      <c r="L85" s="388"/>
      <c r="M85" s="388"/>
    </row>
    <row r="86" spans="2:13">
      <c r="B86" s="608" t="s">
        <v>530</v>
      </c>
      <c r="C86" s="609"/>
      <c r="D86" s="610"/>
      <c r="E86" s="405">
        <v>174919</v>
      </c>
      <c r="F86" s="405">
        <v>199440</v>
      </c>
      <c r="G86" s="405">
        <v>248921</v>
      </c>
      <c r="H86" s="405">
        <v>242430</v>
      </c>
      <c r="I86" s="405">
        <v>0</v>
      </c>
      <c r="J86" s="405">
        <v>482243</v>
      </c>
      <c r="K86" s="405">
        <v>1223730</v>
      </c>
      <c r="L86" s="405">
        <v>771462</v>
      </c>
      <c r="M86" s="405">
        <v>557733</v>
      </c>
    </row>
    <row r="87" spans="2:13">
      <c r="B87" s="608" t="s">
        <v>531</v>
      </c>
      <c r="C87" s="609"/>
      <c r="D87" s="610"/>
      <c r="E87" s="405">
        <v>0</v>
      </c>
      <c r="F87" s="405">
        <v>21460</v>
      </c>
      <c r="G87" s="405">
        <v>0</v>
      </c>
      <c r="H87" s="405">
        <v>0</v>
      </c>
      <c r="I87" s="405">
        <v>0</v>
      </c>
      <c r="J87" s="405">
        <v>94639</v>
      </c>
      <c r="K87" s="405">
        <v>533724</v>
      </c>
      <c r="L87" s="405">
        <v>0</v>
      </c>
      <c r="M87" s="405">
        <v>14423</v>
      </c>
    </row>
    <row r="88" spans="2:13">
      <c r="B88" s="608" t="s">
        <v>532</v>
      </c>
      <c r="C88" s="609"/>
      <c r="D88" s="610"/>
      <c r="E88" s="405">
        <v>0</v>
      </c>
      <c r="F88" s="405">
        <v>0</v>
      </c>
      <c r="G88" s="405">
        <v>0</v>
      </c>
      <c r="H88" s="405">
        <v>0</v>
      </c>
      <c r="I88" s="405">
        <v>0</v>
      </c>
      <c r="J88" s="405">
        <v>29917</v>
      </c>
      <c r="K88" s="405">
        <v>0</v>
      </c>
      <c r="L88" s="405">
        <v>0</v>
      </c>
      <c r="M88" s="405">
        <v>0</v>
      </c>
    </row>
    <row r="89" spans="2:13">
      <c r="B89" s="608" t="s">
        <v>539</v>
      </c>
      <c r="C89" s="609"/>
      <c r="D89" s="610"/>
      <c r="E89" s="405">
        <v>0</v>
      </c>
      <c r="F89" s="405">
        <v>0</v>
      </c>
      <c r="G89" s="405">
        <v>0</v>
      </c>
      <c r="H89" s="405">
        <v>0</v>
      </c>
      <c r="I89" s="405">
        <v>0</v>
      </c>
      <c r="J89" s="405">
        <v>0</v>
      </c>
      <c r="K89" s="405">
        <v>0</v>
      </c>
      <c r="L89" s="405">
        <v>2785</v>
      </c>
      <c r="M89" s="405">
        <v>3536</v>
      </c>
    </row>
    <row r="90" spans="2:13">
      <c r="B90" s="615" t="s">
        <v>540</v>
      </c>
      <c r="C90" s="609"/>
      <c r="D90" s="610"/>
      <c r="E90" s="400">
        <v>174919</v>
      </c>
      <c r="F90" s="400">
        <v>177980</v>
      </c>
      <c r="G90" s="400">
        <v>248921</v>
      </c>
      <c r="H90" s="400">
        <v>242430</v>
      </c>
      <c r="I90" s="400">
        <v>0</v>
      </c>
      <c r="J90" s="400">
        <v>357687</v>
      </c>
      <c r="K90" s="400">
        <v>690006</v>
      </c>
      <c r="L90" s="400">
        <v>768677</v>
      </c>
      <c r="M90" s="400">
        <v>539774</v>
      </c>
    </row>
    <row r="91" spans="2:13" s="391" customFormat="1">
      <c r="B91" s="611" t="s">
        <v>462</v>
      </c>
      <c r="C91" s="612"/>
      <c r="D91" s="613"/>
      <c r="E91" s="390">
        <v>13</v>
      </c>
      <c r="F91" s="390">
        <v>19</v>
      </c>
      <c r="G91" s="390">
        <v>28</v>
      </c>
      <c r="H91" s="390">
        <v>60</v>
      </c>
      <c r="I91" s="390">
        <v>62</v>
      </c>
      <c r="J91" s="390">
        <v>63</v>
      </c>
      <c r="K91" s="390">
        <v>79</v>
      </c>
      <c r="L91" s="390">
        <v>150</v>
      </c>
      <c r="M91" s="390">
        <v>142</v>
      </c>
    </row>
    <row r="92" spans="2:13" s="396" customFormat="1" ht="14">
      <c r="B92" s="392"/>
      <c r="C92" s="393" t="s">
        <v>921</v>
      </c>
      <c r="D92" s="394"/>
      <c r="E92" s="395">
        <f>E90/E91</f>
        <v>13455.307692307691</v>
      </c>
      <c r="F92" s="395">
        <f t="shared" ref="F92:J92" si="11">F90/F91</f>
        <v>9367.3684210526317</v>
      </c>
      <c r="G92" s="395">
        <f t="shared" si="11"/>
        <v>8890.0357142857138</v>
      </c>
      <c r="H92" s="395">
        <f t="shared" si="11"/>
        <v>4040.5</v>
      </c>
      <c r="I92" s="395">
        <f t="shared" si="11"/>
        <v>0</v>
      </c>
      <c r="J92" s="395">
        <f t="shared" si="11"/>
        <v>5677.5714285714284</v>
      </c>
      <c r="K92" s="395">
        <f>K90/K91</f>
        <v>8734.2531645569616</v>
      </c>
      <c r="L92" s="395">
        <f t="shared" ref="L92:M92" si="12">L90/L91</f>
        <v>5124.5133333333333</v>
      </c>
      <c r="M92" s="395">
        <f t="shared" si="12"/>
        <v>3801.2253521126759</v>
      </c>
    </row>
    <row r="93" spans="2:13">
      <c r="B93" s="608" t="s">
        <v>541</v>
      </c>
      <c r="C93" s="609"/>
      <c r="D93" s="610"/>
      <c r="E93" s="388"/>
      <c r="F93" s="388"/>
      <c r="G93" s="388"/>
      <c r="H93" s="388"/>
      <c r="I93" s="388"/>
      <c r="J93" s="388"/>
      <c r="K93" s="388"/>
      <c r="L93" s="388"/>
      <c r="M93" s="388"/>
    </row>
    <row r="94" spans="2:13">
      <c r="B94" s="608" t="s">
        <v>530</v>
      </c>
      <c r="C94" s="609"/>
      <c r="D94" s="610"/>
      <c r="E94" s="405">
        <v>0</v>
      </c>
      <c r="F94" s="405">
        <v>0</v>
      </c>
      <c r="G94" s="405">
        <v>1379793</v>
      </c>
      <c r="H94" s="405">
        <v>0</v>
      </c>
      <c r="I94" s="405">
        <v>0</v>
      </c>
      <c r="J94" s="405">
        <v>0</v>
      </c>
      <c r="K94" s="405">
        <v>0</v>
      </c>
      <c r="L94" s="405">
        <v>0</v>
      </c>
      <c r="M94" s="405">
        <v>0</v>
      </c>
    </row>
    <row r="95" spans="2:13">
      <c r="B95" s="608" t="s">
        <v>531</v>
      </c>
      <c r="C95" s="609"/>
      <c r="D95" s="610"/>
      <c r="E95" s="405">
        <v>0</v>
      </c>
      <c r="F95" s="405">
        <v>0</v>
      </c>
      <c r="G95" s="405">
        <v>0</v>
      </c>
      <c r="H95" s="405">
        <v>0</v>
      </c>
      <c r="I95" s="405">
        <v>0</v>
      </c>
      <c r="J95" s="405">
        <v>0</v>
      </c>
      <c r="K95" s="405">
        <v>0</v>
      </c>
      <c r="L95" s="405">
        <v>0</v>
      </c>
      <c r="M95" s="405">
        <v>0</v>
      </c>
    </row>
    <row r="96" spans="2:13">
      <c r="B96" s="608" t="s">
        <v>532</v>
      </c>
      <c r="C96" s="609"/>
      <c r="D96" s="610"/>
      <c r="E96" s="405">
        <v>0</v>
      </c>
      <c r="F96" s="405">
        <v>0</v>
      </c>
      <c r="G96" s="405">
        <v>0</v>
      </c>
      <c r="H96" s="405">
        <v>0</v>
      </c>
      <c r="I96" s="405">
        <v>0</v>
      </c>
      <c r="J96" s="405">
        <v>0</v>
      </c>
      <c r="K96" s="405">
        <v>0</v>
      </c>
      <c r="L96" s="405">
        <v>0</v>
      </c>
      <c r="M96" s="405">
        <v>0</v>
      </c>
    </row>
    <row r="97" spans="2:13">
      <c r="B97" s="615" t="s">
        <v>542</v>
      </c>
      <c r="C97" s="609"/>
      <c r="D97" s="610"/>
      <c r="E97" s="400">
        <v>0</v>
      </c>
      <c r="F97" s="400">
        <v>0</v>
      </c>
      <c r="G97" s="400">
        <v>1379793</v>
      </c>
      <c r="H97" s="400">
        <v>0</v>
      </c>
      <c r="I97" s="400">
        <v>0</v>
      </c>
      <c r="J97" s="400">
        <v>0</v>
      </c>
      <c r="K97" s="400">
        <v>0</v>
      </c>
      <c r="L97" s="400">
        <v>0</v>
      </c>
      <c r="M97" s="400">
        <v>0</v>
      </c>
    </row>
    <row r="98" spans="2:13">
      <c r="B98" s="608" t="s">
        <v>543</v>
      </c>
      <c r="C98" s="609"/>
      <c r="D98" s="610"/>
      <c r="E98" s="388"/>
      <c r="F98" s="388"/>
      <c r="G98" s="388"/>
      <c r="H98" s="388"/>
      <c r="I98" s="388"/>
      <c r="J98" s="388"/>
      <c r="K98" s="388"/>
      <c r="L98" s="388"/>
      <c r="M98" s="388"/>
    </row>
    <row r="99" spans="2:13">
      <c r="B99" s="608" t="s">
        <v>530</v>
      </c>
      <c r="C99" s="609"/>
      <c r="D99" s="610"/>
      <c r="E99" s="405">
        <v>0</v>
      </c>
      <c r="F99" s="405">
        <v>0</v>
      </c>
      <c r="G99" s="405">
        <v>0</v>
      </c>
      <c r="H99" s="405">
        <v>0</v>
      </c>
      <c r="I99" s="405">
        <v>0</v>
      </c>
      <c r="J99" s="405">
        <v>0</v>
      </c>
      <c r="K99" s="405">
        <v>6269</v>
      </c>
      <c r="L99" s="405">
        <v>171918</v>
      </c>
      <c r="M99" s="405">
        <v>259357</v>
      </c>
    </row>
    <row r="100" spans="2:13">
      <c r="B100" s="608" t="s">
        <v>531</v>
      </c>
      <c r="C100" s="609"/>
      <c r="D100" s="610"/>
      <c r="E100" s="405">
        <v>0</v>
      </c>
      <c r="F100" s="405">
        <v>0</v>
      </c>
      <c r="G100" s="405">
        <v>0</v>
      </c>
      <c r="H100" s="405">
        <v>0</v>
      </c>
      <c r="I100" s="405">
        <v>0</v>
      </c>
      <c r="J100" s="405">
        <v>0</v>
      </c>
      <c r="K100" s="405">
        <v>0</v>
      </c>
      <c r="L100" s="405">
        <v>0</v>
      </c>
      <c r="M100" s="405">
        <v>9560</v>
      </c>
    </row>
    <row r="101" spans="2:13">
      <c r="B101" s="608" t="s">
        <v>532</v>
      </c>
      <c r="C101" s="609"/>
      <c r="D101" s="610"/>
      <c r="E101" s="405">
        <v>0</v>
      </c>
      <c r="F101" s="405">
        <v>0</v>
      </c>
      <c r="G101" s="405">
        <v>0</v>
      </c>
      <c r="H101" s="405">
        <v>0</v>
      </c>
      <c r="I101" s="405">
        <v>0</v>
      </c>
      <c r="J101" s="405">
        <v>0</v>
      </c>
      <c r="K101" s="405">
        <v>0</v>
      </c>
      <c r="L101" s="405">
        <v>0</v>
      </c>
      <c r="M101" s="405">
        <v>0</v>
      </c>
    </row>
    <row r="102" spans="2:13">
      <c r="B102" s="615" t="s">
        <v>544</v>
      </c>
      <c r="C102" s="609"/>
      <c r="D102" s="610"/>
      <c r="E102" s="400">
        <v>0</v>
      </c>
      <c r="F102" s="400">
        <v>0</v>
      </c>
      <c r="G102" s="400">
        <v>0</v>
      </c>
      <c r="H102" s="400">
        <v>0</v>
      </c>
      <c r="I102" s="400">
        <v>0</v>
      </c>
      <c r="J102" s="400">
        <v>0</v>
      </c>
      <c r="K102" s="400">
        <v>6269</v>
      </c>
      <c r="L102" s="400">
        <v>171918</v>
      </c>
      <c r="M102" s="400">
        <v>249797</v>
      </c>
    </row>
    <row r="103" spans="2:13">
      <c r="B103" s="608" t="s">
        <v>545</v>
      </c>
      <c r="C103" s="609"/>
      <c r="D103" s="610"/>
      <c r="E103" s="388"/>
      <c r="F103" s="388"/>
      <c r="G103" s="388"/>
      <c r="H103" s="388"/>
      <c r="I103" s="388"/>
      <c r="J103" s="388"/>
      <c r="K103" s="388"/>
      <c r="L103" s="388"/>
      <c r="M103" s="388"/>
    </row>
    <row r="104" spans="2:13">
      <c r="B104" s="608" t="s">
        <v>530</v>
      </c>
      <c r="C104" s="609"/>
      <c r="D104" s="610"/>
      <c r="E104" s="405">
        <v>0</v>
      </c>
      <c r="F104" s="405">
        <v>0</v>
      </c>
      <c r="G104" s="405">
        <v>0</v>
      </c>
      <c r="H104" s="405">
        <v>0</v>
      </c>
      <c r="I104" s="405">
        <v>0</v>
      </c>
      <c r="J104" s="405">
        <v>0</v>
      </c>
      <c r="K104" s="405">
        <v>0</v>
      </c>
      <c r="L104" s="405">
        <v>0</v>
      </c>
      <c r="M104" s="405">
        <v>0</v>
      </c>
    </row>
    <row r="105" spans="2:13">
      <c r="B105" s="608" t="s">
        <v>531</v>
      </c>
      <c r="C105" s="609"/>
      <c r="D105" s="610"/>
      <c r="E105" s="405">
        <v>0</v>
      </c>
      <c r="F105" s="405">
        <v>0</v>
      </c>
      <c r="G105" s="405">
        <v>0</v>
      </c>
      <c r="H105" s="405">
        <v>0</v>
      </c>
      <c r="I105" s="405">
        <v>0</v>
      </c>
      <c r="J105" s="405">
        <v>0</v>
      </c>
      <c r="K105" s="405">
        <v>0</v>
      </c>
      <c r="L105" s="405">
        <v>0</v>
      </c>
      <c r="M105" s="405">
        <v>0</v>
      </c>
    </row>
    <row r="106" spans="2:13">
      <c r="B106" s="608" t="s">
        <v>532</v>
      </c>
      <c r="C106" s="609"/>
      <c r="D106" s="610"/>
      <c r="E106" s="405">
        <v>0</v>
      </c>
      <c r="F106" s="405">
        <v>0</v>
      </c>
      <c r="G106" s="405">
        <v>0</v>
      </c>
      <c r="H106" s="405">
        <v>0</v>
      </c>
      <c r="I106" s="405">
        <v>0</v>
      </c>
      <c r="J106" s="405">
        <v>0</v>
      </c>
      <c r="K106" s="405">
        <v>0</v>
      </c>
      <c r="L106" s="405">
        <v>0</v>
      </c>
      <c r="M106" s="405">
        <v>0</v>
      </c>
    </row>
    <row r="107" spans="2:13">
      <c r="B107" s="615" t="s">
        <v>546</v>
      </c>
      <c r="C107" s="609"/>
      <c r="D107" s="610"/>
      <c r="E107" s="400">
        <v>0</v>
      </c>
      <c r="F107" s="400">
        <v>0</v>
      </c>
      <c r="G107" s="400">
        <v>0</v>
      </c>
      <c r="H107" s="400">
        <v>0</v>
      </c>
      <c r="I107" s="400">
        <v>0</v>
      </c>
      <c r="J107" s="400">
        <v>0</v>
      </c>
      <c r="K107" s="400">
        <v>0</v>
      </c>
      <c r="L107" s="400">
        <v>0</v>
      </c>
      <c r="M107" s="400">
        <v>0</v>
      </c>
    </row>
    <row r="108" spans="2:13">
      <c r="B108" s="615" t="s">
        <v>547</v>
      </c>
      <c r="C108" s="609"/>
      <c r="D108" s="610"/>
      <c r="E108" s="400">
        <v>819807</v>
      </c>
      <c r="F108" s="400">
        <v>1214854</v>
      </c>
      <c r="G108" s="400">
        <v>4016689</v>
      </c>
      <c r="H108" s="400">
        <v>3395318</v>
      </c>
      <c r="I108" s="400">
        <v>2870048</v>
      </c>
      <c r="J108" s="400">
        <v>3781435</v>
      </c>
      <c r="K108" s="400">
        <v>4745836</v>
      </c>
      <c r="L108" s="400">
        <v>7205271</v>
      </c>
      <c r="M108" s="400">
        <v>7835851</v>
      </c>
    </row>
    <row r="109" spans="2:13" s="430" customFormat="1">
      <c r="B109" s="604" t="s">
        <v>548</v>
      </c>
      <c r="C109" s="605"/>
      <c r="D109" s="606"/>
      <c r="E109" s="429"/>
      <c r="F109" s="429"/>
      <c r="G109" s="429"/>
      <c r="H109" s="429"/>
      <c r="I109" s="429"/>
      <c r="J109" s="429"/>
      <c r="K109" s="429"/>
      <c r="L109" s="429"/>
      <c r="M109" s="429"/>
    </row>
    <row r="110" spans="2:13">
      <c r="B110" s="608" t="s">
        <v>549</v>
      </c>
      <c r="C110" s="609"/>
      <c r="D110" s="610"/>
      <c r="E110" s="388"/>
      <c r="F110" s="388"/>
      <c r="G110" s="388"/>
      <c r="H110" s="388"/>
      <c r="I110" s="388"/>
      <c r="J110" s="388"/>
      <c r="K110" s="388"/>
      <c r="L110" s="388"/>
      <c r="M110" s="388"/>
    </row>
    <row r="111" spans="2:13">
      <c r="B111" s="608" t="s">
        <v>527</v>
      </c>
      <c r="C111" s="609"/>
      <c r="D111" s="610"/>
      <c r="E111" s="388"/>
      <c r="F111" s="388"/>
      <c r="G111" s="388"/>
      <c r="H111" s="388"/>
      <c r="I111" s="388"/>
      <c r="J111" s="388"/>
      <c r="K111" s="388"/>
      <c r="L111" s="388"/>
      <c r="M111" s="388"/>
    </row>
    <row r="112" spans="2:13">
      <c r="B112" s="608" t="s">
        <v>550</v>
      </c>
      <c r="C112" s="609"/>
      <c r="D112" s="610"/>
      <c r="E112" s="405">
        <v>0</v>
      </c>
      <c r="F112" s="405">
        <v>0</v>
      </c>
      <c r="G112" s="405">
        <v>0</v>
      </c>
      <c r="H112" s="405">
        <v>0</v>
      </c>
      <c r="I112" s="405">
        <v>0</v>
      </c>
      <c r="J112" s="405">
        <v>0</v>
      </c>
      <c r="K112" s="405">
        <v>0</v>
      </c>
      <c r="L112" s="405">
        <v>0</v>
      </c>
      <c r="M112" s="405">
        <v>0</v>
      </c>
    </row>
    <row r="113" spans="2:13">
      <c r="B113" s="608" t="s">
        <v>551</v>
      </c>
      <c r="C113" s="609"/>
      <c r="D113" s="610"/>
      <c r="E113" s="405">
        <v>60141</v>
      </c>
      <c r="F113" s="405">
        <v>28649</v>
      </c>
      <c r="G113" s="405">
        <v>59960</v>
      </c>
      <c r="H113" s="405">
        <v>194666</v>
      </c>
      <c r="I113" s="405">
        <v>143878</v>
      </c>
      <c r="J113" s="405">
        <v>63467</v>
      </c>
      <c r="K113" s="405">
        <v>139835</v>
      </c>
      <c r="L113" s="405">
        <v>270430</v>
      </c>
      <c r="M113" s="405">
        <v>337006</v>
      </c>
    </row>
    <row r="114" spans="2:13">
      <c r="B114" s="608" t="s">
        <v>552</v>
      </c>
      <c r="C114" s="609"/>
      <c r="D114" s="610"/>
      <c r="E114" s="405">
        <v>0</v>
      </c>
      <c r="F114" s="405">
        <v>2849</v>
      </c>
      <c r="G114" s="405">
        <v>60068</v>
      </c>
      <c r="H114" s="405">
        <v>48165</v>
      </c>
      <c r="I114" s="405">
        <v>20642</v>
      </c>
      <c r="J114" s="405">
        <v>23665</v>
      </c>
      <c r="K114" s="405">
        <v>22131</v>
      </c>
      <c r="L114" s="405">
        <v>45344</v>
      </c>
      <c r="M114" s="405">
        <v>58816</v>
      </c>
    </row>
    <row r="115" spans="2:13">
      <c r="B115" s="608" t="s">
        <v>553</v>
      </c>
      <c r="C115" s="609"/>
      <c r="D115" s="610"/>
      <c r="E115" s="405">
        <v>0</v>
      </c>
      <c r="F115" s="405">
        <v>8221</v>
      </c>
      <c r="G115" s="405">
        <v>2853</v>
      </c>
      <c r="H115" s="405">
        <v>93475</v>
      </c>
      <c r="I115" s="405">
        <v>55013</v>
      </c>
      <c r="J115" s="405">
        <v>0</v>
      </c>
      <c r="K115" s="405">
        <v>0</v>
      </c>
      <c r="L115" s="405">
        <v>9173</v>
      </c>
      <c r="M115" s="405">
        <v>103835</v>
      </c>
    </row>
    <row r="116" spans="2:13">
      <c r="B116" s="608" t="s">
        <v>554</v>
      </c>
      <c r="C116" s="609"/>
      <c r="D116" s="610"/>
      <c r="E116" s="405">
        <v>0</v>
      </c>
      <c r="F116" s="405">
        <v>16210</v>
      </c>
      <c r="G116" s="405">
        <v>248778</v>
      </c>
      <c r="H116" s="405">
        <v>8854</v>
      </c>
      <c r="I116" s="405">
        <v>30755</v>
      </c>
      <c r="J116" s="405">
        <v>10204</v>
      </c>
      <c r="K116" s="405">
        <v>2559</v>
      </c>
      <c r="L116" s="405">
        <v>182327</v>
      </c>
      <c r="M116" s="405">
        <v>2717</v>
      </c>
    </row>
    <row r="117" spans="2:13">
      <c r="B117" s="608" t="s">
        <v>555</v>
      </c>
      <c r="C117" s="609"/>
      <c r="D117" s="610"/>
      <c r="E117" s="405">
        <v>0</v>
      </c>
      <c r="F117" s="405">
        <v>0</v>
      </c>
      <c r="G117" s="405">
        <v>0</v>
      </c>
      <c r="H117" s="405">
        <v>0</v>
      </c>
      <c r="I117" s="405">
        <v>29000</v>
      </c>
      <c r="J117" s="405">
        <v>0</v>
      </c>
      <c r="K117" s="405">
        <v>94676</v>
      </c>
      <c r="L117" s="405">
        <v>0</v>
      </c>
      <c r="M117" s="405">
        <v>0</v>
      </c>
    </row>
    <row r="118" spans="2:13">
      <c r="B118" s="608" t="s">
        <v>556</v>
      </c>
      <c r="C118" s="609"/>
      <c r="D118" s="610"/>
      <c r="E118" s="405">
        <v>8508</v>
      </c>
      <c r="F118" s="405">
        <v>644</v>
      </c>
      <c r="G118" s="405">
        <v>0</v>
      </c>
      <c r="H118" s="405">
        <v>0</v>
      </c>
      <c r="I118" s="405">
        <v>14778</v>
      </c>
      <c r="J118" s="405">
        <v>9719</v>
      </c>
      <c r="K118" s="405">
        <v>19283</v>
      </c>
      <c r="L118" s="405">
        <v>5865</v>
      </c>
      <c r="M118" s="405">
        <v>65814</v>
      </c>
    </row>
    <row r="119" spans="2:13">
      <c r="B119" s="608" t="s">
        <v>557</v>
      </c>
      <c r="C119" s="609"/>
      <c r="D119" s="610"/>
      <c r="E119" s="405">
        <v>0</v>
      </c>
      <c r="F119" s="405">
        <v>0</v>
      </c>
      <c r="G119" s="405">
        <v>0</v>
      </c>
      <c r="H119" s="405">
        <v>12000</v>
      </c>
      <c r="I119" s="405">
        <v>12479</v>
      </c>
      <c r="J119" s="405">
        <v>12000</v>
      </c>
      <c r="K119" s="405">
        <v>0</v>
      </c>
      <c r="L119" s="405">
        <v>18000</v>
      </c>
      <c r="M119" s="405">
        <v>18000</v>
      </c>
    </row>
    <row r="120" spans="2:13">
      <c r="B120" s="608" t="s">
        <v>558</v>
      </c>
      <c r="C120" s="609"/>
      <c r="D120" s="610"/>
      <c r="E120" s="405">
        <v>0</v>
      </c>
      <c r="F120" s="405">
        <v>1211</v>
      </c>
      <c r="G120" s="405">
        <v>0</v>
      </c>
      <c r="H120" s="405">
        <v>0</v>
      </c>
      <c r="I120" s="405">
        <v>4905</v>
      </c>
      <c r="J120" s="405">
        <v>0</v>
      </c>
      <c r="K120" s="405">
        <v>0</v>
      </c>
      <c r="L120" s="405">
        <v>3806</v>
      </c>
      <c r="M120" s="405">
        <v>3075</v>
      </c>
    </row>
    <row r="121" spans="2:13">
      <c r="B121" s="608" t="s">
        <v>559</v>
      </c>
      <c r="C121" s="609"/>
      <c r="D121" s="610"/>
      <c r="E121" s="405">
        <v>0</v>
      </c>
      <c r="F121" s="405">
        <v>0</v>
      </c>
      <c r="G121" s="405">
        <v>0</v>
      </c>
      <c r="H121" s="405">
        <v>0</v>
      </c>
      <c r="I121" s="405">
        <v>38499</v>
      </c>
      <c r="J121" s="405">
        <v>25104</v>
      </c>
      <c r="K121" s="405">
        <v>59231</v>
      </c>
      <c r="L121" s="405">
        <v>90355</v>
      </c>
      <c r="M121" s="405">
        <v>900</v>
      </c>
    </row>
    <row r="122" spans="2:13">
      <c r="B122" s="608" t="s">
        <v>560</v>
      </c>
      <c r="C122" s="609"/>
      <c r="D122" s="610"/>
      <c r="E122" s="405">
        <v>11665</v>
      </c>
      <c r="F122" s="405">
        <v>2530</v>
      </c>
      <c r="G122" s="405">
        <v>3798</v>
      </c>
      <c r="H122" s="405">
        <v>7448</v>
      </c>
      <c r="I122" s="405">
        <v>34739</v>
      </c>
      <c r="J122" s="405">
        <v>37446</v>
      </c>
      <c r="K122" s="405">
        <v>11825</v>
      </c>
      <c r="L122" s="405">
        <v>17084</v>
      </c>
      <c r="M122" s="405">
        <v>55856</v>
      </c>
    </row>
    <row r="123" spans="2:13">
      <c r="B123" s="608" t="s">
        <v>561</v>
      </c>
      <c r="C123" s="609"/>
      <c r="D123" s="610"/>
      <c r="E123" s="405">
        <v>0</v>
      </c>
      <c r="F123" s="405">
        <v>0</v>
      </c>
      <c r="G123" s="405">
        <v>8661</v>
      </c>
      <c r="H123" s="405">
        <v>0</v>
      </c>
      <c r="I123" s="405">
        <v>268</v>
      </c>
      <c r="J123" s="405">
        <v>0</v>
      </c>
      <c r="K123" s="405">
        <v>5364</v>
      </c>
      <c r="L123" s="405">
        <v>1316</v>
      </c>
      <c r="M123" s="405">
        <v>20824</v>
      </c>
    </row>
    <row r="124" spans="2:13">
      <c r="B124" s="608" t="s">
        <v>562</v>
      </c>
      <c r="C124" s="609"/>
      <c r="D124" s="610"/>
      <c r="E124" s="405">
        <v>0</v>
      </c>
      <c r="F124" s="405">
        <v>0</v>
      </c>
      <c r="G124" s="405">
        <v>0</v>
      </c>
      <c r="H124" s="405">
        <v>0</v>
      </c>
      <c r="I124" s="405">
        <v>0</v>
      </c>
      <c r="J124" s="405">
        <v>0</v>
      </c>
      <c r="K124" s="405">
        <v>0</v>
      </c>
      <c r="L124" s="405">
        <v>0</v>
      </c>
      <c r="M124" s="405">
        <v>0</v>
      </c>
    </row>
    <row r="125" spans="2:13">
      <c r="B125" s="608" t="s">
        <v>563</v>
      </c>
      <c r="C125" s="609"/>
      <c r="D125" s="610"/>
      <c r="E125" s="405">
        <v>124</v>
      </c>
      <c r="F125" s="405">
        <v>0</v>
      </c>
      <c r="G125" s="405">
        <v>0</v>
      </c>
      <c r="H125" s="405">
        <v>5116</v>
      </c>
      <c r="I125" s="405">
        <v>27684</v>
      </c>
      <c r="J125" s="405">
        <v>0</v>
      </c>
      <c r="K125" s="405">
        <v>81797</v>
      </c>
      <c r="L125" s="405">
        <v>30852</v>
      </c>
      <c r="M125" s="405">
        <v>38621</v>
      </c>
    </row>
    <row r="126" spans="2:13">
      <c r="B126" s="608" t="s">
        <v>564</v>
      </c>
      <c r="C126" s="609"/>
      <c r="D126" s="610"/>
      <c r="E126" s="405">
        <v>0</v>
      </c>
      <c r="F126" s="405">
        <v>0</v>
      </c>
      <c r="G126" s="405">
        <v>0</v>
      </c>
      <c r="H126" s="405">
        <v>0</v>
      </c>
      <c r="I126" s="405">
        <v>0</v>
      </c>
      <c r="J126" s="405">
        <v>0</v>
      </c>
      <c r="K126" s="405">
        <v>0</v>
      </c>
      <c r="L126" s="405">
        <v>0</v>
      </c>
      <c r="M126" s="405">
        <v>0</v>
      </c>
    </row>
    <row r="127" spans="2:13" ht="11" customHeight="1">
      <c r="B127" s="608" t="s">
        <v>565</v>
      </c>
      <c r="C127" s="609"/>
      <c r="D127" s="610"/>
      <c r="E127" s="405">
        <v>8584</v>
      </c>
      <c r="F127" s="405">
        <v>0</v>
      </c>
      <c r="G127" s="405">
        <v>3255</v>
      </c>
      <c r="H127" s="405">
        <v>3338</v>
      </c>
      <c r="I127" s="405">
        <v>50231</v>
      </c>
      <c r="J127" s="405">
        <v>6099</v>
      </c>
      <c r="K127" s="405">
        <v>5510</v>
      </c>
      <c r="L127" s="405">
        <v>28503</v>
      </c>
      <c r="M127" s="405">
        <v>14782</v>
      </c>
    </row>
    <row r="128" spans="2:13" s="391" customFormat="1">
      <c r="B128" s="611" t="s">
        <v>462</v>
      </c>
      <c r="C128" s="612"/>
      <c r="D128" s="613"/>
      <c r="E128" s="390">
        <v>13</v>
      </c>
      <c r="F128" s="390">
        <v>19</v>
      </c>
      <c r="G128" s="390">
        <v>28</v>
      </c>
      <c r="H128" s="390">
        <v>60</v>
      </c>
      <c r="I128" s="390">
        <v>62</v>
      </c>
      <c r="J128" s="390">
        <v>63</v>
      </c>
      <c r="K128" s="390">
        <v>79</v>
      </c>
      <c r="L128" s="390">
        <v>150</v>
      </c>
      <c r="M128" s="390">
        <v>142</v>
      </c>
    </row>
    <row r="129" spans="2:13" s="396" customFormat="1" ht="14">
      <c r="B129" s="392"/>
      <c r="C129" s="393" t="s">
        <v>536</v>
      </c>
      <c r="D129" s="394"/>
      <c r="E129" s="395">
        <f>E127/E128</f>
        <v>660.30769230769226</v>
      </c>
      <c r="F129" s="395">
        <f t="shared" ref="F129:J129" si="13">F127/F128</f>
        <v>0</v>
      </c>
      <c r="G129" s="395">
        <f t="shared" si="13"/>
        <v>116.25</v>
      </c>
      <c r="H129" s="395">
        <f t="shared" si="13"/>
        <v>55.633333333333333</v>
      </c>
      <c r="I129" s="395">
        <f t="shared" si="13"/>
        <v>810.17741935483866</v>
      </c>
      <c r="J129" s="395">
        <f t="shared" si="13"/>
        <v>96.80952380952381</v>
      </c>
      <c r="K129" s="395">
        <f>K127/K128</f>
        <v>69.74683544303798</v>
      </c>
      <c r="L129" s="395">
        <f t="shared" ref="L129:M129" si="14">L127/L128</f>
        <v>190.02</v>
      </c>
      <c r="M129" s="395">
        <f t="shared" si="14"/>
        <v>104.09859154929578</v>
      </c>
    </row>
    <row r="130" spans="2:13" s="399" customFormat="1">
      <c r="B130" s="619" t="s">
        <v>537</v>
      </c>
      <c r="C130" s="602"/>
      <c r="D130" s="603"/>
      <c r="E130" s="401">
        <v>89022</v>
      </c>
      <c r="F130" s="401">
        <v>60314</v>
      </c>
      <c r="G130" s="401">
        <v>387373</v>
      </c>
      <c r="H130" s="401">
        <v>373062</v>
      </c>
      <c r="I130" s="401">
        <v>462871</v>
      </c>
      <c r="J130" s="401">
        <v>187704</v>
      </c>
      <c r="K130" s="401">
        <v>442211</v>
      </c>
      <c r="L130" s="401">
        <v>703055</v>
      </c>
      <c r="M130" s="401">
        <v>720246</v>
      </c>
    </row>
    <row r="131" spans="2:13">
      <c r="B131" s="608" t="s">
        <v>538</v>
      </c>
      <c r="C131" s="609"/>
      <c r="D131" s="610"/>
      <c r="E131" s="388"/>
      <c r="F131" s="388"/>
      <c r="G131" s="388"/>
      <c r="H131" s="388"/>
      <c r="I131" s="388"/>
      <c r="J131" s="388"/>
      <c r="K131" s="388"/>
      <c r="L131" s="388"/>
      <c r="M131" s="388"/>
    </row>
    <row r="132" spans="2:13">
      <c r="B132" s="608" t="s">
        <v>343</v>
      </c>
      <c r="C132" s="609"/>
      <c r="D132" s="610"/>
      <c r="E132" s="405">
        <v>1751</v>
      </c>
      <c r="F132" s="405">
        <v>0</v>
      </c>
      <c r="G132" s="405">
        <v>66</v>
      </c>
      <c r="H132" s="405">
        <v>112</v>
      </c>
      <c r="I132" s="405">
        <v>0</v>
      </c>
      <c r="J132" s="405">
        <v>1267</v>
      </c>
      <c r="K132" s="405">
        <v>9683</v>
      </c>
      <c r="L132" s="405">
        <v>4182</v>
      </c>
      <c r="M132" s="405">
        <v>6643</v>
      </c>
    </row>
    <row r="133" spans="2:13">
      <c r="B133" s="608" t="s">
        <v>566</v>
      </c>
      <c r="C133" s="609"/>
      <c r="D133" s="610"/>
      <c r="E133" s="405">
        <v>1814</v>
      </c>
      <c r="F133" s="405">
        <v>0</v>
      </c>
      <c r="G133" s="405">
        <v>4357</v>
      </c>
      <c r="H133" s="405">
        <v>4629</v>
      </c>
      <c r="I133" s="405">
        <v>0</v>
      </c>
      <c r="J133" s="405">
        <v>5827</v>
      </c>
      <c r="K133" s="405">
        <v>37476</v>
      </c>
      <c r="L133" s="405">
        <v>7081</v>
      </c>
      <c r="M133" s="405">
        <v>0</v>
      </c>
    </row>
    <row r="134" spans="2:13">
      <c r="B134" s="608" t="s">
        <v>567</v>
      </c>
      <c r="C134" s="609"/>
      <c r="D134" s="610"/>
      <c r="E134" s="405">
        <v>0</v>
      </c>
      <c r="F134" s="405">
        <v>0</v>
      </c>
      <c r="G134" s="405">
        <v>0</v>
      </c>
      <c r="H134" s="405">
        <v>0</v>
      </c>
      <c r="I134" s="405">
        <v>0</v>
      </c>
      <c r="J134" s="405">
        <v>0</v>
      </c>
      <c r="K134" s="405">
        <v>4117</v>
      </c>
      <c r="L134" s="405">
        <v>0</v>
      </c>
      <c r="M134" s="405">
        <v>0</v>
      </c>
    </row>
    <row r="135" spans="2:13">
      <c r="B135" s="608" t="s">
        <v>558</v>
      </c>
      <c r="C135" s="609"/>
      <c r="D135" s="610"/>
      <c r="E135" s="405">
        <v>0</v>
      </c>
      <c r="F135" s="405">
        <v>0</v>
      </c>
      <c r="G135" s="405">
        <v>0</v>
      </c>
      <c r="H135" s="405">
        <v>0</v>
      </c>
      <c r="I135" s="405">
        <v>0</v>
      </c>
      <c r="J135" s="405">
        <v>0</v>
      </c>
      <c r="K135" s="405">
        <v>0</v>
      </c>
      <c r="L135" s="405">
        <v>0</v>
      </c>
      <c r="M135" s="405">
        <v>0</v>
      </c>
    </row>
    <row r="136" spans="2:13">
      <c r="B136" s="608" t="s">
        <v>559</v>
      </c>
      <c r="C136" s="609"/>
      <c r="D136" s="610"/>
      <c r="E136" s="405">
        <v>0</v>
      </c>
      <c r="F136" s="405">
        <v>0</v>
      </c>
      <c r="G136" s="405">
        <v>0</v>
      </c>
      <c r="H136" s="405">
        <v>0</v>
      </c>
      <c r="I136" s="405">
        <v>0</v>
      </c>
      <c r="J136" s="405">
        <v>0</v>
      </c>
      <c r="K136" s="405">
        <v>0</v>
      </c>
      <c r="L136" s="405">
        <v>0</v>
      </c>
      <c r="M136" s="405">
        <v>0</v>
      </c>
    </row>
    <row r="137" spans="2:13">
      <c r="B137" s="608" t="s">
        <v>560</v>
      </c>
      <c r="C137" s="609"/>
      <c r="D137" s="610"/>
      <c r="E137" s="405">
        <v>255</v>
      </c>
      <c r="F137" s="405">
        <v>0</v>
      </c>
      <c r="G137" s="405">
        <v>1669</v>
      </c>
      <c r="H137" s="405">
        <v>2396</v>
      </c>
      <c r="I137" s="405">
        <v>0</v>
      </c>
      <c r="J137" s="405">
        <v>9717</v>
      </c>
      <c r="K137" s="405">
        <v>63505</v>
      </c>
      <c r="L137" s="405">
        <v>1037</v>
      </c>
      <c r="M137" s="405">
        <v>0</v>
      </c>
    </row>
    <row r="138" spans="2:13">
      <c r="B138" s="608" t="s">
        <v>561</v>
      </c>
      <c r="C138" s="609"/>
      <c r="D138" s="610"/>
      <c r="E138" s="405">
        <v>0</v>
      </c>
      <c r="F138" s="405">
        <v>0</v>
      </c>
      <c r="G138" s="405">
        <v>19</v>
      </c>
      <c r="H138" s="405">
        <v>0</v>
      </c>
      <c r="I138" s="405">
        <v>0</v>
      </c>
      <c r="J138" s="405">
        <v>0</v>
      </c>
      <c r="K138" s="405">
        <v>0</v>
      </c>
      <c r="L138" s="405">
        <v>1050</v>
      </c>
      <c r="M138" s="405">
        <v>0</v>
      </c>
    </row>
    <row r="139" spans="2:13">
      <c r="B139" s="608" t="s">
        <v>562</v>
      </c>
      <c r="C139" s="609"/>
      <c r="D139" s="610"/>
      <c r="E139" s="405">
        <v>0</v>
      </c>
      <c r="F139" s="405">
        <v>0</v>
      </c>
      <c r="G139" s="405">
        <v>0</v>
      </c>
      <c r="H139" s="405">
        <v>0</v>
      </c>
      <c r="I139" s="405">
        <v>0</v>
      </c>
      <c r="J139" s="405">
        <v>0</v>
      </c>
      <c r="K139" s="405">
        <v>0</v>
      </c>
      <c r="L139" s="405">
        <v>0</v>
      </c>
      <c r="M139" s="405">
        <v>0</v>
      </c>
    </row>
    <row r="140" spans="2:13">
      <c r="B140" s="608" t="s">
        <v>563</v>
      </c>
      <c r="C140" s="609"/>
      <c r="D140" s="610"/>
      <c r="E140" s="405">
        <v>0</v>
      </c>
      <c r="F140" s="405">
        <v>0</v>
      </c>
      <c r="G140" s="405">
        <v>0</v>
      </c>
      <c r="H140" s="405">
        <v>0</v>
      </c>
      <c r="I140" s="405">
        <v>0</v>
      </c>
      <c r="J140" s="405">
        <v>0</v>
      </c>
      <c r="K140" s="405">
        <v>0</v>
      </c>
      <c r="L140" s="405">
        <v>0</v>
      </c>
      <c r="M140" s="405">
        <v>0</v>
      </c>
    </row>
    <row r="141" spans="2:13">
      <c r="B141" s="608" t="s">
        <v>568</v>
      </c>
      <c r="C141" s="609"/>
      <c r="D141" s="610"/>
      <c r="E141" s="405">
        <v>0</v>
      </c>
      <c r="F141" s="405">
        <v>0</v>
      </c>
      <c r="G141" s="405">
        <v>0</v>
      </c>
      <c r="H141" s="405">
        <v>0</v>
      </c>
      <c r="I141" s="405">
        <v>0</v>
      </c>
      <c r="J141" s="405">
        <v>0</v>
      </c>
      <c r="K141" s="405">
        <v>0</v>
      </c>
      <c r="L141" s="405">
        <v>7613</v>
      </c>
      <c r="M141" s="405">
        <v>0</v>
      </c>
    </row>
    <row r="142" spans="2:13">
      <c r="B142" s="608" t="s">
        <v>565</v>
      </c>
      <c r="C142" s="609"/>
      <c r="D142" s="610"/>
      <c r="E142" s="405">
        <v>0</v>
      </c>
      <c r="F142" s="405">
        <v>0</v>
      </c>
      <c r="G142" s="405">
        <v>493</v>
      </c>
      <c r="H142" s="405">
        <v>908</v>
      </c>
      <c r="I142" s="405">
        <v>0</v>
      </c>
      <c r="J142" s="405">
        <v>0</v>
      </c>
      <c r="K142" s="405">
        <v>0</v>
      </c>
      <c r="L142" s="405">
        <v>150</v>
      </c>
      <c r="M142" s="405">
        <v>0</v>
      </c>
    </row>
    <row r="143" spans="2:13">
      <c r="B143" s="615" t="s">
        <v>540</v>
      </c>
      <c r="C143" s="609"/>
      <c r="D143" s="610"/>
      <c r="E143" s="400">
        <v>3820</v>
      </c>
      <c r="F143" s="400">
        <v>0</v>
      </c>
      <c r="G143" s="400">
        <v>6604</v>
      </c>
      <c r="H143" s="400">
        <v>8045</v>
      </c>
      <c r="I143" s="400">
        <v>0</v>
      </c>
      <c r="J143" s="400">
        <v>16811</v>
      </c>
      <c r="K143" s="400">
        <v>114781</v>
      </c>
      <c r="L143" s="400">
        <v>21113</v>
      </c>
      <c r="M143" s="400">
        <v>6643</v>
      </c>
    </row>
    <row r="144" spans="2:13" s="403" customFormat="1">
      <c r="B144" s="620" t="s">
        <v>462</v>
      </c>
      <c r="C144" s="621"/>
      <c r="D144" s="622"/>
      <c r="E144" s="402">
        <f>E601</f>
        <v>11</v>
      </c>
      <c r="F144" s="402">
        <f t="shared" ref="F144:M144" si="15">F601</f>
        <v>10</v>
      </c>
      <c r="G144" s="402">
        <f t="shared" si="15"/>
        <v>18</v>
      </c>
      <c r="H144" s="402">
        <f t="shared" si="15"/>
        <v>22</v>
      </c>
      <c r="I144" s="402">
        <f>I601</f>
        <v>0</v>
      </c>
      <c r="J144" s="402">
        <f t="shared" si="15"/>
        <v>37</v>
      </c>
      <c r="K144" s="402">
        <f t="shared" si="15"/>
        <v>27</v>
      </c>
      <c r="L144" s="402">
        <f>L601</f>
        <v>53</v>
      </c>
      <c r="M144" s="402">
        <f t="shared" si="15"/>
        <v>57</v>
      </c>
    </row>
    <row r="145" spans="2:13" s="396" customFormat="1" ht="14">
      <c r="B145" s="392"/>
      <c r="C145" s="393" t="s">
        <v>569</v>
      </c>
      <c r="D145" s="394"/>
      <c r="E145" s="395">
        <f>E143/E144</f>
        <v>347.27272727272725</v>
      </c>
      <c r="F145" s="395">
        <f t="shared" ref="F145:H145" si="16">F143/F144</f>
        <v>0</v>
      </c>
      <c r="G145" s="395">
        <f t="shared" si="16"/>
        <v>366.88888888888891</v>
      </c>
      <c r="H145" s="395">
        <f t="shared" si="16"/>
        <v>365.68181818181819</v>
      </c>
      <c r="I145" s="395">
        <v>0</v>
      </c>
      <c r="J145" s="395">
        <f t="shared" ref="J145" si="17">J143/J144</f>
        <v>454.35135135135135</v>
      </c>
      <c r="K145" s="395">
        <f>K143/K144</f>
        <v>4251.1481481481478</v>
      </c>
      <c r="L145" s="395">
        <f t="shared" ref="L145:M145" si="18">L143/L144</f>
        <v>398.35849056603774</v>
      </c>
      <c r="M145" s="395">
        <f t="shared" si="18"/>
        <v>116.54385964912281</v>
      </c>
    </row>
    <row r="146" spans="2:13">
      <c r="B146" s="608" t="s">
        <v>541</v>
      </c>
      <c r="C146" s="609"/>
      <c r="D146" s="610"/>
      <c r="E146" s="388"/>
      <c r="F146" s="388"/>
      <c r="G146" s="388"/>
      <c r="H146" s="388"/>
      <c r="I146" s="388"/>
      <c r="J146" s="388"/>
      <c r="K146" s="388"/>
      <c r="L146" s="388"/>
      <c r="M146" s="388"/>
    </row>
    <row r="147" spans="2:13">
      <c r="B147" s="608" t="s">
        <v>343</v>
      </c>
      <c r="C147" s="609"/>
      <c r="D147" s="610"/>
      <c r="E147" s="405">
        <v>0</v>
      </c>
      <c r="F147" s="405">
        <v>0</v>
      </c>
      <c r="G147" s="405">
        <v>13812</v>
      </c>
      <c r="H147" s="405">
        <v>0</v>
      </c>
      <c r="I147" s="405">
        <v>0</v>
      </c>
      <c r="J147" s="405">
        <v>0</v>
      </c>
      <c r="K147" s="405">
        <v>0</v>
      </c>
      <c r="L147" s="405">
        <v>0</v>
      </c>
      <c r="M147" s="405">
        <v>0</v>
      </c>
    </row>
    <row r="148" spans="2:13">
      <c r="B148" s="608" t="s">
        <v>566</v>
      </c>
      <c r="C148" s="609"/>
      <c r="D148" s="610"/>
      <c r="E148" s="405">
        <v>0</v>
      </c>
      <c r="F148" s="405">
        <v>0</v>
      </c>
      <c r="G148" s="405">
        <v>21944</v>
      </c>
      <c r="H148" s="405">
        <v>0</v>
      </c>
      <c r="I148" s="405">
        <v>0</v>
      </c>
      <c r="J148" s="405">
        <v>0</v>
      </c>
      <c r="K148" s="405">
        <v>0</v>
      </c>
      <c r="L148" s="405">
        <v>0</v>
      </c>
      <c r="M148" s="405">
        <v>0</v>
      </c>
    </row>
    <row r="149" spans="2:13">
      <c r="B149" s="608" t="s">
        <v>567</v>
      </c>
      <c r="C149" s="609"/>
      <c r="D149" s="610"/>
      <c r="E149" s="405">
        <v>0</v>
      </c>
      <c r="F149" s="405">
        <v>0</v>
      </c>
      <c r="G149" s="405">
        <v>7530</v>
      </c>
      <c r="H149" s="405">
        <v>0</v>
      </c>
      <c r="I149" s="405">
        <v>0</v>
      </c>
      <c r="J149" s="405">
        <v>0</v>
      </c>
      <c r="K149" s="405">
        <v>0</v>
      </c>
      <c r="L149" s="405">
        <v>0</v>
      </c>
      <c r="M149" s="405">
        <v>0</v>
      </c>
    </row>
    <row r="150" spans="2:13">
      <c r="B150" s="608" t="s">
        <v>558</v>
      </c>
      <c r="C150" s="609"/>
      <c r="D150" s="610"/>
      <c r="E150" s="405">
        <v>0</v>
      </c>
      <c r="F150" s="405">
        <v>0</v>
      </c>
      <c r="G150" s="405">
        <v>0</v>
      </c>
      <c r="H150" s="405">
        <v>0</v>
      </c>
      <c r="I150" s="405">
        <v>0</v>
      </c>
      <c r="J150" s="405">
        <v>0</v>
      </c>
      <c r="K150" s="405">
        <v>0</v>
      </c>
      <c r="L150" s="405">
        <v>0</v>
      </c>
      <c r="M150" s="405">
        <v>0</v>
      </c>
    </row>
    <row r="151" spans="2:13">
      <c r="B151" s="608" t="s">
        <v>559</v>
      </c>
      <c r="C151" s="609"/>
      <c r="D151" s="610"/>
      <c r="E151" s="405">
        <v>0</v>
      </c>
      <c r="F151" s="405">
        <v>0</v>
      </c>
      <c r="G151" s="405">
        <v>0</v>
      </c>
      <c r="H151" s="405">
        <v>0</v>
      </c>
      <c r="I151" s="405">
        <v>0</v>
      </c>
      <c r="J151" s="405">
        <v>0</v>
      </c>
      <c r="K151" s="405">
        <v>0</v>
      </c>
      <c r="L151" s="405">
        <v>0</v>
      </c>
      <c r="M151" s="405">
        <v>0</v>
      </c>
    </row>
    <row r="152" spans="2:13">
      <c r="B152" s="608" t="s">
        <v>560</v>
      </c>
      <c r="C152" s="609"/>
      <c r="D152" s="610"/>
      <c r="E152" s="405">
        <v>0</v>
      </c>
      <c r="F152" s="405">
        <v>0</v>
      </c>
      <c r="G152" s="405">
        <v>17842</v>
      </c>
      <c r="H152" s="405">
        <v>0</v>
      </c>
      <c r="I152" s="405">
        <v>0</v>
      </c>
      <c r="J152" s="405">
        <v>0</v>
      </c>
      <c r="K152" s="405">
        <v>0</v>
      </c>
      <c r="L152" s="405">
        <v>0</v>
      </c>
      <c r="M152" s="405">
        <v>0</v>
      </c>
    </row>
    <row r="153" spans="2:13">
      <c r="B153" s="608" t="s">
        <v>561</v>
      </c>
      <c r="C153" s="609"/>
      <c r="D153" s="610"/>
      <c r="E153" s="405">
        <v>0</v>
      </c>
      <c r="F153" s="405">
        <v>0</v>
      </c>
      <c r="G153" s="405">
        <v>2910</v>
      </c>
      <c r="H153" s="405">
        <v>0</v>
      </c>
      <c r="I153" s="405">
        <v>0</v>
      </c>
      <c r="J153" s="405">
        <v>0</v>
      </c>
      <c r="K153" s="405">
        <v>0</v>
      </c>
      <c r="L153" s="405">
        <v>0</v>
      </c>
      <c r="M153" s="405">
        <v>0</v>
      </c>
    </row>
    <row r="154" spans="2:13">
      <c r="B154" s="608" t="s">
        <v>562</v>
      </c>
      <c r="C154" s="609"/>
      <c r="D154" s="610"/>
      <c r="E154" s="405">
        <v>0</v>
      </c>
      <c r="F154" s="405">
        <v>0</v>
      </c>
      <c r="G154" s="405">
        <v>0</v>
      </c>
      <c r="H154" s="405">
        <v>0</v>
      </c>
      <c r="I154" s="405">
        <v>0</v>
      </c>
      <c r="J154" s="405">
        <v>0</v>
      </c>
      <c r="K154" s="405">
        <v>0</v>
      </c>
      <c r="L154" s="405">
        <v>0</v>
      </c>
      <c r="M154" s="405">
        <v>0</v>
      </c>
    </row>
    <row r="155" spans="2:13">
      <c r="B155" s="608" t="s">
        <v>563</v>
      </c>
      <c r="C155" s="609"/>
      <c r="D155" s="610"/>
      <c r="E155" s="405">
        <v>0</v>
      </c>
      <c r="F155" s="405">
        <v>0</v>
      </c>
      <c r="G155" s="405">
        <v>0</v>
      </c>
      <c r="H155" s="405">
        <v>0</v>
      </c>
      <c r="I155" s="405">
        <v>0</v>
      </c>
      <c r="J155" s="405">
        <v>0</v>
      </c>
      <c r="K155" s="405">
        <v>0</v>
      </c>
      <c r="L155" s="405">
        <v>0</v>
      </c>
      <c r="M155" s="405">
        <v>0</v>
      </c>
    </row>
    <row r="156" spans="2:13">
      <c r="B156" s="608" t="s">
        <v>568</v>
      </c>
      <c r="C156" s="609"/>
      <c r="D156" s="610"/>
      <c r="E156" s="405">
        <v>0</v>
      </c>
      <c r="F156" s="405">
        <v>0</v>
      </c>
      <c r="G156" s="405">
        <v>0</v>
      </c>
      <c r="H156" s="405">
        <v>0</v>
      </c>
      <c r="I156" s="405">
        <v>0</v>
      </c>
      <c r="J156" s="405">
        <v>0</v>
      </c>
      <c r="K156" s="405">
        <v>0</v>
      </c>
      <c r="L156" s="405">
        <v>0</v>
      </c>
      <c r="M156" s="405">
        <v>0</v>
      </c>
    </row>
    <row r="157" spans="2:13">
      <c r="B157" s="608" t="s">
        <v>565</v>
      </c>
      <c r="C157" s="609"/>
      <c r="D157" s="610"/>
      <c r="E157" s="405">
        <v>0</v>
      </c>
      <c r="F157" s="405">
        <v>0</v>
      </c>
      <c r="G157" s="405">
        <v>3433</v>
      </c>
      <c r="H157" s="405">
        <v>0</v>
      </c>
      <c r="I157" s="405">
        <v>0</v>
      </c>
      <c r="J157" s="405">
        <v>0</v>
      </c>
      <c r="K157" s="405">
        <v>0</v>
      </c>
      <c r="L157" s="405">
        <v>0</v>
      </c>
      <c r="M157" s="405">
        <v>0</v>
      </c>
    </row>
    <row r="158" spans="2:13">
      <c r="B158" s="615" t="s">
        <v>542</v>
      </c>
      <c r="C158" s="609"/>
      <c r="D158" s="610"/>
      <c r="E158" s="400">
        <v>0</v>
      </c>
      <c r="F158" s="400">
        <v>0</v>
      </c>
      <c r="G158" s="400">
        <v>67471</v>
      </c>
      <c r="H158" s="400">
        <v>0</v>
      </c>
      <c r="I158" s="400">
        <v>0</v>
      </c>
      <c r="J158" s="400">
        <v>0</v>
      </c>
      <c r="K158" s="400">
        <v>0</v>
      </c>
      <c r="L158" s="400">
        <v>0</v>
      </c>
      <c r="M158" s="400">
        <v>0</v>
      </c>
    </row>
    <row r="159" spans="2:13">
      <c r="B159" s="608" t="s">
        <v>543</v>
      </c>
      <c r="C159" s="609"/>
      <c r="D159" s="610"/>
      <c r="E159" s="388"/>
      <c r="F159" s="388"/>
      <c r="G159" s="388"/>
      <c r="H159" s="388"/>
      <c r="I159" s="388"/>
      <c r="J159" s="388"/>
      <c r="K159" s="388"/>
      <c r="L159" s="388"/>
      <c r="M159" s="388"/>
    </row>
    <row r="160" spans="2:13">
      <c r="B160" s="608" t="s">
        <v>343</v>
      </c>
      <c r="C160" s="609"/>
      <c r="D160" s="610"/>
      <c r="E160" s="405">
        <v>0</v>
      </c>
      <c r="F160" s="405">
        <v>0</v>
      </c>
      <c r="G160" s="405">
        <v>0</v>
      </c>
      <c r="H160" s="405">
        <v>0</v>
      </c>
      <c r="I160" s="405">
        <v>0</v>
      </c>
      <c r="J160" s="405">
        <v>0</v>
      </c>
      <c r="K160" s="405">
        <v>0</v>
      </c>
      <c r="L160" s="405">
        <v>986</v>
      </c>
      <c r="M160" s="405">
        <v>2869</v>
      </c>
    </row>
    <row r="161" spans="2:13">
      <c r="B161" s="608" t="s">
        <v>566</v>
      </c>
      <c r="C161" s="609"/>
      <c r="D161" s="610"/>
      <c r="E161" s="405">
        <v>0</v>
      </c>
      <c r="F161" s="405">
        <v>0</v>
      </c>
      <c r="G161" s="405">
        <v>0</v>
      </c>
      <c r="H161" s="405">
        <v>0</v>
      </c>
      <c r="I161" s="405">
        <v>0</v>
      </c>
      <c r="J161" s="405">
        <v>0</v>
      </c>
      <c r="K161" s="405">
        <v>0</v>
      </c>
      <c r="L161" s="405">
        <v>302</v>
      </c>
      <c r="M161" s="405">
        <v>0</v>
      </c>
    </row>
    <row r="162" spans="2:13">
      <c r="B162" s="608" t="s">
        <v>567</v>
      </c>
      <c r="C162" s="609"/>
      <c r="D162" s="610"/>
      <c r="E162" s="405">
        <v>0</v>
      </c>
      <c r="F162" s="405">
        <v>0</v>
      </c>
      <c r="G162" s="405">
        <v>0</v>
      </c>
      <c r="H162" s="405">
        <v>0</v>
      </c>
      <c r="I162" s="405">
        <v>0</v>
      </c>
      <c r="J162" s="405">
        <v>0</v>
      </c>
      <c r="K162" s="405">
        <v>0</v>
      </c>
      <c r="L162" s="405">
        <v>0</v>
      </c>
      <c r="M162" s="405">
        <v>0</v>
      </c>
    </row>
    <row r="163" spans="2:13">
      <c r="B163" s="608" t="s">
        <v>558</v>
      </c>
      <c r="C163" s="609"/>
      <c r="D163" s="610"/>
      <c r="E163" s="405">
        <v>0</v>
      </c>
      <c r="F163" s="405">
        <v>0</v>
      </c>
      <c r="G163" s="405">
        <v>0</v>
      </c>
      <c r="H163" s="405">
        <v>0</v>
      </c>
      <c r="I163" s="405">
        <v>0</v>
      </c>
      <c r="J163" s="405">
        <v>0</v>
      </c>
      <c r="K163" s="405">
        <v>0</v>
      </c>
      <c r="L163" s="405">
        <v>0</v>
      </c>
      <c r="M163" s="405">
        <v>0</v>
      </c>
    </row>
    <row r="164" spans="2:13">
      <c r="B164" s="608" t="s">
        <v>559</v>
      </c>
      <c r="C164" s="609"/>
      <c r="D164" s="610"/>
      <c r="E164" s="405">
        <v>0</v>
      </c>
      <c r="F164" s="405">
        <v>0</v>
      </c>
      <c r="G164" s="405">
        <v>0</v>
      </c>
      <c r="H164" s="405">
        <v>0</v>
      </c>
      <c r="I164" s="405">
        <v>0</v>
      </c>
      <c r="J164" s="405">
        <v>0</v>
      </c>
      <c r="K164" s="405">
        <v>0</v>
      </c>
      <c r="L164" s="405">
        <v>0</v>
      </c>
      <c r="M164" s="405">
        <v>0</v>
      </c>
    </row>
    <row r="165" spans="2:13">
      <c r="B165" s="608" t="s">
        <v>560</v>
      </c>
      <c r="C165" s="609"/>
      <c r="D165" s="610"/>
      <c r="E165" s="405">
        <v>0</v>
      </c>
      <c r="F165" s="405">
        <v>0</v>
      </c>
      <c r="G165" s="405">
        <v>0</v>
      </c>
      <c r="H165" s="405">
        <v>0</v>
      </c>
      <c r="I165" s="405">
        <v>0</v>
      </c>
      <c r="J165" s="405">
        <v>0</v>
      </c>
      <c r="K165" s="405">
        <v>0</v>
      </c>
      <c r="L165" s="405">
        <v>7463</v>
      </c>
      <c r="M165" s="405">
        <v>0</v>
      </c>
    </row>
    <row r="166" spans="2:13">
      <c r="B166" s="608" t="s">
        <v>561</v>
      </c>
      <c r="C166" s="609"/>
      <c r="D166" s="610"/>
      <c r="E166" s="405">
        <v>0</v>
      </c>
      <c r="F166" s="405">
        <v>0</v>
      </c>
      <c r="G166" s="405">
        <v>0</v>
      </c>
      <c r="H166" s="405">
        <v>0</v>
      </c>
      <c r="I166" s="405">
        <v>0</v>
      </c>
      <c r="J166" s="405">
        <v>0</v>
      </c>
      <c r="K166" s="405">
        <v>0</v>
      </c>
      <c r="L166" s="405">
        <v>0</v>
      </c>
      <c r="M166" s="405">
        <v>0</v>
      </c>
    </row>
    <row r="167" spans="2:13">
      <c r="B167" s="608" t="s">
        <v>562</v>
      </c>
      <c r="C167" s="609"/>
      <c r="D167" s="610"/>
      <c r="E167" s="405">
        <v>0</v>
      </c>
      <c r="F167" s="405">
        <v>0</v>
      </c>
      <c r="G167" s="405">
        <v>0</v>
      </c>
      <c r="H167" s="405">
        <v>0</v>
      </c>
      <c r="I167" s="405">
        <v>0</v>
      </c>
      <c r="J167" s="405">
        <v>0</v>
      </c>
      <c r="K167" s="405">
        <v>0</v>
      </c>
      <c r="L167" s="405">
        <v>0</v>
      </c>
      <c r="M167" s="405">
        <v>0</v>
      </c>
    </row>
    <row r="168" spans="2:13">
      <c r="B168" s="608" t="s">
        <v>563</v>
      </c>
      <c r="C168" s="609"/>
      <c r="D168" s="610"/>
      <c r="E168" s="405">
        <v>0</v>
      </c>
      <c r="F168" s="405">
        <v>0</v>
      </c>
      <c r="G168" s="405">
        <v>0</v>
      </c>
      <c r="H168" s="405">
        <v>0</v>
      </c>
      <c r="I168" s="405">
        <v>0</v>
      </c>
      <c r="J168" s="405">
        <v>0</v>
      </c>
      <c r="K168" s="405">
        <v>0</v>
      </c>
      <c r="L168" s="405">
        <v>0</v>
      </c>
      <c r="M168" s="405">
        <v>0</v>
      </c>
    </row>
    <row r="169" spans="2:13">
      <c r="B169" s="608" t="s">
        <v>568</v>
      </c>
      <c r="C169" s="609"/>
      <c r="D169" s="610"/>
      <c r="E169" s="405">
        <v>0</v>
      </c>
      <c r="F169" s="405">
        <v>0</v>
      </c>
      <c r="G169" s="405">
        <v>0</v>
      </c>
      <c r="H169" s="405">
        <v>0</v>
      </c>
      <c r="I169" s="405">
        <v>0</v>
      </c>
      <c r="J169" s="405">
        <v>0</v>
      </c>
      <c r="K169" s="405">
        <v>0</v>
      </c>
      <c r="L169" s="405">
        <v>0</v>
      </c>
      <c r="M169" s="405">
        <v>0</v>
      </c>
    </row>
    <row r="170" spans="2:13">
      <c r="B170" s="608" t="s">
        <v>565</v>
      </c>
      <c r="C170" s="609"/>
      <c r="D170" s="610"/>
      <c r="E170" s="405">
        <v>0</v>
      </c>
      <c r="F170" s="405">
        <v>0</v>
      </c>
      <c r="G170" s="405">
        <v>0</v>
      </c>
      <c r="H170" s="405">
        <v>0</v>
      </c>
      <c r="I170" s="405">
        <v>0</v>
      </c>
      <c r="J170" s="405">
        <v>0</v>
      </c>
      <c r="K170" s="405">
        <v>0</v>
      </c>
      <c r="L170" s="405">
        <v>0</v>
      </c>
      <c r="M170" s="405">
        <v>0</v>
      </c>
    </row>
    <row r="171" spans="2:13">
      <c r="B171" s="615" t="s">
        <v>544</v>
      </c>
      <c r="C171" s="609"/>
      <c r="D171" s="610"/>
      <c r="E171" s="400">
        <v>0</v>
      </c>
      <c r="F171" s="400">
        <v>0</v>
      </c>
      <c r="G171" s="400">
        <v>0</v>
      </c>
      <c r="H171" s="400">
        <v>0</v>
      </c>
      <c r="I171" s="400">
        <v>0</v>
      </c>
      <c r="J171" s="400">
        <v>0</v>
      </c>
      <c r="K171" s="400">
        <v>0</v>
      </c>
      <c r="L171" s="400">
        <v>8751</v>
      </c>
      <c r="M171" s="400">
        <v>2869</v>
      </c>
    </row>
    <row r="172" spans="2:13">
      <c r="B172" s="608" t="s">
        <v>545</v>
      </c>
      <c r="C172" s="609"/>
      <c r="D172" s="610"/>
      <c r="E172" s="388"/>
      <c r="F172" s="388"/>
      <c r="G172" s="388"/>
      <c r="H172" s="388"/>
      <c r="I172" s="388"/>
      <c r="J172" s="388"/>
      <c r="K172" s="388"/>
      <c r="L172" s="388"/>
      <c r="M172" s="388"/>
    </row>
    <row r="173" spans="2:13">
      <c r="B173" s="608" t="s">
        <v>343</v>
      </c>
      <c r="C173" s="609"/>
      <c r="D173" s="610"/>
      <c r="E173" s="405">
        <v>0</v>
      </c>
      <c r="F173" s="405">
        <v>0</v>
      </c>
      <c r="G173" s="405">
        <v>0</v>
      </c>
      <c r="H173" s="405">
        <v>0</v>
      </c>
      <c r="I173" s="405">
        <v>0</v>
      </c>
      <c r="J173" s="405">
        <v>0</v>
      </c>
      <c r="K173" s="405">
        <v>0</v>
      </c>
      <c r="L173" s="405">
        <v>0</v>
      </c>
      <c r="M173" s="405">
        <v>0</v>
      </c>
    </row>
    <row r="174" spans="2:13">
      <c r="B174" s="608" t="s">
        <v>566</v>
      </c>
      <c r="C174" s="609"/>
      <c r="D174" s="610"/>
      <c r="E174" s="405">
        <v>0</v>
      </c>
      <c r="F174" s="405">
        <v>0</v>
      </c>
      <c r="G174" s="405">
        <v>0</v>
      </c>
      <c r="H174" s="405">
        <v>0</v>
      </c>
      <c r="I174" s="405">
        <v>0</v>
      </c>
      <c r="J174" s="405">
        <v>0</v>
      </c>
      <c r="K174" s="405">
        <v>0</v>
      </c>
      <c r="L174" s="405">
        <v>0</v>
      </c>
      <c r="M174" s="405">
        <v>0</v>
      </c>
    </row>
    <row r="175" spans="2:13">
      <c r="B175" s="608" t="s">
        <v>567</v>
      </c>
      <c r="C175" s="609"/>
      <c r="D175" s="610"/>
      <c r="E175" s="405">
        <v>0</v>
      </c>
      <c r="F175" s="405">
        <v>0</v>
      </c>
      <c r="G175" s="405">
        <v>0</v>
      </c>
      <c r="H175" s="405">
        <v>0</v>
      </c>
      <c r="I175" s="405">
        <v>0</v>
      </c>
      <c r="J175" s="405">
        <v>0</v>
      </c>
      <c r="K175" s="405">
        <v>0</v>
      </c>
      <c r="L175" s="405">
        <v>0</v>
      </c>
      <c r="M175" s="405">
        <v>0</v>
      </c>
    </row>
    <row r="176" spans="2:13">
      <c r="B176" s="608" t="s">
        <v>558</v>
      </c>
      <c r="C176" s="609"/>
      <c r="D176" s="610"/>
      <c r="E176" s="405">
        <v>0</v>
      </c>
      <c r="F176" s="405">
        <v>0</v>
      </c>
      <c r="G176" s="405">
        <v>0</v>
      </c>
      <c r="H176" s="405">
        <v>0</v>
      </c>
      <c r="I176" s="405">
        <v>0</v>
      </c>
      <c r="J176" s="405">
        <v>0</v>
      </c>
      <c r="K176" s="405">
        <v>0</v>
      </c>
      <c r="L176" s="405">
        <v>0</v>
      </c>
      <c r="M176" s="405">
        <v>0</v>
      </c>
    </row>
    <row r="177" spans="2:13">
      <c r="B177" s="608" t="s">
        <v>559</v>
      </c>
      <c r="C177" s="609"/>
      <c r="D177" s="610"/>
      <c r="E177" s="405">
        <v>0</v>
      </c>
      <c r="F177" s="405">
        <v>0</v>
      </c>
      <c r="G177" s="405">
        <v>0</v>
      </c>
      <c r="H177" s="405">
        <v>0</v>
      </c>
      <c r="I177" s="405">
        <v>0</v>
      </c>
      <c r="J177" s="405">
        <v>0</v>
      </c>
      <c r="K177" s="405">
        <v>0</v>
      </c>
      <c r="L177" s="405">
        <v>0</v>
      </c>
      <c r="M177" s="405">
        <v>0</v>
      </c>
    </row>
    <row r="178" spans="2:13">
      <c r="B178" s="608" t="s">
        <v>560</v>
      </c>
      <c r="C178" s="609"/>
      <c r="D178" s="610"/>
      <c r="E178" s="405">
        <v>0</v>
      </c>
      <c r="F178" s="405">
        <v>0</v>
      </c>
      <c r="G178" s="405">
        <v>0</v>
      </c>
      <c r="H178" s="405">
        <v>0</v>
      </c>
      <c r="I178" s="405">
        <v>0</v>
      </c>
      <c r="J178" s="405">
        <v>0</v>
      </c>
      <c r="K178" s="405">
        <v>0</v>
      </c>
      <c r="L178" s="405">
        <v>0</v>
      </c>
      <c r="M178" s="405">
        <v>0</v>
      </c>
    </row>
    <row r="179" spans="2:13">
      <c r="B179" s="608" t="s">
        <v>561</v>
      </c>
      <c r="C179" s="609"/>
      <c r="D179" s="610"/>
      <c r="E179" s="405">
        <v>0</v>
      </c>
      <c r="F179" s="405">
        <v>0</v>
      </c>
      <c r="G179" s="405">
        <v>0</v>
      </c>
      <c r="H179" s="405">
        <v>0</v>
      </c>
      <c r="I179" s="405">
        <v>0</v>
      </c>
      <c r="J179" s="405">
        <v>0</v>
      </c>
      <c r="K179" s="405">
        <v>0</v>
      </c>
      <c r="L179" s="405">
        <v>0</v>
      </c>
      <c r="M179" s="405">
        <v>0</v>
      </c>
    </row>
    <row r="180" spans="2:13">
      <c r="B180" s="608" t="s">
        <v>562</v>
      </c>
      <c r="C180" s="609"/>
      <c r="D180" s="610"/>
      <c r="E180" s="405">
        <v>0</v>
      </c>
      <c r="F180" s="405">
        <v>0</v>
      </c>
      <c r="G180" s="405">
        <v>0</v>
      </c>
      <c r="H180" s="405">
        <v>0</v>
      </c>
      <c r="I180" s="405">
        <v>0</v>
      </c>
      <c r="J180" s="405">
        <v>0</v>
      </c>
      <c r="K180" s="405">
        <v>0</v>
      </c>
      <c r="L180" s="405">
        <v>0</v>
      </c>
      <c r="M180" s="405">
        <v>0</v>
      </c>
    </row>
    <row r="181" spans="2:13">
      <c r="B181" s="608" t="s">
        <v>563</v>
      </c>
      <c r="C181" s="609"/>
      <c r="D181" s="610"/>
      <c r="E181" s="405">
        <v>0</v>
      </c>
      <c r="F181" s="405">
        <v>0</v>
      </c>
      <c r="G181" s="405">
        <v>0</v>
      </c>
      <c r="H181" s="405">
        <v>0</v>
      </c>
      <c r="I181" s="405">
        <v>0</v>
      </c>
      <c r="J181" s="405">
        <v>0</v>
      </c>
      <c r="K181" s="405">
        <v>0</v>
      </c>
      <c r="L181" s="405">
        <v>0</v>
      </c>
      <c r="M181" s="405">
        <v>0</v>
      </c>
    </row>
    <row r="182" spans="2:13">
      <c r="B182" s="608" t="s">
        <v>568</v>
      </c>
      <c r="C182" s="609"/>
      <c r="D182" s="610"/>
      <c r="E182" s="405">
        <v>0</v>
      </c>
      <c r="F182" s="405">
        <v>0</v>
      </c>
      <c r="G182" s="405">
        <v>0</v>
      </c>
      <c r="H182" s="405">
        <v>0</v>
      </c>
      <c r="I182" s="405">
        <v>0</v>
      </c>
      <c r="J182" s="405">
        <v>0</v>
      </c>
      <c r="K182" s="405">
        <v>0</v>
      </c>
      <c r="L182" s="405">
        <v>0</v>
      </c>
      <c r="M182" s="405">
        <v>0</v>
      </c>
    </row>
    <row r="183" spans="2:13">
      <c r="B183" s="608" t="s">
        <v>565</v>
      </c>
      <c r="C183" s="609"/>
      <c r="D183" s="610"/>
      <c r="E183" s="405">
        <v>0</v>
      </c>
      <c r="F183" s="405">
        <v>0</v>
      </c>
      <c r="G183" s="405">
        <v>0</v>
      </c>
      <c r="H183" s="405">
        <v>0</v>
      </c>
      <c r="I183" s="405">
        <v>0</v>
      </c>
      <c r="J183" s="405">
        <v>0</v>
      </c>
      <c r="K183" s="405">
        <v>0</v>
      </c>
      <c r="L183" s="405">
        <v>0</v>
      </c>
      <c r="M183" s="405">
        <v>0</v>
      </c>
    </row>
    <row r="184" spans="2:13">
      <c r="B184" s="615" t="s">
        <v>546</v>
      </c>
      <c r="C184" s="609"/>
      <c r="D184" s="610"/>
      <c r="E184" s="400">
        <v>0</v>
      </c>
      <c r="F184" s="400">
        <v>0</v>
      </c>
      <c r="G184" s="400">
        <v>0</v>
      </c>
      <c r="H184" s="400">
        <v>0</v>
      </c>
      <c r="I184" s="400">
        <v>0</v>
      </c>
      <c r="J184" s="400">
        <v>0</v>
      </c>
      <c r="K184" s="400">
        <v>0</v>
      </c>
      <c r="L184" s="400">
        <v>0</v>
      </c>
      <c r="M184" s="400">
        <v>0</v>
      </c>
    </row>
    <row r="185" spans="2:13">
      <c r="B185" s="615" t="s">
        <v>570</v>
      </c>
      <c r="C185" s="609"/>
      <c r="D185" s="610"/>
      <c r="E185" s="400">
        <v>92842</v>
      </c>
      <c r="F185" s="400">
        <v>60314</v>
      </c>
      <c r="G185" s="400">
        <v>461448</v>
      </c>
      <c r="H185" s="400">
        <v>381107</v>
      </c>
      <c r="I185" s="400">
        <v>462871</v>
      </c>
      <c r="J185" s="400">
        <v>204515</v>
      </c>
      <c r="K185" s="400">
        <v>556992</v>
      </c>
      <c r="L185" s="400">
        <v>732919</v>
      </c>
      <c r="M185" s="400">
        <v>729758</v>
      </c>
    </row>
    <row r="186" spans="2:13">
      <c r="B186" s="615" t="s">
        <v>537</v>
      </c>
      <c r="C186" s="609"/>
      <c r="D186" s="610"/>
      <c r="E186" s="400">
        <v>912649</v>
      </c>
      <c r="F186" s="400">
        <v>1275168</v>
      </c>
      <c r="G186" s="400">
        <v>4478137</v>
      </c>
      <c r="H186" s="400">
        <v>3776425</v>
      </c>
      <c r="I186" s="400">
        <v>3332919</v>
      </c>
      <c r="J186" s="400">
        <v>3985950</v>
      </c>
      <c r="K186" s="400">
        <v>5302828</v>
      </c>
      <c r="L186" s="400">
        <v>7938190</v>
      </c>
      <c r="M186" s="400">
        <v>8565609</v>
      </c>
    </row>
    <row r="187" spans="2:13" s="411" customFormat="1">
      <c r="B187" s="616" t="s">
        <v>571</v>
      </c>
      <c r="C187" s="617"/>
      <c r="D187" s="618"/>
      <c r="E187" s="410"/>
      <c r="F187" s="410"/>
      <c r="G187" s="410"/>
      <c r="H187" s="410"/>
      <c r="I187" s="410"/>
      <c r="J187" s="410"/>
      <c r="K187" s="410"/>
      <c r="L187" s="410"/>
      <c r="M187" s="410"/>
    </row>
    <row r="188" spans="2:13" s="431" customFormat="1">
      <c r="B188" s="625" t="s">
        <v>572</v>
      </c>
      <c r="C188" s="626"/>
      <c r="D188" s="627"/>
      <c r="E188" s="432"/>
      <c r="F188" s="432"/>
      <c r="G188" s="432"/>
      <c r="H188" s="432"/>
      <c r="I188" s="432"/>
      <c r="J188" s="432"/>
      <c r="K188" s="432"/>
      <c r="L188" s="432"/>
      <c r="M188" s="432"/>
    </row>
    <row r="189" spans="2:13">
      <c r="B189" s="608" t="s">
        <v>573</v>
      </c>
      <c r="C189" s="609"/>
      <c r="D189" s="610"/>
      <c r="E189" s="388"/>
      <c r="F189" s="388"/>
      <c r="G189" s="388"/>
      <c r="H189" s="388"/>
      <c r="I189" s="388"/>
      <c r="J189" s="388"/>
      <c r="K189" s="388"/>
      <c r="L189" s="388"/>
      <c r="M189" s="388"/>
    </row>
    <row r="190" spans="2:13">
      <c r="B190" s="608" t="s">
        <v>530</v>
      </c>
      <c r="C190" s="609"/>
      <c r="D190" s="610"/>
      <c r="E190" s="405">
        <v>0</v>
      </c>
      <c r="F190" s="405">
        <v>0</v>
      </c>
      <c r="G190" s="405">
        <v>105049</v>
      </c>
      <c r="H190" s="405">
        <v>102321</v>
      </c>
      <c r="I190" s="405">
        <v>736880</v>
      </c>
      <c r="J190" s="405">
        <v>163571</v>
      </c>
      <c r="K190" s="405">
        <v>58563</v>
      </c>
      <c r="L190" s="405">
        <v>91945</v>
      </c>
      <c r="M190" s="405">
        <v>194060</v>
      </c>
    </row>
    <row r="191" spans="2:13">
      <c r="B191" s="608" t="s">
        <v>531</v>
      </c>
      <c r="C191" s="609"/>
      <c r="D191" s="610"/>
      <c r="E191" s="405">
        <v>0</v>
      </c>
      <c r="F191" s="405">
        <v>0</v>
      </c>
      <c r="G191" s="405">
        <v>0</v>
      </c>
      <c r="H191" s="405">
        <v>49028</v>
      </c>
      <c r="I191" s="405">
        <v>612099</v>
      </c>
      <c r="J191" s="405">
        <v>70218</v>
      </c>
      <c r="K191" s="405">
        <v>27942</v>
      </c>
      <c r="L191" s="405">
        <v>0</v>
      </c>
      <c r="M191" s="405">
        <v>0</v>
      </c>
    </row>
    <row r="192" spans="2:13">
      <c r="B192" s="608" t="s">
        <v>532</v>
      </c>
      <c r="C192" s="609"/>
      <c r="D192" s="610"/>
      <c r="E192" s="405">
        <v>0</v>
      </c>
      <c r="F192" s="405">
        <v>0</v>
      </c>
      <c r="G192" s="405">
        <v>0</v>
      </c>
      <c r="H192" s="405">
        <v>0</v>
      </c>
      <c r="I192" s="405">
        <v>0</v>
      </c>
      <c r="J192" s="405">
        <v>0</v>
      </c>
      <c r="K192" s="405">
        <v>0</v>
      </c>
      <c r="L192" s="405">
        <v>0</v>
      </c>
      <c r="M192" s="405">
        <v>0</v>
      </c>
    </row>
    <row r="193" spans="2:13">
      <c r="B193" s="608" t="s">
        <v>533</v>
      </c>
      <c r="C193" s="609"/>
      <c r="D193" s="610"/>
      <c r="E193" s="405">
        <v>0</v>
      </c>
      <c r="F193" s="405">
        <v>0</v>
      </c>
      <c r="G193" s="405">
        <v>0</v>
      </c>
      <c r="H193" s="405">
        <v>0</v>
      </c>
      <c r="I193" s="405">
        <v>0</v>
      </c>
      <c r="J193" s="405">
        <v>0</v>
      </c>
      <c r="K193" s="405">
        <v>0</v>
      </c>
      <c r="L193" s="405">
        <v>0</v>
      </c>
      <c r="M193" s="405">
        <v>0</v>
      </c>
    </row>
    <row r="194" spans="2:13">
      <c r="B194" s="615" t="s">
        <v>574</v>
      </c>
      <c r="C194" s="609"/>
      <c r="D194" s="610"/>
      <c r="E194" s="400">
        <v>0</v>
      </c>
      <c r="F194" s="400">
        <v>0</v>
      </c>
      <c r="G194" s="400">
        <v>105049</v>
      </c>
      <c r="H194" s="400">
        <v>53293</v>
      </c>
      <c r="I194" s="400">
        <v>124781</v>
      </c>
      <c r="J194" s="400">
        <v>93353</v>
      </c>
      <c r="K194" s="400">
        <v>30621</v>
      </c>
      <c r="L194" s="400">
        <v>91945</v>
      </c>
      <c r="M194" s="400">
        <v>194060</v>
      </c>
    </row>
    <row r="195" spans="2:13" s="391" customFormat="1">
      <c r="B195" s="611" t="s">
        <v>462</v>
      </c>
      <c r="C195" s="612"/>
      <c r="D195" s="613"/>
      <c r="E195" s="390">
        <v>13</v>
      </c>
      <c r="F195" s="390">
        <v>19</v>
      </c>
      <c r="G195" s="390">
        <v>28</v>
      </c>
      <c r="H195" s="390">
        <v>60</v>
      </c>
      <c r="I195" s="390">
        <v>62</v>
      </c>
      <c r="J195" s="390">
        <v>63</v>
      </c>
      <c r="K195" s="390">
        <v>79</v>
      </c>
      <c r="L195" s="390">
        <v>150</v>
      </c>
      <c r="M195" s="390">
        <v>142</v>
      </c>
    </row>
    <row r="196" spans="2:13" s="396" customFormat="1" ht="14">
      <c r="B196" s="392"/>
      <c r="C196" s="393" t="s">
        <v>575</v>
      </c>
      <c r="D196" s="394"/>
      <c r="E196" s="395">
        <f>E194/E195</f>
        <v>0</v>
      </c>
      <c r="F196" s="395">
        <f t="shared" ref="F196:J196" si="19">F194/F195</f>
        <v>0</v>
      </c>
      <c r="G196" s="395">
        <f t="shared" si="19"/>
        <v>3751.75</v>
      </c>
      <c r="H196" s="395">
        <f t="shared" si="19"/>
        <v>888.2166666666667</v>
      </c>
      <c r="I196" s="395">
        <f t="shared" si="19"/>
        <v>2012.5967741935483</v>
      </c>
      <c r="J196" s="395">
        <f t="shared" si="19"/>
        <v>1481.7936507936508</v>
      </c>
      <c r="K196" s="395">
        <f>K194/K195</f>
        <v>387.60759493670884</v>
      </c>
      <c r="L196" s="395">
        <f t="shared" ref="L196:M196" si="20">L194/L195</f>
        <v>612.9666666666667</v>
      </c>
      <c r="M196" s="395">
        <f t="shared" si="20"/>
        <v>1366.6197183098591</v>
      </c>
    </row>
    <row r="197" spans="2:13" s="430" customFormat="1">
      <c r="B197" s="604" t="s">
        <v>576</v>
      </c>
      <c r="C197" s="605"/>
      <c r="D197" s="606"/>
      <c r="E197" s="429"/>
      <c r="F197" s="429"/>
      <c r="G197" s="429"/>
      <c r="H197" s="429"/>
      <c r="I197" s="429"/>
      <c r="J197" s="429"/>
      <c r="K197" s="429"/>
      <c r="L197" s="429"/>
      <c r="M197" s="429"/>
    </row>
    <row r="198" spans="2:13">
      <c r="B198" s="608" t="s">
        <v>577</v>
      </c>
      <c r="C198" s="609"/>
      <c r="D198" s="610"/>
      <c r="E198" s="388"/>
      <c r="F198" s="388"/>
      <c r="G198" s="388"/>
      <c r="H198" s="388"/>
      <c r="I198" s="388"/>
      <c r="J198" s="388"/>
      <c r="K198" s="388"/>
      <c r="L198" s="388"/>
      <c r="M198" s="388"/>
    </row>
    <row r="199" spans="2:13" s="426" customFormat="1">
      <c r="B199" s="615" t="s">
        <v>578</v>
      </c>
      <c r="C199" s="623"/>
      <c r="D199" s="624"/>
      <c r="E199" s="400">
        <v>0</v>
      </c>
      <c r="F199" s="400">
        <v>232000</v>
      </c>
      <c r="G199" s="400">
        <v>0</v>
      </c>
      <c r="H199" s="400">
        <v>59803</v>
      </c>
      <c r="I199" s="400">
        <v>0</v>
      </c>
      <c r="J199" s="400">
        <v>337596</v>
      </c>
      <c r="K199" s="400">
        <v>0</v>
      </c>
      <c r="L199" s="400">
        <v>968414</v>
      </c>
      <c r="M199" s="400">
        <v>0</v>
      </c>
    </row>
    <row r="200" spans="2:13">
      <c r="B200" s="608" t="s">
        <v>579</v>
      </c>
      <c r="C200" s="609"/>
      <c r="D200" s="610"/>
      <c r="E200" s="405">
        <v>0</v>
      </c>
      <c r="F200" s="405">
        <v>0</v>
      </c>
      <c r="G200" s="405">
        <v>0</v>
      </c>
      <c r="H200" s="405">
        <v>0</v>
      </c>
      <c r="I200" s="405">
        <v>4200</v>
      </c>
      <c r="J200" s="405">
        <v>0</v>
      </c>
      <c r="K200" s="405">
        <v>0</v>
      </c>
      <c r="L200" s="405">
        <v>85633</v>
      </c>
      <c r="M200" s="405">
        <v>10000</v>
      </c>
    </row>
    <row r="201" spans="2:13">
      <c r="B201" s="608" t="s">
        <v>580</v>
      </c>
      <c r="C201" s="609"/>
      <c r="D201" s="610"/>
      <c r="E201" s="405">
        <v>6004</v>
      </c>
      <c r="F201" s="405">
        <v>0</v>
      </c>
      <c r="G201" s="405">
        <v>112</v>
      </c>
      <c r="H201" s="405">
        <v>0</v>
      </c>
      <c r="I201" s="405">
        <v>75</v>
      </c>
      <c r="J201" s="405">
        <v>0</v>
      </c>
      <c r="K201" s="405">
        <v>7792</v>
      </c>
      <c r="L201" s="405">
        <v>19366</v>
      </c>
      <c r="M201" s="405">
        <v>556</v>
      </c>
    </row>
    <row r="202" spans="2:13">
      <c r="B202" s="608" t="s">
        <v>581</v>
      </c>
      <c r="C202" s="609"/>
      <c r="D202" s="610"/>
      <c r="E202" s="405">
        <v>18893</v>
      </c>
      <c r="F202" s="405">
        <v>0</v>
      </c>
      <c r="G202" s="405">
        <v>0</v>
      </c>
      <c r="H202" s="405">
        <v>0</v>
      </c>
      <c r="I202" s="405">
        <v>20294</v>
      </c>
      <c r="J202" s="405">
        <v>0</v>
      </c>
      <c r="K202" s="405">
        <v>12032</v>
      </c>
      <c r="L202" s="405">
        <v>34486</v>
      </c>
      <c r="M202" s="405">
        <v>72234</v>
      </c>
    </row>
    <row r="203" spans="2:13">
      <c r="B203" s="608" t="s">
        <v>582</v>
      </c>
      <c r="C203" s="609"/>
      <c r="D203" s="610"/>
      <c r="E203" s="405">
        <v>2697</v>
      </c>
      <c r="F203" s="405">
        <v>0</v>
      </c>
      <c r="G203" s="405">
        <v>0</v>
      </c>
      <c r="H203" s="405">
        <v>0</v>
      </c>
      <c r="I203" s="405">
        <v>2625</v>
      </c>
      <c r="J203" s="405">
        <v>0</v>
      </c>
      <c r="K203" s="405">
        <v>0</v>
      </c>
      <c r="L203" s="405">
        <v>1911</v>
      </c>
      <c r="M203" s="405">
        <v>0</v>
      </c>
    </row>
    <row r="204" spans="2:13">
      <c r="B204" s="608" t="s">
        <v>583</v>
      </c>
      <c r="C204" s="609"/>
      <c r="D204" s="610"/>
      <c r="E204" s="405">
        <v>113896</v>
      </c>
      <c r="F204" s="405">
        <v>0</v>
      </c>
      <c r="G204" s="405">
        <v>109580</v>
      </c>
      <c r="H204" s="405">
        <v>138372</v>
      </c>
      <c r="I204" s="405">
        <v>93927</v>
      </c>
      <c r="J204" s="405">
        <v>0</v>
      </c>
      <c r="K204" s="405">
        <v>151984</v>
      </c>
      <c r="L204" s="405">
        <v>137200</v>
      </c>
      <c r="M204" s="405">
        <v>261748</v>
      </c>
    </row>
    <row r="205" spans="2:13">
      <c r="B205" s="608" t="s">
        <v>584</v>
      </c>
      <c r="C205" s="609"/>
      <c r="D205" s="610"/>
      <c r="E205" s="405">
        <v>13265</v>
      </c>
      <c r="F205" s="405">
        <v>792</v>
      </c>
      <c r="G205" s="405">
        <v>53010</v>
      </c>
      <c r="H205" s="405">
        <v>24491</v>
      </c>
      <c r="I205" s="405">
        <v>30816</v>
      </c>
      <c r="J205" s="405">
        <v>20876</v>
      </c>
      <c r="K205" s="405">
        <v>124873</v>
      </c>
      <c r="L205" s="405">
        <v>66822</v>
      </c>
      <c r="M205" s="405">
        <v>52374</v>
      </c>
    </row>
    <row r="206" spans="2:13">
      <c r="B206" s="608" t="s">
        <v>372</v>
      </c>
      <c r="C206" s="609"/>
      <c r="D206" s="610"/>
      <c r="E206" s="405">
        <v>0</v>
      </c>
      <c r="F206" s="405">
        <v>0</v>
      </c>
      <c r="G206" s="405">
        <v>0</v>
      </c>
      <c r="H206" s="405">
        <v>0</v>
      </c>
      <c r="I206" s="405">
        <v>0</v>
      </c>
      <c r="J206" s="405">
        <v>0</v>
      </c>
      <c r="K206" s="405">
        <v>0</v>
      </c>
      <c r="L206" s="405">
        <v>0</v>
      </c>
      <c r="M206" s="405">
        <v>0</v>
      </c>
    </row>
    <row r="207" spans="2:13">
      <c r="B207" s="608" t="s">
        <v>558</v>
      </c>
      <c r="C207" s="609"/>
      <c r="D207" s="610"/>
      <c r="E207" s="405">
        <v>0</v>
      </c>
      <c r="F207" s="405">
        <v>0</v>
      </c>
      <c r="G207" s="405">
        <v>0</v>
      </c>
      <c r="H207" s="405">
        <v>0</v>
      </c>
      <c r="I207" s="405">
        <v>0</v>
      </c>
      <c r="J207" s="405">
        <v>0</v>
      </c>
      <c r="K207" s="405">
        <v>0</v>
      </c>
      <c r="L207" s="405">
        <v>0</v>
      </c>
      <c r="M207" s="405">
        <v>0</v>
      </c>
    </row>
    <row r="208" spans="2:13">
      <c r="B208" s="608" t="s">
        <v>559</v>
      </c>
      <c r="C208" s="609"/>
      <c r="D208" s="610"/>
      <c r="E208" s="405">
        <v>0</v>
      </c>
      <c r="F208" s="405">
        <v>0</v>
      </c>
      <c r="G208" s="405">
        <v>0</v>
      </c>
      <c r="H208" s="405">
        <v>0</v>
      </c>
      <c r="I208" s="405">
        <v>0</v>
      </c>
      <c r="J208" s="405">
        <v>0</v>
      </c>
      <c r="K208" s="405">
        <v>0</v>
      </c>
      <c r="L208" s="405">
        <v>0</v>
      </c>
      <c r="M208" s="405">
        <v>0</v>
      </c>
    </row>
    <row r="209" spans="2:13">
      <c r="B209" s="608" t="s">
        <v>560</v>
      </c>
      <c r="C209" s="609"/>
      <c r="D209" s="610"/>
      <c r="E209" s="405">
        <v>29394</v>
      </c>
      <c r="F209" s="405">
        <v>0</v>
      </c>
      <c r="G209" s="405">
        <v>784</v>
      </c>
      <c r="H209" s="405">
        <v>26097</v>
      </c>
      <c r="I209" s="405">
        <v>0</v>
      </c>
      <c r="J209" s="405">
        <v>0</v>
      </c>
      <c r="K209" s="405">
        <v>0</v>
      </c>
      <c r="L209" s="405">
        <v>14044</v>
      </c>
      <c r="M209" s="405">
        <v>0</v>
      </c>
    </row>
    <row r="210" spans="2:13">
      <c r="B210" s="608" t="s">
        <v>585</v>
      </c>
      <c r="C210" s="609"/>
      <c r="D210" s="610"/>
      <c r="E210" s="405">
        <v>14297</v>
      </c>
      <c r="F210" s="405">
        <v>13414</v>
      </c>
      <c r="G210" s="405">
        <v>72741</v>
      </c>
      <c r="H210" s="405">
        <v>1036</v>
      </c>
      <c r="I210" s="405">
        <v>157511</v>
      </c>
      <c r="J210" s="405">
        <v>0</v>
      </c>
      <c r="K210" s="405">
        <v>19688</v>
      </c>
      <c r="L210" s="405">
        <v>5369</v>
      </c>
      <c r="M210" s="405">
        <v>165623</v>
      </c>
    </row>
    <row r="211" spans="2:13">
      <c r="B211" s="608" t="s">
        <v>586</v>
      </c>
      <c r="C211" s="609"/>
      <c r="D211" s="610"/>
      <c r="E211" s="405">
        <v>0</v>
      </c>
      <c r="F211" s="405">
        <v>0</v>
      </c>
      <c r="G211" s="405">
        <v>62476</v>
      </c>
      <c r="H211" s="405">
        <v>8123</v>
      </c>
      <c r="I211" s="405">
        <v>105297</v>
      </c>
      <c r="J211" s="405">
        <v>0</v>
      </c>
      <c r="K211" s="405">
        <v>133374</v>
      </c>
      <c r="L211" s="405">
        <v>263004</v>
      </c>
      <c r="M211" s="405">
        <v>288233</v>
      </c>
    </row>
    <row r="212" spans="2:13">
      <c r="B212" s="608" t="s">
        <v>565</v>
      </c>
      <c r="C212" s="609"/>
      <c r="D212" s="610"/>
      <c r="E212" s="405">
        <v>0</v>
      </c>
      <c r="F212" s="405">
        <v>0</v>
      </c>
      <c r="G212" s="405">
        <v>10000</v>
      </c>
      <c r="H212" s="405">
        <v>0</v>
      </c>
      <c r="I212" s="405">
        <v>0</v>
      </c>
      <c r="J212" s="405">
        <v>0</v>
      </c>
      <c r="K212" s="405">
        <v>0</v>
      </c>
      <c r="L212" s="405">
        <v>30388</v>
      </c>
      <c r="M212" s="405">
        <v>0</v>
      </c>
    </row>
    <row r="213" spans="2:13">
      <c r="B213" s="615" t="s">
        <v>587</v>
      </c>
      <c r="C213" s="609"/>
      <c r="D213" s="610"/>
      <c r="E213" s="400">
        <v>198446</v>
      </c>
      <c r="F213" s="400">
        <v>246206</v>
      </c>
      <c r="G213" s="400">
        <v>308703</v>
      </c>
      <c r="H213" s="400">
        <v>257922</v>
      </c>
      <c r="I213" s="400">
        <v>414745</v>
      </c>
      <c r="J213" s="400">
        <v>358472</v>
      </c>
      <c r="K213" s="400">
        <v>449743</v>
      </c>
      <c r="L213" s="400">
        <v>1626637</v>
      </c>
      <c r="M213" s="400">
        <v>850768</v>
      </c>
    </row>
    <row r="214" spans="2:13">
      <c r="B214" s="608" t="s">
        <v>588</v>
      </c>
      <c r="C214" s="609"/>
      <c r="D214" s="610"/>
      <c r="E214" s="388"/>
      <c r="F214" s="388"/>
      <c r="G214" s="388"/>
      <c r="H214" s="388"/>
      <c r="I214" s="388"/>
      <c r="J214" s="388"/>
      <c r="K214" s="388"/>
      <c r="L214" s="388"/>
      <c r="M214" s="388"/>
    </row>
    <row r="215" spans="2:13">
      <c r="B215" s="608" t="s">
        <v>589</v>
      </c>
      <c r="C215" s="609"/>
      <c r="D215" s="610"/>
      <c r="E215" s="405">
        <v>0</v>
      </c>
      <c r="F215" s="405">
        <v>0</v>
      </c>
      <c r="G215" s="405">
        <v>0</v>
      </c>
      <c r="H215" s="405">
        <v>0</v>
      </c>
      <c r="I215" s="405">
        <v>0</v>
      </c>
      <c r="J215" s="405">
        <v>0</v>
      </c>
      <c r="K215" s="405">
        <v>0</v>
      </c>
      <c r="L215" s="405">
        <v>0</v>
      </c>
      <c r="M215" s="405">
        <v>0</v>
      </c>
    </row>
    <row r="216" spans="2:13">
      <c r="B216" s="615" t="s">
        <v>590</v>
      </c>
      <c r="C216" s="609"/>
      <c r="D216" s="610"/>
      <c r="E216" s="400">
        <v>0</v>
      </c>
      <c r="F216" s="400">
        <v>0</v>
      </c>
      <c r="G216" s="400">
        <v>0</v>
      </c>
      <c r="H216" s="400">
        <v>0</v>
      </c>
      <c r="I216" s="400">
        <v>0</v>
      </c>
      <c r="J216" s="400">
        <v>0</v>
      </c>
      <c r="K216" s="400">
        <v>0</v>
      </c>
      <c r="L216" s="400">
        <v>0</v>
      </c>
      <c r="M216" s="400">
        <v>0</v>
      </c>
    </row>
    <row r="217" spans="2:13">
      <c r="B217" s="608" t="s">
        <v>541</v>
      </c>
      <c r="C217" s="609"/>
      <c r="D217" s="610"/>
      <c r="E217" s="388"/>
      <c r="F217" s="388"/>
      <c r="G217" s="388"/>
      <c r="H217" s="388"/>
      <c r="I217" s="388"/>
      <c r="J217" s="388"/>
      <c r="K217" s="388"/>
      <c r="L217" s="388"/>
      <c r="M217" s="388"/>
    </row>
    <row r="218" spans="2:13">
      <c r="B218" s="608" t="s">
        <v>589</v>
      </c>
      <c r="C218" s="609"/>
      <c r="D218" s="610"/>
      <c r="E218" s="405">
        <v>0</v>
      </c>
      <c r="F218" s="405">
        <v>0</v>
      </c>
      <c r="G218" s="405">
        <v>0</v>
      </c>
      <c r="H218" s="405">
        <v>0</v>
      </c>
      <c r="I218" s="405">
        <v>0</v>
      </c>
      <c r="J218" s="405">
        <v>0</v>
      </c>
      <c r="K218" s="405">
        <v>0</v>
      </c>
      <c r="L218" s="405">
        <v>0</v>
      </c>
      <c r="M218" s="405">
        <v>0</v>
      </c>
    </row>
    <row r="219" spans="2:13">
      <c r="B219" s="615" t="s">
        <v>542</v>
      </c>
      <c r="C219" s="609"/>
      <c r="D219" s="610"/>
      <c r="E219" s="400">
        <v>0</v>
      </c>
      <c r="F219" s="400">
        <v>0</v>
      </c>
      <c r="G219" s="400">
        <v>0</v>
      </c>
      <c r="H219" s="400">
        <v>0</v>
      </c>
      <c r="I219" s="400">
        <v>0</v>
      </c>
      <c r="J219" s="400">
        <v>0</v>
      </c>
      <c r="K219" s="400">
        <v>0</v>
      </c>
      <c r="L219" s="400">
        <v>0</v>
      </c>
      <c r="M219" s="400">
        <v>0</v>
      </c>
    </row>
    <row r="220" spans="2:13">
      <c r="B220" s="615" t="s">
        <v>591</v>
      </c>
      <c r="C220" s="609"/>
      <c r="D220" s="610"/>
      <c r="E220" s="400">
        <v>198446</v>
      </c>
      <c r="F220" s="400">
        <v>246206</v>
      </c>
      <c r="G220" s="400">
        <v>308703</v>
      </c>
      <c r="H220" s="400">
        <v>257922</v>
      </c>
      <c r="I220" s="400">
        <v>414745</v>
      </c>
      <c r="J220" s="400">
        <v>358472</v>
      </c>
      <c r="K220" s="400">
        <v>449743</v>
      </c>
      <c r="L220" s="400">
        <v>1626637</v>
      </c>
      <c r="M220" s="400">
        <v>850768</v>
      </c>
    </row>
    <row r="221" spans="2:13" s="391" customFormat="1">
      <c r="B221" s="611" t="s">
        <v>462</v>
      </c>
      <c r="C221" s="612"/>
      <c r="D221" s="613"/>
      <c r="E221" s="390">
        <v>13</v>
      </c>
      <c r="F221" s="390">
        <v>19</v>
      </c>
      <c r="G221" s="390">
        <v>28</v>
      </c>
      <c r="H221" s="390">
        <v>60</v>
      </c>
      <c r="I221" s="390">
        <v>62</v>
      </c>
      <c r="J221" s="390">
        <v>63</v>
      </c>
      <c r="K221" s="390">
        <v>79</v>
      </c>
      <c r="L221" s="390">
        <v>150</v>
      </c>
      <c r="M221" s="390">
        <v>142</v>
      </c>
    </row>
    <row r="222" spans="2:13" s="396" customFormat="1" ht="14">
      <c r="B222" s="392"/>
      <c r="C222" s="393" t="s">
        <v>592</v>
      </c>
      <c r="D222" s="394"/>
      <c r="E222" s="395">
        <f>E220/E221</f>
        <v>15265.076923076924</v>
      </c>
      <c r="F222" s="395">
        <f t="shared" ref="F222:J222" si="21">F220/F221</f>
        <v>12958.21052631579</v>
      </c>
      <c r="G222" s="395">
        <f t="shared" si="21"/>
        <v>11025.107142857143</v>
      </c>
      <c r="H222" s="395">
        <f t="shared" si="21"/>
        <v>4298.7</v>
      </c>
      <c r="I222" s="395">
        <f t="shared" si="21"/>
        <v>6689.4354838709678</v>
      </c>
      <c r="J222" s="395">
        <f t="shared" si="21"/>
        <v>5690.0317460317465</v>
      </c>
      <c r="K222" s="395">
        <f>K220/K221</f>
        <v>5692.9493670886077</v>
      </c>
      <c r="L222" s="395">
        <f t="shared" ref="L222:M222" si="22">L220/L221</f>
        <v>10844.246666666666</v>
      </c>
      <c r="M222" s="395">
        <f t="shared" si="22"/>
        <v>5991.3239436619715</v>
      </c>
    </row>
    <row r="223" spans="2:13" s="399" customFormat="1">
      <c r="B223" s="601" t="s">
        <v>587</v>
      </c>
      <c r="C223" s="602"/>
      <c r="D223" s="603"/>
      <c r="E223" s="404">
        <v>198446</v>
      </c>
      <c r="F223" s="404">
        <v>246206</v>
      </c>
      <c r="G223" s="404">
        <v>413752</v>
      </c>
      <c r="H223" s="404">
        <v>311215</v>
      </c>
      <c r="I223" s="404">
        <v>539526</v>
      </c>
      <c r="J223" s="404">
        <v>451825</v>
      </c>
      <c r="K223" s="404">
        <v>480364</v>
      </c>
      <c r="L223" s="404">
        <v>1718582</v>
      </c>
      <c r="M223" s="404">
        <v>1044828</v>
      </c>
    </row>
    <row r="224" spans="2:13" s="411" customFormat="1">
      <c r="B224" s="616" t="s">
        <v>593</v>
      </c>
      <c r="C224" s="617"/>
      <c r="D224" s="618"/>
      <c r="E224" s="410"/>
      <c r="F224" s="410"/>
      <c r="G224" s="410"/>
      <c r="H224" s="410"/>
      <c r="I224" s="410"/>
      <c r="J224" s="410"/>
      <c r="K224" s="410"/>
      <c r="L224" s="410"/>
      <c r="M224" s="410"/>
    </row>
    <row r="225" spans="2:13" s="430" customFormat="1">
      <c r="B225" s="604" t="s">
        <v>594</v>
      </c>
      <c r="C225" s="605"/>
      <c r="D225" s="606"/>
      <c r="E225" s="429"/>
      <c r="F225" s="429"/>
      <c r="G225" s="429"/>
      <c r="H225" s="429"/>
      <c r="I225" s="429"/>
      <c r="J225" s="429"/>
      <c r="K225" s="429"/>
      <c r="L225" s="429"/>
      <c r="M225" s="429"/>
    </row>
    <row r="226" spans="2:13">
      <c r="B226" s="608" t="s">
        <v>595</v>
      </c>
      <c r="C226" s="609"/>
      <c r="D226" s="610"/>
      <c r="E226" s="388"/>
      <c r="F226" s="388"/>
      <c r="G226" s="388"/>
      <c r="H226" s="388"/>
      <c r="I226" s="388"/>
      <c r="J226" s="388"/>
      <c r="K226" s="388"/>
      <c r="L226" s="388"/>
      <c r="M226" s="388"/>
    </row>
    <row r="227" spans="2:13">
      <c r="B227" s="608" t="s">
        <v>530</v>
      </c>
      <c r="C227" s="609"/>
      <c r="D227" s="610"/>
      <c r="E227" s="405">
        <v>0</v>
      </c>
      <c r="F227" s="405">
        <v>0</v>
      </c>
      <c r="G227" s="405">
        <v>0</v>
      </c>
      <c r="H227" s="405">
        <v>0</v>
      </c>
      <c r="I227" s="405">
        <v>0</v>
      </c>
      <c r="J227" s="405">
        <v>0</v>
      </c>
      <c r="K227" s="405">
        <v>0</v>
      </c>
      <c r="L227" s="405">
        <v>0</v>
      </c>
      <c r="M227" s="405">
        <v>440493</v>
      </c>
    </row>
    <row r="228" spans="2:13">
      <c r="B228" s="608" t="s">
        <v>531</v>
      </c>
      <c r="C228" s="609"/>
      <c r="D228" s="610"/>
      <c r="E228" s="405">
        <v>0</v>
      </c>
      <c r="F228" s="405">
        <v>0</v>
      </c>
      <c r="G228" s="405">
        <v>0</v>
      </c>
      <c r="H228" s="405">
        <v>0</v>
      </c>
      <c r="I228" s="405">
        <v>0</v>
      </c>
      <c r="J228" s="405">
        <v>0</v>
      </c>
      <c r="K228" s="405">
        <v>0</v>
      </c>
      <c r="L228" s="405">
        <v>0</v>
      </c>
      <c r="M228" s="405">
        <v>18</v>
      </c>
    </row>
    <row r="229" spans="2:13">
      <c r="B229" s="608" t="s">
        <v>532</v>
      </c>
      <c r="C229" s="609"/>
      <c r="D229" s="610"/>
      <c r="E229" s="405">
        <v>0</v>
      </c>
      <c r="F229" s="405">
        <v>0</v>
      </c>
      <c r="G229" s="405">
        <v>0</v>
      </c>
      <c r="H229" s="405">
        <v>0</v>
      </c>
      <c r="I229" s="405">
        <v>0</v>
      </c>
      <c r="J229" s="405">
        <v>0</v>
      </c>
      <c r="K229" s="405">
        <v>0</v>
      </c>
      <c r="L229" s="405">
        <v>0</v>
      </c>
      <c r="M229" s="405">
        <v>0</v>
      </c>
    </row>
    <row r="230" spans="2:13">
      <c r="B230" s="608" t="s">
        <v>533</v>
      </c>
      <c r="C230" s="609"/>
      <c r="D230" s="610"/>
      <c r="E230" s="405">
        <v>0</v>
      </c>
      <c r="F230" s="405">
        <v>0</v>
      </c>
      <c r="G230" s="405">
        <v>0</v>
      </c>
      <c r="H230" s="405">
        <v>0</v>
      </c>
      <c r="I230" s="405">
        <v>0</v>
      </c>
      <c r="J230" s="405">
        <v>0</v>
      </c>
      <c r="K230" s="405">
        <v>0</v>
      </c>
      <c r="L230" s="405">
        <v>0</v>
      </c>
      <c r="M230" s="405">
        <v>0</v>
      </c>
    </row>
    <row r="231" spans="2:13">
      <c r="B231" s="615" t="s">
        <v>596</v>
      </c>
      <c r="C231" s="609"/>
      <c r="D231" s="610"/>
      <c r="E231" s="400">
        <v>0</v>
      </c>
      <c r="F231" s="400">
        <v>0</v>
      </c>
      <c r="G231" s="400">
        <v>0</v>
      </c>
      <c r="H231" s="400">
        <v>0</v>
      </c>
      <c r="I231" s="400">
        <v>0</v>
      </c>
      <c r="J231" s="400">
        <v>0</v>
      </c>
      <c r="K231" s="400">
        <v>0</v>
      </c>
      <c r="L231" s="400">
        <v>0</v>
      </c>
      <c r="M231" s="400">
        <v>440475</v>
      </c>
    </row>
    <row r="232" spans="2:13" s="430" customFormat="1">
      <c r="B232" s="604" t="s">
        <v>597</v>
      </c>
      <c r="C232" s="605"/>
      <c r="D232" s="606"/>
      <c r="E232" s="429"/>
      <c r="F232" s="429"/>
      <c r="G232" s="429"/>
      <c r="H232" s="429"/>
      <c r="I232" s="429"/>
      <c r="J232" s="429"/>
      <c r="K232" s="429"/>
      <c r="L232" s="429"/>
      <c r="M232" s="429"/>
    </row>
    <row r="233" spans="2:13">
      <c r="B233" s="608" t="s">
        <v>598</v>
      </c>
      <c r="C233" s="609"/>
      <c r="D233" s="610"/>
      <c r="E233" s="388"/>
      <c r="F233" s="388"/>
      <c r="G233" s="388"/>
      <c r="H233" s="388"/>
      <c r="I233" s="388"/>
      <c r="J233" s="388"/>
      <c r="K233" s="388"/>
      <c r="L233" s="388"/>
      <c r="M233" s="388"/>
    </row>
    <row r="234" spans="2:13">
      <c r="B234" s="608" t="s">
        <v>599</v>
      </c>
      <c r="C234" s="609"/>
      <c r="D234" s="610"/>
      <c r="E234" s="405">
        <v>0</v>
      </c>
      <c r="F234" s="405">
        <v>0</v>
      </c>
      <c r="G234" s="405">
        <v>0</v>
      </c>
      <c r="H234" s="405">
        <v>0</v>
      </c>
      <c r="I234" s="405">
        <v>0</v>
      </c>
      <c r="J234" s="405">
        <v>0</v>
      </c>
      <c r="K234" s="405">
        <v>0</v>
      </c>
      <c r="L234" s="405">
        <v>0</v>
      </c>
      <c r="M234" s="405">
        <v>321764</v>
      </c>
    </row>
    <row r="235" spans="2:13">
      <c r="B235" s="608" t="s">
        <v>600</v>
      </c>
      <c r="C235" s="609"/>
      <c r="D235" s="610"/>
      <c r="E235" s="405">
        <v>0</v>
      </c>
      <c r="F235" s="405">
        <v>0</v>
      </c>
      <c r="G235" s="405">
        <v>0</v>
      </c>
      <c r="H235" s="405">
        <v>0</v>
      </c>
      <c r="I235" s="405">
        <v>0</v>
      </c>
      <c r="J235" s="405">
        <v>0</v>
      </c>
      <c r="K235" s="405">
        <v>0</v>
      </c>
      <c r="L235" s="405">
        <v>0</v>
      </c>
      <c r="M235" s="405">
        <v>0</v>
      </c>
    </row>
    <row r="236" spans="2:13">
      <c r="B236" s="608" t="s">
        <v>372</v>
      </c>
      <c r="C236" s="609"/>
      <c r="D236" s="610"/>
      <c r="E236" s="405">
        <v>0</v>
      </c>
      <c r="F236" s="405">
        <v>0</v>
      </c>
      <c r="G236" s="405">
        <v>0</v>
      </c>
      <c r="H236" s="405">
        <v>0</v>
      </c>
      <c r="I236" s="405">
        <v>0</v>
      </c>
      <c r="J236" s="405">
        <v>0</v>
      </c>
      <c r="K236" s="405">
        <v>0</v>
      </c>
      <c r="L236" s="405">
        <v>0</v>
      </c>
      <c r="M236" s="405">
        <v>0</v>
      </c>
    </row>
    <row r="237" spans="2:13">
      <c r="B237" s="608" t="s">
        <v>558</v>
      </c>
      <c r="C237" s="609"/>
      <c r="D237" s="610"/>
      <c r="E237" s="405">
        <v>0</v>
      </c>
      <c r="F237" s="405">
        <v>0</v>
      </c>
      <c r="G237" s="405">
        <v>0</v>
      </c>
      <c r="H237" s="405">
        <v>0</v>
      </c>
      <c r="I237" s="405">
        <v>0</v>
      </c>
      <c r="J237" s="405">
        <v>0</v>
      </c>
      <c r="K237" s="405">
        <v>0</v>
      </c>
      <c r="L237" s="405">
        <v>0</v>
      </c>
      <c r="M237" s="405">
        <v>0</v>
      </c>
    </row>
    <row r="238" spans="2:13">
      <c r="B238" s="608" t="s">
        <v>559</v>
      </c>
      <c r="C238" s="609"/>
      <c r="D238" s="610"/>
      <c r="E238" s="405">
        <v>0</v>
      </c>
      <c r="F238" s="405">
        <v>0</v>
      </c>
      <c r="G238" s="405">
        <v>0</v>
      </c>
      <c r="H238" s="405">
        <v>0</v>
      </c>
      <c r="I238" s="405">
        <v>0</v>
      </c>
      <c r="J238" s="405">
        <v>0</v>
      </c>
      <c r="K238" s="405">
        <v>0</v>
      </c>
      <c r="L238" s="405">
        <v>0</v>
      </c>
      <c r="M238" s="405">
        <v>0</v>
      </c>
    </row>
    <row r="239" spans="2:13">
      <c r="B239" s="608" t="s">
        <v>560</v>
      </c>
      <c r="C239" s="609"/>
      <c r="D239" s="610"/>
      <c r="E239" s="405">
        <v>0</v>
      </c>
      <c r="F239" s="405">
        <v>0</v>
      </c>
      <c r="G239" s="405">
        <v>0</v>
      </c>
      <c r="H239" s="405">
        <v>0</v>
      </c>
      <c r="I239" s="405">
        <v>0</v>
      </c>
      <c r="J239" s="405">
        <v>0</v>
      </c>
      <c r="K239" s="405">
        <v>0</v>
      </c>
      <c r="L239" s="405">
        <v>0</v>
      </c>
      <c r="M239" s="405">
        <v>16751</v>
      </c>
    </row>
    <row r="240" spans="2:13">
      <c r="B240" s="608" t="s">
        <v>561</v>
      </c>
      <c r="C240" s="609"/>
      <c r="D240" s="610"/>
      <c r="E240" s="405">
        <v>0</v>
      </c>
      <c r="F240" s="405">
        <v>0</v>
      </c>
      <c r="G240" s="405">
        <v>0</v>
      </c>
      <c r="H240" s="405">
        <v>0</v>
      </c>
      <c r="I240" s="405">
        <v>0</v>
      </c>
      <c r="J240" s="405">
        <v>0</v>
      </c>
      <c r="K240" s="405">
        <v>0</v>
      </c>
      <c r="L240" s="405">
        <v>0</v>
      </c>
      <c r="M240" s="405">
        <v>0</v>
      </c>
    </row>
    <row r="241" spans="2:13">
      <c r="B241" s="608" t="s">
        <v>601</v>
      </c>
      <c r="C241" s="609"/>
      <c r="D241" s="610"/>
      <c r="E241" s="405">
        <v>0</v>
      </c>
      <c r="F241" s="405">
        <v>0</v>
      </c>
      <c r="G241" s="405">
        <v>0</v>
      </c>
      <c r="H241" s="405">
        <v>0</v>
      </c>
      <c r="I241" s="405">
        <v>0</v>
      </c>
      <c r="J241" s="405">
        <v>0</v>
      </c>
      <c r="K241" s="405">
        <v>0</v>
      </c>
      <c r="L241" s="405">
        <v>0</v>
      </c>
      <c r="M241" s="405">
        <v>8477</v>
      </c>
    </row>
    <row r="242" spans="2:13">
      <c r="B242" s="608" t="s">
        <v>565</v>
      </c>
      <c r="C242" s="609"/>
      <c r="D242" s="610"/>
      <c r="E242" s="405">
        <v>0</v>
      </c>
      <c r="F242" s="405">
        <v>0</v>
      </c>
      <c r="G242" s="405">
        <v>0</v>
      </c>
      <c r="H242" s="405">
        <v>0</v>
      </c>
      <c r="I242" s="405">
        <v>0</v>
      </c>
      <c r="J242" s="405">
        <v>0</v>
      </c>
      <c r="K242" s="405">
        <v>0</v>
      </c>
      <c r="L242" s="405">
        <v>0</v>
      </c>
      <c r="M242" s="405">
        <v>20586</v>
      </c>
    </row>
    <row r="243" spans="2:13">
      <c r="B243" s="615" t="s">
        <v>602</v>
      </c>
      <c r="C243" s="609"/>
      <c r="D243" s="610"/>
      <c r="E243" s="400">
        <v>0</v>
      </c>
      <c r="F243" s="400">
        <v>0</v>
      </c>
      <c r="G243" s="400">
        <v>0</v>
      </c>
      <c r="H243" s="400">
        <v>0</v>
      </c>
      <c r="I243" s="400">
        <v>0</v>
      </c>
      <c r="J243" s="400">
        <v>0</v>
      </c>
      <c r="K243" s="400">
        <v>0</v>
      </c>
      <c r="L243" s="400">
        <v>0</v>
      </c>
      <c r="M243" s="400">
        <v>367578</v>
      </c>
    </row>
    <row r="244" spans="2:13">
      <c r="B244" s="615" t="s">
        <v>603</v>
      </c>
      <c r="C244" s="609"/>
      <c r="D244" s="610"/>
      <c r="E244" s="400">
        <v>0</v>
      </c>
      <c r="F244" s="400">
        <v>0</v>
      </c>
      <c r="G244" s="400">
        <v>0</v>
      </c>
      <c r="H244" s="400">
        <v>0</v>
      </c>
      <c r="I244" s="400">
        <v>0</v>
      </c>
      <c r="J244" s="400">
        <v>0</v>
      </c>
      <c r="K244" s="400">
        <v>0</v>
      </c>
      <c r="L244" s="400">
        <v>0</v>
      </c>
      <c r="M244" s="400">
        <v>808053</v>
      </c>
    </row>
    <row r="245" spans="2:13" s="411" customFormat="1">
      <c r="B245" s="616" t="s">
        <v>604</v>
      </c>
      <c r="C245" s="617"/>
      <c r="D245" s="618"/>
      <c r="E245" s="410"/>
      <c r="F245" s="410"/>
      <c r="G245" s="410"/>
      <c r="H245" s="410"/>
      <c r="I245" s="410"/>
      <c r="J245" s="410"/>
      <c r="K245" s="410"/>
      <c r="L245" s="410"/>
      <c r="M245" s="410"/>
    </row>
    <row r="246" spans="2:13" s="430" customFormat="1">
      <c r="B246" s="604" t="s">
        <v>605</v>
      </c>
      <c r="C246" s="605"/>
      <c r="D246" s="606"/>
      <c r="E246" s="429"/>
      <c r="F246" s="429"/>
      <c r="G246" s="429"/>
      <c r="H246" s="429"/>
      <c r="I246" s="429"/>
      <c r="J246" s="429"/>
      <c r="K246" s="429"/>
      <c r="L246" s="429"/>
      <c r="M246" s="429"/>
    </row>
    <row r="247" spans="2:13">
      <c r="B247" s="608" t="s">
        <v>606</v>
      </c>
      <c r="C247" s="609"/>
      <c r="D247" s="610"/>
      <c r="E247" s="388"/>
      <c r="F247" s="388"/>
      <c r="G247" s="388"/>
      <c r="H247" s="388"/>
      <c r="I247" s="388"/>
      <c r="J247" s="388"/>
      <c r="K247" s="388"/>
      <c r="L247" s="388"/>
      <c r="M247" s="388"/>
    </row>
    <row r="248" spans="2:13">
      <c r="B248" s="608" t="s">
        <v>530</v>
      </c>
      <c r="C248" s="609"/>
      <c r="D248" s="610"/>
      <c r="E248" s="405">
        <v>42406</v>
      </c>
      <c r="F248" s="405">
        <v>63469</v>
      </c>
      <c r="G248" s="405">
        <v>0</v>
      </c>
      <c r="H248" s="405">
        <v>284961</v>
      </c>
      <c r="I248" s="405">
        <v>95453</v>
      </c>
      <c r="J248" s="405">
        <v>348190</v>
      </c>
      <c r="K248" s="405">
        <v>476435</v>
      </c>
      <c r="L248" s="405">
        <v>319032</v>
      </c>
      <c r="M248" s="405">
        <v>523331</v>
      </c>
    </row>
    <row r="249" spans="2:13">
      <c r="B249" s="608" t="s">
        <v>531</v>
      </c>
      <c r="C249" s="609"/>
      <c r="D249" s="610"/>
      <c r="E249" s="405">
        <v>12081</v>
      </c>
      <c r="F249" s="405">
        <v>0</v>
      </c>
      <c r="G249" s="405">
        <v>0</v>
      </c>
      <c r="H249" s="405">
        <v>723</v>
      </c>
      <c r="I249" s="405">
        <v>0</v>
      </c>
      <c r="J249" s="405">
        <v>0</v>
      </c>
      <c r="K249" s="405">
        <v>367506</v>
      </c>
      <c r="L249" s="405">
        <v>0</v>
      </c>
      <c r="M249" s="405">
        <v>0</v>
      </c>
    </row>
    <row r="250" spans="2:13">
      <c r="B250" s="608" t="s">
        <v>532</v>
      </c>
      <c r="C250" s="609"/>
      <c r="D250" s="610"/>
      <c r="E250" s="405">
        <v>0</v>
      </c>
      <c r="F250" s="405">
        <v>0</v>
      </c>
      <c r="G250" s="405">
        <v>0</v>
      </c>
      <c r="H250" s="405">
        <v>0</v>
      </c>
      <c r="I250" s="405">
        <v>0</v>
      </c>
      <c r="J250" s="405">
        <v>0</v>
      </c>
      <c r="K250" s="405">
        <v>0</v>
      </c>
      <c r="L250" s="405">
        <v>0</v>
      </c>
      <c r="M250" s="405">
        <v>0</v>
      </c>
    </row>
    <row r="251" spans="2:13">
      <c r="B251" s="608" t="s">
        <v>533</v>
      </c>
      <c r="C251" s="609"/>
      <c r="D251" s="610"/>
      <c r="E251" s="405">
        <v>0</v>
      </c>
      <c r="F251" s="405">
        <v>0</v>
      </c>
      <c r="G251" s="405">
        <v>0</v>
      </c>
      <c r="H251" s="405">
        <v>0</v>
      </c>
      <c r="I251" s="405">
        <v>0</v>
      </c>
      <c r="J251" s="405">
        <v>0</v>
      </c>
      <c r="K251" s="405">
        <v>0</v>
      </c>
      <c r="L251" s="405">
        <v>0</v>
      </c>
      <c r="M251" s="405">
        <v>0</v>
      </c>
    </row>
    <row r="252" spans="2:13">
      <c r="B252" s="615" t="s">
        <v>607</v>
      </c>
      <c r="C252" s="609"/>
      <c r="D252" s="610"/>
      <c r="E252" s="400">
        <v>30325</v>
      </c>
      <c r="F252" s="400">
        <v>63469</v>
      </c>
      <c r="G252" s="400">
        <v>0</v>
      </c>
      <c r="H252" s="400">
        <v>284238</v>
      </c>
      <c r="I252" s="400">
        <v>95453</v>
      </c>
      <c r="J252" s="400">
        <v>348190</v>
      </c>
      <c r="K252" s="400">
        <v>108929</v>
      </c>
      <c r="L252" s="400">
        <v>319032</v>
      </c>
      <c r="M252" s="400">
        <v>523331</v>
      </c>
    </row>
    <row r="253" spans="2:13" s="391" customFormat="1">
      <c r="B253" s="611" t="s">
        <v>462</v>
      </c>
      <c r="C253" s="612"/>
      <c r="D253" s="613"/>
      <c r="E253" s="390">
        <v>13</v>
      </c>
      <c r="F253" s="390">
        <v>19</v>
      </c>
      <c r="G253" s="390">
        <v>28</v>
      </c>
      <c r="H253" s="390">
        <v>60</v>
      </c>
      <c r="I253" s="390">
        <v>62</v>
      </c>
      <c r="J253" s="390">
        <v>63</v>
      </c>
      <c r="K253" s="390">
        <v>79</v>
      </c>
      <c r="L253" s="390">
        <v>150</v>
      </c>
      <c r="M253" s="390">
        <v>142</v>
      </c>
    </row>
    <row r="254" spans="2:13" s="396" customFormat="1" ht="14">
      <c r="B254" s="392"/>
      <c r="C254" s="393" t="s">
        <v>608</v>
      </c>
      <c r="D254" s="394"/>
      <c r="E254" s="395">
        <f>E252/E253</f>
        <v>2332.6923076923076</v>
      </c>
      <c r="F254" s="395">
        <f t="shared" ref="F254:J254" si="23">F252/F253</f>
        <v>3340.4736842105262</v>
      </c>
      <c r="G254" s="395">
        <f t="shared" si="23"/>
        <v>0</v>
      </c>
      <c r="H254" s="395">
        <f t="shared" si="23"/>
        <v>4737.3</v>
      </c>
      <c r="I254" s="395">
        <f t="shared" si="23"/>
        <v>1539.5645161290322</v>
      </c>
      <c r="J254" s="395">
        <f t="shared" si="23"/>
        <v>5526.8253968253966</v>
      </c>
      <c r="K254" s="395">
        <f>K252/K253</f>
        <v>1378.8481012658228</v>
      </c>
      <c r="L254" s="395">
        <f t="shared" ref="L254:M254" si="24">L252/L253</f>
        <v>2126.88</v>
      </c>
      <c r="M254" s="395">
        <f t="shared" si="24"/>
        <v>3685.4295774647885</v>
      </c>
    </row>
    <row r="255" spans="2:13" s="430" customFormat="1">
      <c r="B255" s="604" t="s">
        <v>609</v>
      </c>
      <c r="C255" s="605"/>
      <c r="D255" s="606"/>
      <c r="E255" s="429"/>
      <c r="F255" s="429"/>
      <c r="G255" s="429"/>
      <c r="H255" s="429"/>
      <c r="I255" s="429"/>
      <c r="J255" s="429"/>
      <c r="K255" s="429"/>
      <c r="L255" s="429"/>
      <c r="M255" s="429"/>
    </row>
    <row r="256" spans="2:13">
      <c r="B256" s="608" t="s">
        <v>610</v>
      </c>
      <c r="C256" s="609"/>
      <c r="D256" s="610"/>
      <c r="E256" s="388"/>
      <c r="F256" s="388"/>
      <c r="G256" s="388"/>
      <c r="H256" s="388"/>
      <c r="I256" s="388"/>
      <c r="J256" s="388"/>
      <c r="K256" s="388"/>
      <c r="L256" s="388"/>
      <c r="M256" s="388"/>
    </row>
    <row r="257" spans="2:13">
      <c r="B257" s="608" t="s">
        <v>611</v>
      </c>
      <c r="C257" s="609"/>
      <c r="D257" s="610"/>
      <c r="E257" s="405">
        <v>35850</v>
      </c>
      <c r="F257" s="405">
        <v>37500</v>
      </c>
      <c r="G257" s="405">
        <v>37894</v>
      </c>
      <c r="H257" s="405">
        <v>22000</v>
      </c>
      <c r="I257" s="405">
        <v>35600</v>
      </c>
      <c r="J257" s="405">
        <v>55250</v>
      </c>
      <c r="K257" s="405">
        <v>53501</v>
      </c>
      <c r="L257" s="405">
        <v>62500</v>
      </c>
      <c r="M257" s="405">
        <v>50000</v>
      </c>
    </row>
    <row r="258" spans="2:13">
      <c r="B258" s="608" t="s">
        <v>612</v>
      </c>
      <c r="C258" s="609"/>
      <c r="D258" s="610"/>
      <c r="E258" s="405">
        <v>17900</v>
      </c>
      <c r="F258" s="405">
        <v>10750</v>
      </c>
      <c r="G258" s="405">
        <v>25200</v>
      </c>
      <c r="H258" s="405">
        <v>17900</v>
      </c>
      <c r="I258" s="405">
        <v>14338</v>
      </c>
      <c r="J258" s="405">
        <v>0</v>
      </c>
      <c r="K258" s="405">
        <v>64950</v>
      </c>
      <c r="L258" s="405">
        <v>25963</v>
      </c>
      <c r="M258" s="405">
        <v>12264</v>
      </c>
    </row>
    <row r="259" spans="2:13">
      <c r="B259" s="608" t="s">
        <v>613</v>
      </c>
      <c r="C259" s="609"/>
      <c r="D259" s="610"/>
      <c r="E259" s="405">
        <v>0</v>
      </c>
      <c r="F259" s="405">
        <v>0</v>
      </c>
      <c r="G259" s="405">
        <v>88569</v>
      </c>
      <c r="H259" s="405">
        <v>8125</v>
      </c>
      <c r="I259" s="405">
        <v>20442</v>
      </c>
      <c r="J259" s="405">
        <v>43677</v>
      </c>
      <c r="K259" s="405">
        <v>17587</v>
      </c>
      <c r="L259" s="405">
        <v>1494</v>
      </c>
      <c r="M259" s="405">
        <v>25500</v>
      </c>
    </row>
    <row r="260" spans="2:13">
      <c r="B260" s="608" t="s">
        <v>614</v>
      </c>
      <c r="C260" s="609"/>
      <c r="D260" s="610"/>
      <c r="E260" s="405">
        <v>8889</v>
      </c>
      <c r="F260" s="405">
        <v>22862</v>
      </c>
      <c r="G260" s="405">
        <v>28767</v>
      </c>
      <c r="H260" s="405">
        <v>25245</v>
      </c>
      <c r="I260" s="405">
        <v>28870</v>
      </c>
      <c r="J260" s="405">
        <v>22610</v>
      </c>
      <c r="K260" s="405">
        <v>55512</v>
      </c>
      <c r="L260" s="405">
        <v>1100</v>
      </c>
      <c r="M260" s="405">
        <v>49150</v>
      </c>
    </row>
    <row r="261" spans="2:13">
      <c r="B261" s="608" t="s">
        <v>615</v>
      </c>
      <c r="C261" s="609"/>
      <c r="D261" s="610"/>
      <c r="E261" s="405">
        <v>12640</v>
      </c>
      <c r="F261" s="405">
        <v>0</v>
      </c>
      <c r="G261" s="405">
        <v>13753</v>
      </c>
      <c r="H261" s="405">
        <v>56303</v>
      </c>
      <c r="I261" s="405">
        <v>5078</v>
      </c>
      <c r="J261" s="405">
        <v>56550</v>
      </c>
      <c r="K261" s="405">
        <v>10290</v>
      </c>
      <c r="L261" s="405">
        <v>1975</v>
      </c>
      <c r="M261" s="405">
        <v>7593</v>
      </c>
    </row>
    <row r="262" spans="2:13">
      <c r="B262" s="608" t="s">
        <v>616</v>
      </c>
      <c r="C262" s="609"/>
      <c r="D262" s="610"/>
      <c r="E262" s="405">
        <v>0</v>
      </c>
      <c r="F262" s="405">
        <v>0</v>
      </c>
      <c r="G262" s="405">
        <v>0</v>
      </c>
      <c r="H262" s="405">
        <v>981</v>
      </c>
      <c r="I262" s="405">
        <v>0</v>
      </c>
      <c r="J262" s="405">
        <v>0</v>
      </c>
      <c r="K262" s="405">
        <v>0</v>
      </c>
      <c r="L262" s="405">
        <v>0</v>
      </c>
      <c r="M262" s="405">
        <v>0</v>
      </c>
    </row>
    <row r="263" spans="2:13">
      <c r="B263" s="608" t="s">
        <v>617</v>
      </c>
      <c r="C263" s="609"/>
      <c r="D263" s="610"/>
      <c r="E263" s="405">
        <v>0</v>
      </c>
      <c r="F263" s="405">
        <v>3050</v>
      </c>
      <c r="G263" s="405">
        <v>43575</v>
      </c>
      <c r="H263" s="405">
        <v>9256</v>
      </c>
      <c r="I263" s="405">
        <v>35334</v>
      </c>
      <c r="J263" s="405">
        <v>15830</v>
      </c>
      <c r="K263" s="405">
        <v>30521</v>
      </c>
      <c r="L263" s="405">
        <v>23594</v>
      </c>
      <c r="M263" s="405">
        <v>40544</v>
      </c>
    </row>
    <row r="264" spans="2:13">
      <c r="B264" s="608" t="s">
        <v>618</v>
      </c>
      <c r="C264" s="609"/>
      <c r="D264" s="610"/>
      <c r="E264" s="405">
        <v>0</v>
      </c>
      <c r="F264" s="405">
        <v>0</v>
      </c>
      <c r="G264" s="405">
        <v>1753</v>
      </c>
      <c r="H264" s="405">
        <v>0</v>
      </c>
      <c r="I264" s="405">
        <v>0</v>
      </c>
      <c r="J264" s="405">
        <v>0</v>
      </c>
      <c r="K264" s="405">
        <v>1537</v>
      </c>
      <c r="L264" s="405">
        <v>21228</v>
      </c>
      <c r="M264" s="405">
        <v>0</v>
      </c>
    </row>
    <row r="265" spans="2:13">
      <c r="B265" s="608" t="s">
        <v>372</v>
      </c>
      <c r="C265" s="609"/>
      <c r="D265" s="610"/>
      <c r="E265" s="405">
        <v>275</v>
      </c>
      <c r="F265" s="405">
        <v>0</v>
      </c>
      <c r="G265" s="405">
        <v>0</v>
      </c>
      <c r="H265" s="405">
        <v>11634</v>
      </c>
      <c r="I265" s="405">
        <v>10120</v>
      </c>
      <c r="J265" s="405">
        <v>0</v>
      </c>
      <c r="K265" s="405">
        <v>0</v>
      </c>
      <c r="L265" s="405">
        <v>17283</v>
      </c>
      <c r="M265" s="405">
        <v>44756</v>
      </c>
    </row>
    <row r="266" spans="2:13">
      <c r="B266" s="608" t="s">
        <v>558</v>
      </c>
      <c r="C266" s="609"/>
      <c r="D266" s="610"/>
      <c r="E266" s="405">
        <v>0</v>
      </c>
      <c r="F266" s="405">
        <v>0</v>
      </c>
      <c r="G266" s="405">
        <v>0</v>
      </c>
      <c r="H266" s="405">
        <v>0</v>
      </c>
      <c r="I266" s="405">
        <v>0</v>
      </c>
      <c r="J266" s="405">
        <v>0</v>
      </c>
      <c r="K266" s="405">
        <v>0</v>
      </c>
      <c r="L266" s="405">
        <v>0</v>
      </c>
      <c r="M266" s="405">
        <v>0</v>
      </c>
    </row>
    <row r="267" spans="2:13">
      <c r="B267" s="608" t="s">
        <v>619</v>
      </c>
      <c r="C267" s="609"/>
      <c r="D267" s="610"/>
      <c r="E267" s="405">
        <v>0</v>
      </c>
      <c r="F267" s="405">
        <v>10367</v>
      </c>
      <c r="G267" s="405">
        <v>78472</v>
      </c>
      <c r="H267" s="405">
        <v>74603</v>
      </c>
      <c r="I267" s="405">
        <v>71097</v>
      </c>
      <c r="J267" s="405">
        <v>26220</v>
      </c>
      <c r="K267" s="405">
        <v>68329</v>
      </c>
      <c r="L267" s="405">
        <v>84131</v>
      </c>
      <c r="M267" s="405">
        <v>163446</v>
      </c>
    </row>
    <row r="268" spans="2:13">
      <c r="B268" s="608" t="s">
        <v>383</v>
      </c>
      <c r="C268" s="609"/>
      <c r="D268" s="610"/>
      <c r="E268" s="405">
        <v>4190</v>
      </c>
      <c r="F268" s="405">
        <v>0</v>
      </c>
      <c r="G268" s="405">
        <v>768</v>
      </c>
      <c r="H268" s="405">
        <v>10549</v>
      </c>
      <c r="I268" s="405">
        <v>17334</v>
      </c>
      <c r="J268" s="405">
        <v>1539</v>
      </c>
      <c r="K268" s="405">
        <v>41650</v>
      </c>
      <c r="L268" s="405">
        <v>1138</v>
      </c>
      <c r="M268" s="405">
        <v>46657</v>
      </c>
    </row>
    <row r="269" spans="2:13">
      <c r="B269" s="608" t="s">
        <v>620</v>
      </c>
      <c r="C269" s="609"/>
      <c r="D269" s="610"/>
      <c r="E269" s="405">
        <v>6251</v>
      </c>
      <c r="F269" s="405">
        <v>15976</v>
      </c>
      <c r="G269" s="405">
        <v>38087</v>
      </c>
      <c r="H269" s="405">
        <v>11418</v>
      </c>
      <c r="I269" s="405">
        <v>11869</v>
      </c>
      <c r="J269" s="405">
        <v>30251</v>
      </c>
      <c r="K269" s="405">
        <v>23129</v>
      </c>
      <c r="L269" s="405">
        <v>31636</v>
      </c>
      <c r="M269" s="405">
        <v>9333</v>
      </c>
    </row>
    <row r="270" spans="2:13">
      <c r="B270" s="608" t="s">
        <v>621</v>
      </c>
      <c r="C270" s="609"/>
      <c r="D270" s="610"/>
      <c r="E270" s="405">
        <v>0</v>
      </c>
      <c r="F270" s="405">
        <v>12116</v>
      </c>
      <c r="G270" s="405">
        <v>20606</v>
      </c>
      <c r="H270" s="405">
        <v>24315</v>
      </c>
      <c r="I270" s="405">
        <v>23443</v>
      </c>
      <c r="J270" s="405">
        <v>25124</v>
      </c>
      <c r="K270" s="405">
        <v>30693</v>
      </c>
      <c r="L270" s="405">
        <v>45500</v>
      </c>
      <c r="M270" s="405">
        <v>48602</v>
      </c>
    </row>
    <row r="271" spans="2:13">
      <c r="B271" s="608" t="s">
        <v>622</v>
      </c>
      <c r="C271" s="609"/>
      <c r="D271" s="610"/>
      <c r="E271" s="405">
        <v>0</v>
      </c>
      <c r="F271" s="405">
        <v>400</v>
      </c>
      <c r="G271" s="405">
        <v>0</v>
      </c>
      <c r="H271" s="405">
        <v>1525</v>
      </c>
      <c r="I271" s="405">
        <v>1575</v>
      </c>
      <c r="J271" s="405">
        <v>1625</v>
      </c>
      <c r="K271" s="405">
        <v>0</v>
      </c>
      <c r="L271" s="405">
        <v>3500</v>
      </c>
      <c r="M271" s="405">
        <v>3500</v>
      </c>
    </row>
    <row r="272" spans="2:13">
      <c r="B272" s="608" t="s">
        <v>559</v>
      </c>
      <c r="C272" s="609"/>
      <c r="D272" s="610"/>
      <c r="E272" s="405">
        <v>0</v>
      </c>
      <c r="F272" s="405">
        <v>0</v>
      </c>
      <c r="G272" s="405">
        <v>0</v>
      </c>
      <c r="H272" s="405">
        <v>0</v>
      </c>
      <c r="I272" s="405">
        <v>0</v>
      </c>
      <c r="J272" s="405">
        <v>0</v>
      </c>
      <c r="K272" s="405">
        <v>19342</v>
      </c>
      <c r="L272" s="405">
        <v>9735</v>
      </c>
      <c r="M272" s="405">
        <v>0</v>
      </c>
    </row>
    <row r="273" spans="2:13">
      <c r="B273" s="608" t="s">
        <v>560</v>
      </c>
      <c r="C273" s="609"/>
      <c r="D273" s="610"/>
      <c r="E273" s="405">
        <v>7346</v>
      </c>
      <c r="F273" s="405">
        <v>9585</v>
      </c>
      <c r="G273" s="405">
        <v>668</v>
      </c>
      <c r="H273" s="405">
        <v>0</v>
      </c>
      <c r="I273" s="405">
        <v>0</v>
      </c>
      <c r="J273" s="405">
        <v>0</v>
      </c>
      <c r="K273" s="405">
        <v>0</v>
      </c>
      <c r="L273" s="405">
        <v>4535</v>
      </c>
      <c r="M273" s="405">
        <v>6952</v>
      </c>
    </row>
    <row r="274" spans="2:13">
      <c r="B274" s="608" t="s">
        <v>561</v>
      </c>
      <c r="C274" s="609"/>
      <c r="D274" s="610"/>
      <c r="E274" s="405">
        <v>0</v>
      </c>
      <c r="F274" s="405">
        <v>0</v>
      </c>
      <c r="G274" s="405">
        <v>410</v>
      </c>
      <c r="H274" s="405">
        <v>984</v>
      </c>
      <c r="I274" s="405">
        <v>0</v>
      </c>
      <c r="J274" s="405">
        <v>1620</v>
      </c>
      <c r="K274" s="405">
        <v>0</v>
      </c>
      <c r="L274" s="405">
        <v>18075</v>
      </c>
      <c r="M274" s="405">
        <v>0</v>
      </c>
    </row>
    <row r="275" spans="2:13">
      <c r="B275" s="608" t="s">
        <v>562</v>
      </c>
      <c r="C275" s="609"/>
      <c r="D275" s="610"/>
      <c r="E275" s="405">
        <v>0</v>
      </c>
      <c r="F275" s="405">
        <v>0</v>
      </c>
      <c r="G275" s="405">
        <v>0</v>
      </c>
      <c r="H275" s="405">
        <v>0</v>
      </c>
      <c r="I275" s="405">
        <v>0</v>
      </c>
      <c r="J275" s="405">
        <v>0</v>
      </c>
      <c r="K275" s="405">
        <v>0</v>
      </c>
      <c r="L275" s="405">
        <v>0</v>
      </c>
      <c r="M275" s="405">
        <v>0</v>
      </c>
    </row>
    <row r="276" spans="2:13">
      <c r="B276" s="608" t="s">
        <v>563</v>
      </c>
      <c r="C276" s="609"/>
      <c r="D276" s="610"/>
      <c r="E276" s="405">
        <v>0</v>
      </c>
      <c r="F276" s="405">
        <v>0</v>
      </c>
      <c r="G276" s="405">
        <v>0</v>
      </c>
      <c r="H276" s="405">
        <v>0</v>
      </c>
      <c r="I276" s="405">
        <v>0</v>
      </c>
      <c r="J276" s="405">
        <v>0</v>
      </c>
      <c r="K276" s="405">
        <v>0</v>
      </c>
      <c r="L276" s="405">
        <v>0</v>
      </c>
      <c r="M276" s="405">
        <v>0</v>
      </c>
    </row>
    <row r="277" spans="2:13">
      <c r="B277" s="608" t="s">
        <v>568</v>
      </c>
      <c r="C277" s="609"/>
      <c r="D277" s="610"/>
      <c r="E277" s="405">
        <v>62181</v>
      </c>
      <c r="F277" s="405">
        <v>10259</v>
      </c>
      <c r="G277" s="405">
        <v>93956</v>
      </c>
      <c r="H277" s="405">
        <v>36512</v>
      </c>
      <c r="I277" s="405">
        <v>0</v>
      </c>
      <c r="J277" s="405">
        <v>0</v>
      </c>
      <c r="K277" s="405">
        <v>108748</v>
      </c>
      <c r="L277" s="405">
        <v>82529</v>
      </c>
      <c r="M277" s="405">
        <v>58299</v>
      </c>
    </row>
    <row r="278" spans="2:13">
      <c r="B278" s="608" t="s">
        <v>623</v>
      </c>
      <c r="C278" s="609"/>
      <c r="D278" s="610"/>
      <c r="E278" s="405">
        <v>0</v>
      </c>
      <c r="F278" s="405">
        <v>5450</v>
      </c>
      <c r="G278" s="405">
        <v>638</v>
      </c>
      <c r="H278" s="405">
        <v>15261</v>
      </c>
      <c r="I278" s="405">
        <v>2800</v>
      </c>
      <c r="J278" s="405">
        <v>0</v>
      </c>
      <c r="K278" s="405">
        <v>381</v>
      </c>
      <c r="L278" s="405">
        <v>0</v>
      </c>
      <c r="M278" s="405">
        <v>5380</v>
      </c>
    </row>
    <row r="279" spans="2:13">
      <c r="B279" s="608" t="s">
        <v>565</v>
      </c>
      <c r="C279" s="609"/>
      <c r="D279" s="610"/>
      <c r="E279" s="405">
        <v>10098</v>
      </c>
      <c r="F279" s="405">
        <v>450</v>
      </c>
      <c r="G279" s="405">
        <v>12313</v>
      </c>
      <c r="H279" s="405">
        <v>3571</v>
      </c>
      <c r="I279" s="405">
        <v>12917</v>
      </c>
      <c r="J279" s="405">
        <v>1511</v>
      </c>
      <c r="K279" s="405">
        <v>8376</v>
      </c>
      <c r="L279" s="405">
        <v>0</v>
      </c>
      <c r="M279" s="405">
        <v>0</v>
      </c>
    </row>
    <row r="280" spans="2:13">
      <c r="B280" s="615" t="s">
        <v>624</v>
      </c>
      <c r="C280" s="609"/>
      <c r="D280" s="610"/>
      <c r="E280" s="400">
        <v>165620</v>
      </c>
      <c r="F280" s="400">
        <v>138765</v>
      </c>
      <c r="G280" s="400">
        <v>485429</v>
      </c>
      <c r="H280" s="400">
        <v>330182</v>
      </c>
      <c r="I280" s="400">
        <v>290817</v>
      </c>
      <c r="J280" s="400">
        <v>281807</v>
      </c>
      <c r="K280" s="400">
        <v>534546</v>
      </c>
      <c r="L280" s="400">
        <v>435916</v>
      </c>
      <c r="M280" s="400">
        <v>571976</v>
      </c>
    </row>
    <row r="281" spans="2:13" s="403" customFormat="1">
      <c r="B281" s="620" t="s">
        <v>462</v>
      </c>
      <c r="C281" s="621"/>
      <c r="D281" s="622"/>
      <c r="E281" s="402">
        <v>13</v>
      </c>
      <c r="F281" s="402">
        <v>19</v>
      </c>
      <c r="G281" s="402">
        <v>28</v>
      </c>
      <c r="H281" s="402">
        <v>60</v>
      </c>
      <c r="I281" s="402">
        <v>62</v>
      </c>
      <c r="J281" s="402">
        <v>63</v>
      </c>
      <c r="K281" s="402">
        <v>79</v>
      </c>
      <c r="L281" s="402">
        <v>150</v>
      </c>
      <c r="M281" s="402">
        <v>142</v>
      </c>
    </row>
    <row r="282" spans="2:13" s="396" customFormat="1" ht="14">
      <c r="B282" s="392"/>
      <c r="C282" s="393" t="s">
        <v>625</v>
      </c>
      <c r="D282" s="394"/>
      <c r="E282" s="395">
        <f>E280/E281</f>
        <v>12740</v>
      </c>
      <c r="F282" s="395">
        <f t="shared" ref="F282:J282" si="25">F280/F281</f>
        <v>7303.4210526315792</v>
      </c>
      <c r="G282" s="395">
        <f t="shared" si="25"/>
        <v>17336.75</v>
      </c>
      <c r="H282" s="395">
        <f t="shared" si="25"/>
        <v>5503.0333333333338</v>
      </c>
      <c r="I282" s="395">
        <f t="shared" si="25"/>
        <v>4690.5967741935483</v>
      </c>
      <c r="J282" s="395">
        <f t="shared" si="25"/>
        <v>4473.1269841269841</v>
      </c>
      <c r="K282" s="395">
        <f>K280/K281</f>
        <v>6766.4050632911394</v>
      </c>
      <c r="L282" s="395">
        <f t="shared" ref="L282:M282" si="26">L280/L281</f>
        <v>2906.1066666666666</v>
      </c>
      <c r="M282" s="395">
        <f t="shared" si="26"/>
        <v>4028</v>
      </c>
    </row>
    <row r="283" spans="2:13" s="399" customFormat="1">
      <c r="B283" s="601" t="s">
        <v>626</v>
      </c>
      <c r="C283" s="602"/>
      <c r="D283" s="603"/>
      <c r="E283" s="404">
        <v>195945</v>
      </c>
      <c r="F283" s="404">
        <v>202234</v>
      </c>
      <c r="G283" s="404">
        <v>485429</v>
      </c>
      <c r="H283" s="404">
        <v>614420</v>
      </c>
      <c r="I283" s="404">
        <v>386270</v>
      </c>
      <c r="J283" s="404">
        <v>629997</v>
      </c>
      <c r="K283" s="404">
        <v>643475</v>
      </c>
      <c r="L283" s="404">
        <v>754948</v>
      </c>
      <c r="M283" s="404">
        <v>1095307</v>
      </c>
    </row>
    <row r="284" spans="2:13">
      <c r="B284" s="608" t="s">
        <v>627</v>
      </c>
      <c r="C284" s="609"/>
      <c r="D284" s="610"/>
      <c r="E284" s="405">
        <v>1307040</v>
      </c>
      <c r="F284" s="405">
        <v>1723608</v>
      </c>
      <c r="G284" s="405">
        <v>5377318</v>
      </c>
      <c r="H284" s="405">
        <v>4702060</v>
      </c>
      <c r="I284" s="405">
        <v>4258715</v>
      </c>
      <c r="J284" s="405">
        <v>5067772</v>
      </c>
      <c r="K284" s="405">
        <v>6426667</v>
      </c>
      <c r="L284" s="405">
        <v>10411720</v>
      </c>
      <c r="M284" s="405">
        <v>11513797</v>
      </c>
    </row>
    <row r="285" spans="2:13">
      <c r="B285" s="615" t="s">
        <v>628</v>
      </c>
      <c r="C285" s="609"/>
      <c r="D285" s="610"/>
      <c r="E285" s="400">
        <v>1307040</v>
      </c>
      <c r="F285" s="400">
        <v>1723608</v>
      </c>
      <c r="G285" s="400">
        <v>5377318</v>
      </c>
      <c r="H285" s="400">
        <v>4702060</v>
      </c>
      <c r="I285" s="400">
        <v>4258715</v>
      </c>
      <c r="J285" s="400">
        <v>5067772</v>
      </c>
      <c r="K285" s="400">
        <v>6426667</v>
      </c>
      <c r="L285" s="400">
        <v>10411720</v>
      </c>
      <c r="M285" s="400">
        <v>11513797</v>
      </c>
    </row>
    <row r="286" spans="2:13">
      <c r="B286" s="615" t="s">
        <v>629</v>
      </c>
      <c r="C286" s="609"/>
      <c r="D286" s="610"/>
      <c r="E286" s="400">
        <v>-122253</v>
      </c>
      <c r="F286" s="400">
        <v>93360</v>
      </c>
      <c r="G286" s="400">
        <v>-1401615</v>
      </c>
      <c r="H286" s="400">
        <v>-78839</v>
      </c>
      <c r="I286" s="400">
        <v>422987</v>
      </c>
      <c r="J286" s="400">
        <v>110956</v>
      </c>
      <c r="K286" s="400">
        <v>392830</v>
      </c>
      <c r="L286" s="400">
        <v>653852</v>
      </c>
      <c r="M286" s="400">
        <v>257085</v>
      </c>
    </row>
    <row r="287" spans="2:13" s="411" customFormat="1">
      <c r="B287" s="616" t="s">
        <v>630</v>
      </c>
      <c r="C287" s="617"/>
      <c r="D287" s="618"/>
      <c r="E287" s="410"/>
      <c r="F287" s="410"/>
      <c r="G287" s="410"/>
      <c r="H287" s="410"/>
      <c r="I287" s="410"/>
      <c r="J287" s="410"/>
      <c r="K287" s="410"/>
      <c r="L287" s="410"/>
      <c r="M287" s="410"/>
    </row>
    <row r="288" spans="2:13" s="430" customFormat="1">
      <c r="B288" s="604" t="s">
        <v>631</v>
      </c>
      <c r="C288" s="605"/>
      <c r="D288" s="606"/>
      <c r="E288" s="429"/>
      <c r="F288" s="429"/>
      <c r="G288" s="429"/>
      <c r="H288" s="429"/>
      <c r="I288" s="429"/>
      <c r="J288" s="429"/>
      <c r="K288" s="429"/>
      <c r="L288" s="429"/>
      <c r="M288" s="429"/>
    </row>
    <row r="289" spans="2:13">
      <c r="B289" s="608" t="s">
        <v>632</v>
      </c>
      <c r="C289" s="609"/>
      <c r="D289" s="610"/>
      <c r="E289" s="388"/>
      <c r="F289" s="388"/>
      <c r="G289" s="388"/>
      <c r="H289" s="388"/>
      <c r="I289" s="388"/>
      <c r="J289" s="388"/>
      <c r="K289" s="388"/>
      <c r="L289" s="388"/>
      <c r="M289" s="388"/>
    </row>
    <row r="290" spans="2:13">
      <c r="B290" s="608" t="s">
        <v>633</v>
      </c>
      <c r="C290" s="609"/>
      <c r="D290" s="610"/>
      <c r="E290" s="405">
        <v>0</v>
      </c>
      <c r="F290" s="405">
        <v>0</v>
      </c>
      <c r="G290" s="405">
        <v>0</v>
      </c>
      <c r="H290" s="405">
        <v>427</v>
      </c>
      <c r="I290" s="405">
        <v>0</v>
      </c>
      <c r="J290" s="405">
        <v>0</v>
      </c>
      <c r="K290" s="405">
        <v>0</v>
      </c>
      <c r="L290" s="405">
        <v>0</v>
      </c>
      <c r="M290" s="405">
        <v>0</v>
      </c>
    </row>
    <row r="291" spans="2:13">
      <c r="B291" s="608" t="s">
        <v>634</v>
      </c>
      <c r="C291" s="609"/>
      <c r="D291" s="610"/>
      <c r="E291" s="405">
        <v>0</v>
      </c>
      <c r="F291" s="405">
        <v>0</v>
      </c>
      <c r="G291" s="405">
        <v>0</v>
      </c>
      <c r="H291" s="405">
        <v>0</v>
      </c>
      <c r="I291" s="405">
        <v>0</v>
      </c>
      <c r="J291" s="405">
        <v>0</v>
      </c>
      <c r="K291" s="405">
        <v>0</v>
      </c>
      <c r="L291" s="405">
        <v>0</v>
      </c>
      <c r="M291" s="405">
        <v>0</v>
      </c>
    </row>
    <row r="292" spans="2:13">
      <c r="B292" s="608" t="s">
        <v>635</v>
      </c>
      <c r="C292" s="609"/>
      <c r="D292" s="610"/>
      <c r="E292" s="405">
        <v>0</v>
      </c>
      <c r="F292" s="405">
        <v>0</v>
      </c>
      <c r="G292" s="405">
        <v>0</v>
      </c>
      <c r="H292" s="405">
        <v>0</v>
      </c>
      <c r="I292" s="405">
        <v>0</v>
      </c>
      <c r="J292" s="405">
        <v>0</v>
      </c>
      <c r="K292" s="405">
        <v>0</v>
      </c>
      <c r="L292" s="405">
        <v>0</v>
      </c>
      <c r="M292" s="405">
        <v>0</v>
      </c>
    </row>
    <row r="293" spans="2:13">
      <c r="B293" s="608" t="s">
        <v>636</v>
      </c>
      <c r="C293" s="609"/>
      <c r="D293" s="610"/>
      <c r="E293" s="405">
        <v>0</v>
      </c>
      <c r="F293" s="405">
        <v>0</v>
      </c>
      <c r="G293" s="405">
        <v>495</v>
      </c>
      <c r="H293" s="405">
        <v>0</v>
      </c>
      <c r="I293" s="405">
        <v>0</v>
      </c>
      <c r="J293" s="405">
        <v>0</v>
      </c>
      <c r="K293" s="405">
        <v>0</v>
      </c>
      <c r="L293" s="405">
        <v>0</v>
      </c>
      <c r="M293" s="405">
        <v>0</v>
      </c>
    </row>
    <row r="294" spans="2:13">
      <c r="B294" s="615" t="s">
        <v>637</v>
      </c>
      <c r="C294" s="609"/>
      <c r="D294" s="610"/>
      <c r="E294" s="400">
        <v>0</v>
      </c>
      <c r="F294" s="400">
        <v>0</v>
      </c>
      <c r="G294" s="400">
        <v>495</v>
      </c>
      <c r="H294" s="400">
        <v>427</v>
      </c>
      <c r="I294" s="400">
        <v>0</v>
      </c>
      <c r="J294" s="400">
        <v>0</v>
      </c>
      <c r="K294" s="400">
        <v>0</v>
      </c>
      <c r="L294" s="400">
        <v>0</v>
      </c>
      <c r="M294" s="400">
        <v>0</v>
      </c>
    </row>
    <row r="295" spans="2:13" s="430" customFormat="1">
      <c r="B295" s="604" t="s">
        <v>638</v>
      </c>
      <c r="C295" s="605"/>
      <c r="D295" s="606"/>
      <c r="E295" s="429"/>
      <c r="F295" s="429"/>
      <c r="G295" s="429"/>
      <c r="H295" s="429"/>
      <c r="I295" s="429"/>
      <c r="J295" s="429"/>
      <c r="K295" s="429"/>
      <c r="L295" s="429"/>
      <c r="M295" s="429"/>
    </row>
    <row r="296" spans="2:13">
      <c r="B296" s="608" t="s">
        <v>639</v>
      </c>
      <c r="C296" s="609"/>
      <c r="D296" s="610"/>
      <c r="E296" s="388"/>
      <c r="F296" s="388"/>
      <c r="G296" s="388"/>
      <c r="H296" s="388"/>
      <c r="I296" s="388"/>
      <c r="J296" s="388"/>
      <c r="K296" s="388"/>
      <c r="L296" s="388"/>
      <c r="M296" s="388"/>
    </row>
    <row r="297" spans="2:13">
      <c r="B297" s="608" t="s">
        <v>640</v>
      </c>
      <c r="C297" s="609"/>
      <c r="D297" s="610"/>
      <c r="E297" s="405">
        <v>1044</v>
      </c>
      <c r="F297" s="405">
        <v>1653</v>
      </c>
      <c r="G297" s="405">
        <v>10294</v>
      </c>
      <c r="H297" s="405">
        <v>7828</v>
      </c>
      <c r="I297" s="405">
        <v>15872</v>
      </c>
      <c r="J297" s="405">
        <v>9747</v>
      </c>
      <c r="K297" s="405">
        <v>34368</v>
      </c>
      <c r="L297" s="405">
        <v>6331</v>
      </c>
      <c r="M297" s="405">
        <v>7721</v>
      </c>
    </row>
    <row r="298" spans="2:13">
      <c r="B298" s="608" t="s">
        <v>7</v>
      </c>
      <c r="C298" s="609"/>
      <c r="D298" s="610"/>
      <c r="E298" s="405">
        <v>0</v>
      </c>
      <c r="F298" s="405">
        <v>0</v>
      </c>
      <c r="G298" s="405">
        <v>2760</v>
      </c>
      <c r="H298" s="405">
        <v>0</v>
      </c>
      <c r="I298" s="405">
        <v>0</v>
      </c>
      <c r="J298" s="405">
        <v>0</v>
      </c>
      <c r="K298" s="405">
        <v>30727</v>
      </c>
      <c r="L298" s="405">
        <v>0</v>
      </c>
      <c r="M298" s="405">
        <v>81730</v>
      </c>
    </row>
    <row r="299" spans="2:13">
      <c r="B299" s="608" t="s">
        <v>641</v>
      </c>
      <c r="C299" s="609"/>
      <c r="D299" s="610"/>
      <c r="E299" s="405">
        <v>0</v>
      </c>
      <c r="F299" s="405">
        <v>0</v>
      </c>
      <c r="G299" s="405">
        <v>0</v>
      </c>
      <c r="H299" s="405">
        <v>0</v>
      </c>
      <c r="I299" s="405">
        <v>0</v>
      </c>
      <c r="J299" s="405">
        <v>0</v>
      </c>
      <c r="K299" s="405">
        <v>7793</v>
      </c>
      <c r="L299" s="405">
        <v>0</v>
      </c>
      <c r="M299" s="405">
        <v>0</v>
      </c>
    </row>
    <row r="300" spans="2:13">
      <c r="B300" s="608" t="s">
        <v>642</v>
      </c>
      <c r="C300" s="609"/>
      <c r="D300" s="610"/>
      <c r="E300" s="405">
        <v>0</v>
      </c>
      <c r="F300" s="405">
        <v>1170</v>
      </c>
      <c r="G300" s="405">
        <v>800</v>
      </c>
      <c r="H300" s="405">
        <v>3285</v>
      </c>
      <c r="I300" s="405">
        <v>2534</v>
      </c>
      <c r="J300" s="405">
        <v>4032</v>
      </c>
      <c r="K300" s="405">
        <v>11873</v>
      </c>
      <c r="L300" s="405">
        <v>34662</v>
      </c>
      <c r="M300" s="405">
        <v>8447</v>
      </c>
    </row>
    <row r="301" spans="2:13">
      <c r="B301" s="608" t="s">
        <v>643</v>
      </c>
      <c r="C301" s="609"/>
      <c r="D301" s="610"/>
      <c r="E301" s="405">
        <v>0</v>
      </c>
      <c r="F301" s="405">
        <v>0</v>
      </c>
      <c r="G301" s="405">
        <v>0</v>
      </c>
      <c r="H301" s="405">
        <v>0</v>
      </c>
      <c r="I301" s="405">
        <v>0</v>
      </c>
      <c r="J301" s="405">
        <v>0</v>
      </c>
      <c r="K301" s="405">
        <v>0</v>
      </c>
      <c r="L301" s="405">
        <v>0</v>
      </c>
      <c r="M301" s="405">
        <v>0</v>
      </c>
    </row>
    <row r="302" spans="2:13">
      <c r="B302" s="615" t="s">
        <v>644</v>
      </c>
      <c r="C302" s="609"/>
      <c r="D302" s="610"/>
      <c r="E302" s="400">
        <v>1044</v>
      </c>
      <c r="F302" s="400">
        <v>2823</v>
      </c>
      <c r="G302" s="400">
        <v>13854</v>
      </c>
      <c r="H302" s="400">
        <v>11113</v>
      </c>
      <c r="I302" s="400">
        <v>18406</v>
      </c>
      <c r="J302" s="400">
        <v>13779</v>
      </c>
      <c r="K302" s="400">
        <v>84761</v>
      </c>
      <c r="L302" s="400">
        <v>40993</v>
      </c>
      <c r="M302" s="400">
        <v>97898</v>
      </c>
    </row>
    <row r="303" spans="2:13">
      <c r="B303" s="608" t="s">
        <v>588</v>
      </c>
      <c r="C303" s="609"/>
      <c r="D303" s="610"/>
      <c r="E303" s="388"/>
      <c r="F303" s="388"/>
      <c r="G303" s="388"/>
      <c r="H303" s="388"/>
      <c r="I303" s="388"/>
      <c r="J303" s="388"/>
      <c r="K303" s="388"/>
      <c r="L303" s="388"/>
      <c r="M303" s="388"/>
    </row>
    <row r="304" spans="2:13">
      <c r="B304" s="608" t="s">
        <v>7</v>
      </c>
      <c r="C304" s="609"/>
      <c r="D304" s="610"/>
      <c r="E304" s="405">
        <v>0</v>
      </c>
      <c r="F304" s="405">
        <v>0</v>
      </c>
      <c r="G304" s="405">
        <v>0</v>
      </c>
      <c r="H304" s="405">
        <v>0</v>
      </c>
      <c r="I304" s="405">
        <v>0</v>
      </c>
      <c r="J304" s="405">
        <v>0</v>
      </c>
      <c r="K304" s="405">
        <v>0</v>
      </c>
      <c r="L304" s="405">
        <v>0</v>
      </c>
      <c r="M304" s="405">
        <v>0</v>
      </c>
    </row>
    <row r="305" spans="2:13">
      <c r="B305" s="615" t="s">
        <v>590</v>
      </c>
      <c r="C305" s="609"/>
      <c r="D305" s="610"/>
      <c r="E305" s="400">
        <v>0</v>
      </c>
      <c r="F305" s="400">
        <v>0</v>
      </c>
      <c r="G305" s="400">
        <v>0</v>
      </c>
      <c r="H305" s="400">
        <v>0</v>
      </c>
      <c r="I305" s="400">
        <v>0</v>
      </c>
      <c r="J305" s="400">
        <v>0</v>
      </c>
      <c r="K305" s="400">
        <v>0</v>
      </c>
      <c r="L305" s="400">
        <v>0</v>
      </c>
      <c r="M305" s="400">
        <v>0</v>
      </c>
    </row>
    <row r="306" spans="2:13">
      <c r="B306" s="608" t="s">
        <v>541</v>
      </c>
      <c r="C306" s="609"/>
      <c r="D306" s="610"/>
      <c r="E306" s="388"/>
      <c r="F306" s="388"/>
      <c r="G306" s="388"/>
      <c r="H306" s="388"/>
      <c r="I306" s="388"/>
      <c r="J306" s="388"/>
      <c r="K306" s="388"/>
      <c r="L306" s="388"/>
      <c r="M306" s="388"/>
    </row>
    <row r="307" spans="2:13">
      <c r="B307" s="608" t="s">
        <v>645</v>
      </c>
      <c r="C307" s="609"/>
      <c r="D307" s="610"/>
      <c r="E307" s="405">
        <v>0</v>
      </c>
      <c r="F307" s="405">
        <v>0</v>
      </c>
      <c r="G307" s="405">
        <v>0</v>
      </c>
      <c r="H307" s="405">
        <v>0</v>
      </c>
      <c r="I307" s="405">
        <v>0</v>
      </c>
      <c r="J307" s="405">
        <v>0</v>
      </c>
      <c r="K307" s="405">
        <v>0</v>
      </c>
      <c r="L307" s="405">
        <v>0</v>
      </c>
      <c r="M307" s="405">
        <v>0</v>
      </c>
    </row>
    <row r="308" spans="2:13">
      <c r="B308" s="615" t="s">
        <v>542</v>
      </c>
      <c r="C308" s="609"/>
      <c r="D308" s="610"/>
      <c r="E308" s="400">
        <v>0</v>
      </c>
      <c r="F308" s="400">
        <v>0</v>
      </c>
      <c r="G308" s="400">
        <v>0</v>
      </c>
      <c r="H308" s="400">
        <v>0</v>
      </c>
      <c r="I308" s="400">
        <v>0</v>
      </c>
      <c r="J308" s="400">
        <v>0</v>
      </c>
      <c r="K308" s="400">
        <v>0</v>
      </c>
      <c r="L308" s="400">
        <v>0</v>
      </c>
      <c r="M308" s="400">
        <v>0</v>
      </c>
    </row>
    <row r="309" spans="2:13">
      <c r="B309" s="615" t="s">
        <v>646</v>
      </c>
      <c r="C309" s="609"/>
      <c r="D309" s="610"/>
      <c r="E309" s="400">
        <v>1044</v>
      </c>
      <c r="F309" s="400">
        <v>2823</v>
      </c>
      <c r="G309" s="400">
        <v>13854</v>
      </c>
      <c r="H309" s="400">
        <v>11113</v>
      </c>
      <c r="I309" s="400">
        <v>18406</v>
      </c>
      <c r="J309" s="400">
        <v>13779</v>
      </c>
      <c r="K309" s="400">
        <v>84761</v>
      </c>
      <c r="L309" s="400">
        <v>40993</v>
      </c>
      <c r="M309" s="400">
        <v>97898</v>
      </c>
    </row>
    <row r="310" spans="2:13">
      <c r="B310" s="615" t="s">
        <v>392</v>
      </c>
      <c r="C310" s="609"/>
      <c r="D310" s="610"/>
      <c r="E310" s="400">
        <v>-1044</v>
      </c>
      <c r="F310" s="400">
        <v>-2823</v>
      </c>
      <c r="G310" s="400">
        <v>-13359</v>
      </c>
      <c r="H310" s="400">
        <v>-10686</v>
      </c>
      <c r="I310" s="400">
        <v>-18406</v>
      </c>
      <c r="J310" s="400">
        <v>-13779</v>
      </c>
      <c r="K310" s="400">
        <v>-84761</v>
      </c>
      <c r="L310" s="400">
        <v>-40993</v>
      </c>
      <c r="M310" s="400">
        <v>-97898</v>
      </c>
    </row>
    <row r="311" spans="2:13" s="391" customFormat="1">
      <c r="B311" s="611" t="s">
        <v>462</v>
      </c>
      <c r="C311" s="612"/>
      <c r="D311" s="613"/>
      <c r="E311" s="390">
        <v>13</v>
      </c>
      <c r="F311" s="390">
        <v>19</v>
      </c>
      <c r="G311" s="390">
        <v>28</v>
      </c>
      <c r="H311" s="390">
        <v>60</v>
      </c>
      <c r="I311" s="390">
        <v>62</v>
      </c>
      <c r="J311" s="390">
        <v>63</v>
      </c>
      <c r="K311" s="390">
        <v>79</v>
      </c>
      <c r="L311" s="390">
        <v>150</v>
      </c>
      <c r="M311" s="390">
        <v>142</v>
      </c>
    </row>
    <row r="312" spans="2:13" s="396" customFormat="1" ht="14">
      <c r="B312" s="392"/>
      <c r="C312" s="393" t="s">
        <v>647</v>
      </c>
      <c r="D312" s="394"/>
      <c r="E312" s="395">
        <f>E310/E311</f>
        <v>-80.307692307692307</v>
      </c>
      <c r="F312" s="395">
        <f t="shared" ref="F312:J312" si="27">F310/F311</f>
        <v>-148.57894736842104</v>
      </c>
      <c r="G312" s="395">
        <f t="shared" si="27"/>
        <v>-477.10714285714283</v>
      </c>
      <c r="H312" s="395">
        <f t="shared" si="27"/>
        <v>-178.1</v>
      </c>
      <c r="I312" s="395">
        <f t="shared" si="27"/>
        <v>-296.87096774193549</v>
      </c>
      <c r="J312" s="395">
        <f t="shared" si="27"/>
        <v>-218.71428571428572</v>
      </c>
      <c r="K312" s="395">
        <f>K310/K311</f>
        <v>-1072.9240506329113</v>
      </c>
      <c r="L312" s="395">
        <f t="shared" ref="L312:M312" si="28">L310/L311</f>
        <v>-273.28666666666669</v>
      </c>
      <c r="M312" s="395">
        <f t="shared" si="28"/>
        <v>-689.42253521126759</v>
      </c>
    </row>
    <row r="313" spans="2:13" s="399" customFormat="1">
      <c r="B313" s="614" t="s">
        <v>648</v>
      </c>
      <c r="C313" s="602"/>
      <c r="D313" s="603"/>
      <c r="E313" s="398">
        <v>-123297</v>
      </c>
      <c r="F313" s="398">
        <v>90537</v>
      </c>
      <c r="G313" s="398">
        <v>-1414974</v>
      </c>
      <c r="H313" s="398">
        <v>-89525</v>
      </c>
      <c r="I313" s="398">
        <v>404581</v>
      </c>
      <c r="J313" s="398">
        <v>97177</v>
      </c>
      <c r="K313" s="398">
        <v>308069</v>
      </c>
      <c r="L313" s="398">
        <v>612859</v>
      </c>
      <c r="M313" s="398">
        <v>159187</v>
      </c>
    </row>
    <row r="314" spans="2:13">
      <c r="B314" s="615" t="s">
        <v>649</v>
      </c>
      <c r="C314" s="609"/>
      <c r="D314" s="610"/>
      <c r="E314" s="400">
        <v>-123297</v>
      </c>
      <c r="F314" s="400">
        <v>90537</v>
      </c>
      <c r="G314" s="400">
        <v>-1414974</v>
      </c>
      <c r="H314" s="400">
        <v>-89525</v>
      </c>
      <c r="I314" s="400">
        <v>404581</v>
      </c>
      <c r="J314" s="400">
        <v>97177</v>
      </c>
      <c r="K314" s="400">
        <v>308069</v>
      </c>
      <c r="L314" s="400">
        <v>612859</v>
      </c>
      <c r="M314" s="400">
        <v>159187</v>
      </c>
    </row>
    <row r="315" spans="2:13" s="430" customFormat="1">
      <c r="B315" s="635" t="s">
        <v>650</v>
      </c>
      <c r="C315" s="605"/>
      <c r="D315" s="606"/>
      <c r="E315" s="429"/>
      <c r="F315" s="429"/>
      <c r="G315" s="429"/>
      <c r="H315" s="429"/>
      <c r="I315" s="429"/>
      <c r="J315" s="429"/>
      <c r="K315" s="429"/>
      <c r="L315" s="429"/>
      <c r="M315" s="429"/>
    </row>
    <row r="316" spans="2:13" s="420" customFormat="1">
      <c r="B316" s="628" t="s">
        <v>651</v>
      </c>
      <c r="C316" s="629"/>
      <c r="D316" s="630"/>
      <c r="E316" s="421"/>
      <c r="F316" s="421"/>
      <c r="G316" s="421"/>
      <c r="H316" s="421"/>
      <c r="I316" s="421"/>
      <c r="J316" s="421"/>
      <c r="K316" s="421"/>
      <c r="L316" s="421"/>
      <c r="M316" s="421"/>
    </row>
    <row r="317" spans="2:13" s="420" customFormat="1">
      <c r="B317" s="628" t="s">
        <v>652</v>
      </c>
      <c r="C317" s="629"/>
      <c r="D317" s="630"/>
      <c r="E317" s="422">
        <v>0</v>
      </c>
      <c r="F317" s="422">
        <v>0</v>
      </c>
      <c r="G317" s="422">
        <v>0</v>
      </c>
      <c r="H317" s="422">
        <v>0</v>
      </c>
      <c r="I317" s="422">
        <v>0</v>
      </c>
      <c r="J317" s="422">
        <v>49881</v>
      </c>
      <c r="K317" s="422">
        <v>0</v>
      </c>
      <c r="L317" s="422">
        <v>0</v>
      </c>
      <c r="M317" s="422">
        <v>0</v>
      </c>
    </row>
    <row r="318" spans="2:13" s="420" customFormat="1">
      <c r="B318" s="628" t="s">
        <v>653</v>
      </c>
      <c r="C318" s="629"/>
      <c r="D318" s="630"/>
      <c r="E318" s="422">
        <v>0</v>
      </c>
      <c r="F318" s="422">
        <v>0</v>
      </c>
      <c r="G318" s="422">
        <v>0</v>
      </c>
      <c r="H318" s="422">
        <v>0</v>
      </c>
      <c r="I318" s="422">
        <v>0</v>
      </c>
      <c r="J318" s="422">
        <v>0</v>
      </c>
      <c r="K318" s="422">
        <v>0</v>
      </c>
      <c r="L318" s="422">
        <v>0</v>
      </c>
      <c r="M318" s="422">
        <v>0</v>
      </c>
    </row>
    <row r="319" spans="2:13" s="420" customFormat="1">
      <c r="B319" s="628" t="s">
        <v>654</v>
      </c>
      <c r="C319" s="629"/>
      <c r="D319" s="630"/>
      <c r="E319" s="422">
        <v>0</v>
      </c>
      <c r="F319" s="422">
        <v>0</v>
      </c>
      <c r="G319" s="422">
        <v>0</v>
      </c>
      <c r="H319" s="422">
        <v>0</v>
      </c>
      <c r="I319" s="422">
        <v>0</v>
      </c>
      <c r="J319" s="422">
        <v>49881</v>
      </c>
      <c r="K319" s="422">
        <v>0</v>
      </c>
      <c r="L319" s="422">
        <v>0</v>
      </c>
      <c r="M319" s="422">
        <v>0</v>
      </c>
    </row>
    <row r="320" spans="2:13" s="420" customFormat="1">
      <c r="B320" s="631" t="s">
        <v>655</v>
      </c>
      <c r="C320" s="629"/>
      <c r="D320" s="630"/>
      <c r="E320" s="423">
        <v>-123297</v>
      </c>
      <c r="F320" s="423">
        <v>90537</v>
      </c>
      <c r="G320" s="423">
        <v>-1414974</v>
      </c>
      <c r="H320" s="423">
        <v>-89525</v>
      </c>
      <c r="I320" s="423">
        <v>404581</v>
      </c>
      <c r="J320" s="423">
        <v>47296</v>
      </c>
      <c r="K320" s="423">
        <v>308069</v>
      </c>
      <c r="L320" s="423">
        <v>612859</v>
      </c>
      <c r="M320" s="423">
        <v>159187</v>
      </c>
    </row>
    <row r="321" spans="2:13" s="425" customFormat="1" ht="20" customHeight="1">
      <c r="B321" s="632" t="s">
        <v>656</v>
      </c>
      <c r="C321" s="633"/>
      <c r="D321" s="634"/>
      <c r="E321" s="424"/>
      <c r="F321" s="424"/>
      <c r="G321" s="424"/>
      <c r="H321" s="424"/>
      <c r="I321" s="424"/>
      <c r="J321" s="424"/>
      <c r="K321" s="424"/>
      <c r="L321" s="424"/>
      <c r="M321" s="424"/>
    </row>
    <row r="322" spans="2:13" s="420" customFormat="1">
      <c r="B322" s="631" t="s">
        <v>657</v>
      </c>
      <c r="C322" s="629"/>
      <c r="D322" s="630"/>
      <c r="E322" s="419"/>
      <c r="F322" s="419"/>
      <c r="G322" s="419"/>
      <c r="H322" s="419"/>
      <c r="I322" s="419"/>
      <c r="J322" s="419"/>
      <c r="K322" s="419"/>
      <c r="L322" s="419"/>
      <c r="M322" s="419"/>
    </row>
    <row r="323" spans="2:13" s="420" customFormat="1">
      <c r="B323" s="631" t="s">
        <v>658</v>
      </c>
      <c r="C323" s="629"/>
      <c r="D323" s="630"/>
      <c r="E323" s="419"/>
      <c r="F323" s="419"/>
      <c r="G323" s="419"/>
      <c r="H323" s="419"/>
      <c r="I323" s="419"/>
      <c r="J323" s="419"/>
      <c r="K323" s="419"/>
      <c r="L323" s="419"/>
      <c r="M323" s="419"/>
    </row>
    <row r="324" spans="2:13" s="430" customFormat="1" ht="14" customHeight="1">
      <c r="B324" s="604" t="s">
        <v>659</v>
      </c>
      <c r="C324" s="605"/>
      <c r="D324" s="606"/>
      <c r="E324" s="429"/>
      <c r="F324" s="429"/>
      <c r="G324" s="429"/>
      <c r="H324" s="429"/>
      <c r="I324" s="429"/>
      <c r="J324" s="429"/>
      <c r="K324" s="429"/>
      <c r="L324" s="429"/>
      <c r="M324" s="429"/>
    </row>
    <row r="325" spans="2:13">
      <c r="B325" s="608" t="s">
        <v>660</v>
      </c>
      <c r="C325" s="609"/>
      <c r="D325" s="610"/>
      <c r="E325" s="388"/>
      <c r="F325" s="388"/>
      <c r="G325" s="388"/>
      <c r="H325" s="388"/>
      <c r="I325" s="388"/>
      <c r="J325" s="388"/>
      <c r="K325" s="388"/>
      <c r="L325" s="388"/>
      <c r="M325" s="388"/>
    </row>
    <row r="326" spans="2:13">
      <c r="B326" s="608" t="s">
        <v>661</v>
      </c>
      <c r="C326" s="609"/>
      <c r="D326" s="610"/>
      <c r="E326" s="405">
        <v>0</v>
      </c>
      <c r="F326" s="405">
        <v>0</v>
      </c>
      <c r="G326" s="405">
        <v>0</v>
      </c>
      <c r="H326" s="405">
        <v>0</v>
      </c>
      <c r="I326" s="405">
        <v>0</v>
      </c>
      <c r="J326" s="405">
        <v>0</v>
      </c>
      <c r="K326" s="405">
        <v>0</v>
      </c>
      <c r="L326" s="405">
        <v>0</v>
      </c>
      <c r="M326" s="405">
        <v>0</v>
      </c>
    </row>
    <row r="327" spans="2:13">
      <c r="B327" s="608" t="s">
        <v>662</v>
      </c>
      <c r="C327" s="609"/>
      <c r="D327" s="610"/>
      <c r="E327" s="405">
        <v>0</v>
      </c>
      <c r="F327" s="405">
        <v>0</v>
      </c>
      <c r="G327" s="405">
        <v>0</v>
      </c>
      <c r="H327" s="405">
        <v>0</v>
      </c>
      <c r="I327" s="405">
        <v>0</v>
      </c>
      <c r="J327" s="405">
        <v>0</v>
      </c>
      <c r="K327" s="405">
        <v>0</v>
      </c>
      <c r="L327" s="405">
        <v>0</v>
      </c>
      <c r="M327" s="405">
        <v>0</v>
      </c>
    </row>
    <row r="328" spans="2:13">
      <c r="B328" s="608" t="s">
        <v>663</v>
      </c>
      <c r="C328" s="609"/>
      <c r="D328" s="610"/>
      <c r="E328" s="405">
        <v>0</v>
      </c>
      <c r="F328" s="405">
        <v>0</v>
      </c>
      <c r="G328" s="405">
        <v>0</v>
      </c>
      <c r="H328" s="405">
        <v>0</v>
      </c>
      <c r="I328" s="405">
        <v>0</v>
      </c>
      <c r="J328" s="405">
        <v>0</v>
      </c>
      <c r="K328" s="405">
        <v>0</v>
      </c>
      <c r="L328" s="405">
        <v>0</v>
      </c>
      <c r="M328" s="405">
        <v>0</v>
      </c>
    </row>
    <row r="329" spans="2:13">
      <c r="B329" s="608" t="s">
        <v>664</v>
      </c>
      <c r="C329" s="609"/>
      <c r="D329" s="610"/>
      <c r="E329" s="405">
        <v>0</v>
      </c>
      <c r="F329" s="405">
        <v>0</v>
      </c>
      <c r="G329" s="405">
        <v>0</v>
      </c>
      <c r="H329" s="405">
        <v>0</v>
      </c>
      <c r="I329" s="405">
        <v>0</v>
      </c>
      <c r="J329" s="405">
        <v>0</v>
      </c>
      <c r="K329" s="405">
        <v>0</v>
      </c>
      <c r="L329" s="405">
        <v>0</v>
      </c>
      <c r="M329" s="405">
        <v>0</v>
      </c>
    </row>
    <row r="330" spans="2:13">
      <c r="B330" s="615" t="s">
        <v>665</v>
      </c>
      <c r="C330" s="609"/>
      <c r="D330" s="610"/>
      <c r="E330" s="400">
        <v>0</v>
      </c>
      <c r="F330" s="400">
        <v>0</v>
      </c>
      <c r="G330" s="400">
        <v>0</v>
      </c>
      <c r="H330" s="400">
        <v>0</v>
      </c>
      <c r="I330" s="400">
        <v>0</v>
      </c>
      <c r="J330" s="400">
        <v>0</v>
      </c>
      <c r="K330" s="400">
        <v>0</v>
      </c>
      <c r="L330" s="400">
        <v>0</v>
      </c>
      <c r="M330" s="400">
        <v>0</v>
      </c>
    </row>
    <row r="331" spans="2:13" s="430" customFormat="1">
      <c r="B331" s="604" t="s">
        <v>666</v>
      </c>
      <c r="C331" s="605"/>
      <c r="D331" s="606"/>
      <c r="E331" s="429"/>
      <c r="F331" s="429"/>
      <c r="G331" s="429"/>
      <c r="H331" s="429"/>
      <c r="I331" s="429"/>
      <c r="J331" s="429"/>
      <c r="K331" s="429"/>
      <c r="L331" s="429"/>
      <c r="M331" s="429"/>
    </row>
    <row r="332" spans="2:13">
      <c r="B332" s="608" t="s">
        <v>667</v>
      </c>
      <c r="C332" s="609"/>
      <c r="D332" s="610"/>
      <c r="E332" s="388"/>
      <c r="F332" s="388"/>
      <c r="G332" s="388"/>
      <c r="H332" s="388"/>
      <c r="I332" s="388"/>
      <c r="J332" s="388"/>
      <c r="K332" s="388"/>
      <c r="L332" s="388"/>
      <c r="M332" s="388"/>
    </row>
    <row r="333" spans="2:13">
      <c r="B333" s="608" t="s">
        <v>668</v>
      </c>
      <c r="C333" s="609"/>
      <c r="D333" s="610"/>
      <c r="E333" s="388"/>
      <c r="F333" s="388"/>
      <c r="G333" s="388"/>
      <c r="H333" s="388"/>
      <c r="I333" s="388"/>
      <c r="J333" s="388"/>
      <c r="K333" s="388"/>
      <c r="L333" s="388"/>
      <c r="M333" s="388"/>
    </row>
    <row r="334" spans="2:13">
      <c r="B334" s="608" t="s">
        <v>669</v>
      </c>
      <c r="C334" s="609"/>
      <c r="D334" s="610"/>
      <c r="E334" s="405">
        <v>27100</v>
      </c>
      <c r="F334" s="405">
        <v>0</v>
      </c>
      <c r="G334" s="405">
        <v>0</v>
      </c>
      <c r="H334" s="405">
        <v>0</v>
      </c>
      <c r="I334" s="405">
        <v>103750</v>
      </c>
      <c r="J334" s="405">
        <v>0</v>
      </c>
      <c r="K334" s="405">
        <v>0</v>
      </c>
      <c r="L334" s="405">
        <v>589089</v>
      </c>
      <c r="M334" s="405">
        <v>0</v>
      </c>
    </row>
    <row r="335" spans="2:13">
      <c r="B335" s="608" t="s">
        <v>670</v>
      </c>
      <c r="C335" s="609"/>
      <c r="D335" s="610"/>
      <c r="E335" s="405">
        <v>0</v>
      </c>
      <c r="F335" s="405">
        <v>0</v>
      </c>
      <c r="G335" s="405">
        <v>0</v>
      </c>
      <c r="H335" s="405">
        <v>0</v>
      </c>
      <c r="I335" s="405">
        <v>0</v>
      </c>
      <c r="J335" s="405">
        <v>0</v>
      </c>
      <c r="K335" s="405">
        <v>0</v>
      </c>
      <c r="L335" s="405">
        <v>0</v>
      </c>
      <c r="M335" s="405">
        <v>0</v>
      </c>
    </row>
    <row r="336" spans="2:13">
      <c r="B336" s="608" t="s">
        <v>671</v>
      </c>
      <c r="C336" s="609"/>
      <c r="D336" s="610"/>
      <c r="E336" s="405">
        <v>0</v>
      </c>
      <c r="F336" s="405">
        <v>0</v>
      </c>
      <c r="G336" s="405">
        <v>62476</v>
      </c>
      <c r="H336" s="405">
        <v>0</v>
      </c>
      <c r="I336" s="405">
        <v>117283</v>
      </c>
      <c r="J336" s="405">
        <v>0</v>
      </c>
      <c r="K336" s="405">
        <v>0</v>
      </c>
      <c r="L336" s="405">
        <v>263004</v>
      </c>
      <c r="M336" s="405">
        <v>288233</v>
      </c>
    </row>
    <row r="337" spans="2:13">
      <c r="B337" s="608" t="s">
        <v>664</v>
      </c>
      <c r="C337" s="609"/>
      <c r="D337" s="610"/>
      <c r="E337" s="405">
        <v>27100</v>
      </c>
      <c r="F337" s="405">
        <v>0</v>
      </c>
      <c r="G337" s="405">
        <v>989034</v>
      </c>
      <c r="H337" s="405">
        <v>0</v>
      </c>
      <c r="I337" s="405">
        <v>1617786</v>
      </c>
      <c r="J337" s="405">
        <v>0</v>
      </c>
      <c r="K337" s="405">
        <v>3625035</v>
      </c>
      <c r="L337" s="405">
        <v>2062339</v>
      </c>
      <c r="M337" s="405">
        <v>8748756</v>
      </c>
    </row>
    <row r="338" spans="2:13">
      <c r="B338" s="608" t="s">
        <v>672</v>
      </c>
      <c r="C338" s="609"/>
      <c r="D338" s="610"/>
      <c r="E338" s="405">
        <v>9000000</v>
      </c>
      <c r="F338" s="405">
        <v>0</v>
      </c>
      <c r="G338" s="405">
        <v>1780000</v>
      </c>
      <c r="H338" s="405">
        <v>0</v>
      </c>
      <c r="I338" s="405">
        <v>3228300</v>
      </c>
      <c r="J338" s="405">
        <v>0</v>
      </c>
      <c r="K338" s="405">
        <v>5150000</v>
      </c>
      <c r="L338" s="405">
        <v>0</v>
      </c>
      <c r="M338" s="405">
        <v>8550000</v>
      </c>
    </row>
    <row r="339" spans="2:13">
      <c r="B339" s="608" t="s">
        <v>673</v>
      </c>
      <c r="C339" s="609"/>
      <c r="D339" s="610"/>
      <c r="E339" s="405">
        <v>0</v>
      </c>
      <c r="F339" s="405">
        <v>0</v>
      </c>
      <c r="G339" s="405">
        <v>0</v>
      </c>
      <c r="H339" s="405">
        <v>0</v>
      </c>
      <c r="I339" s="405">
        <v>0</v>
      </c>
      <c r="J339" s="405">
        <v>0</v>
      </c>
      <c r="K339" s="405">
        <v>0</v>
      </c>
      <c r="L339" s="405">
        <v>0</v>
      </c>
      <c r="M339" s="405">
        <v>0</v>
      </c>
    </row>
    <row r="340" spans="2:13">
      <c r="B340" s="608" t="s">
        <v>674</v>
      </c>
      <c r="C340" s="609"/>
      <c r="D340" s="610"/>
      <c r="E340" s="388"/>
      <c r="F340" s="388"/>
      <c r="G340" s="388"/>
      <c r="H340" s="388"/>
      <c r="I340" s="388"/>
      <c r="J340" s="388"/>
      <c r="K340" s="388"/>
      <c r="L340" s="388"/>
      <c r="M340" s="388"/>
    </row>
    <row r="341" spans="2:13">
      <c r="B341" s="608" t="s">
        <v>675</v>
      </c>
      <c r="C341" s="609"/>
      <c r="D341" s="610"/>
      <c r="E341" s="405">
        <v>0</v>
      </c>
      <c r="F341" s="405">
        <v>0</v>
      </c>
      <c r="G341" s="405">
        <v>0</v>
      </c>
      <c r="H341" s="405">
        <v>40613</v>
      </c>
      <c r="I341" s="405">
        <v>0</v>
      </c>
      <c r="J341" s="405">
        <v>0</v>
      </c>
      <c r="K341" s="405">
        <v>0</v>
      </c>
      <c r="L341" s="405">
        <v>0</v>
      </c>
      <c r="M341" s="405">
        <v>0</v>
      </c>
    </row>
    <row r="342" spans="2:13">
      <c r="B342" s="608" t="s">
        <v>676</v>
      </c>
      <c r="C342" s="609"/>
      <c r="D342" s="610"/>
      <c r="E342" s="405">
        <v>0</v>
      </c>
      <c r="F342" s="405">
        <v>0</v>
      </c>
      <c r="G342" s="405">
        <v>0</v>
      </c>
      <c r="H342" s="405">
        <v>0</v>
      </c>
      <c r="I342" s="405">
        <v>0</v>
      </c>
      <c r="J342" s="405">
        <v>0</v>
      </c>
      <c r="K342" s="405">
        <v>0</v>
      </c>
      <c r="L342" s="405">
        <v>0</v>
      </c>
      <c r="M342" s="405">
        <v>0</v>
      </c>
    </row>
    <row r="343" spans="2:13">
      <c r="B343" s="608" t="s">
        <v>671</v>
      </c>
      <c r="C343" s="609"/>
      <c r="D343" s="610"/>
      <c r="E343" s="405">
        <v>0</v>
      </c>
      <c r="F343" s="405">
        <v>0</v>
      </c>
      <c r="G343" s="405">
        <v>0</v>
      </c>
      <c r="H343" s="405">
        <v>8132</v>
      </c>
      <c r="I343" s="405">
        <v>0</v>
      </c>
      <c r="J343" s="405">
        <v>0</v>
      </c>
      <c r="K343" s="405">
        <v>0</v>
      </c>
      <c r="L343" s="405">
        <v>0</v>
      </c>
      <c r="M343" s="405">
        <v>0</v>
      </c>
    </row>
    <row r="344" spans="2:13">
      <c r="B344" s="608" t="s">
        <v>664</v>
      </c>
      <c r="C344" s="609"/>
      <c r="D344" s="610"/>
      <c r="E344" s="405">
        <v>0</v>
      </c>
      <c r="F344" s="405">
        <v>0</v>
      </c>
      <c r="G344" s="405">
        <v>0</v>
      </c>
      <c r="H344" s="405">
        <v>32490</v>
      </c>
      <c r="I344" s="405">
        <v>0</v>
      </c>
      <c r="J344" s="405">
        <v>0</v>
      </c>
      <c r="K344" s="405">
        <v>0</v>
      </c>
      <c r="L344" s="405">
        <v>0</v>
      </c>
      <c r="M344" s="405">
        <v>0</v>
      </c>
    </row>
    <row r="345" spans="2:13">
      <c r="B345" s="608" t="s">
        <v>346</v>
      </c>
      <c r="C345" s="609"/>
      <c r="D345" s="610"/>
      <c r="E345" s="388"/>
      <c r="F345" s="388"/>
      <c r="G345" s="388"/>
      <c r="H345" s="388"/>
      <c r="I345" s="388"/>
      <c r="J345" s="388"/>
      <c r="K345" s="388"/>
      <c r="L345" s="388"/>
      <c r="M345" s="388"/>
    </row>
    <row r="346" spans="2:13">
      <c r="B346" s="608" t="s">
        <v>677</v>
      </c>
      <c r="C346" s="609"/>
      <c r="D346" s="610"/>
      <c r="E346" s="405">
        <v>0</v>
      </c>
      <c r="F346" s="405">
        <v>0</v>
      </c>
      <c r="G346" s="405">
        <v>0</v>
      </c>
      <c r="H346" s="405">
        <v>36875</v>
      </c>
      <c r="I346" s="405">
        <v>0</v>
      </c>
      <c r="J346" s="405">
        <v>0</v>
      </c>
      <c r="K346" s="405">
        <v>0</v>
      </c>
      <c r="L346" s="405">
        <v>0</v>
      </c>
      <c r="M346" s="405">
        <v>50147</v>
      </c>
    </row>
    <row r="347" spans="2:13">
      <c r="B347" s="608" t="s">
        <v>678</v>
      </c>
      <c r="C347" s="609"/>
      <c r="D347" s="610"/>
      <c r="E347" s="405">
        <v>0</v>
      </c>
      <c r="F347" s="405">
        <v>0</v>
      </c>
      <c r="G347" s="405">
        <v>0</v>
      </c>
      <c r="H347" s="405">
        <v>0</v>
      </c>
      <c r="I347" s="405">
        <v>0</v>
      </c>
      <c r="J347" s="405">
        <v>0</v>
      </c>
      <c r="K347" s="405">
        <v>0</v>
      </c>
      <c r="L347" s="405">
        <v>0</v>
      </c>
      <c r="M347" s="405">
        <v>331895</v>
      </c>
    </row>
    <row r="348" spans="2:13">
      <c r="B348" s="608" t="s">
        <v>671</v>
      </c>
      <c r="C348" s="609"/>
      <c r="D348" s="610"/>
      <c r="E348" s="405">
        <v>0</v>
      </c>
      <c r="F348" s="405">
        <v>0</v>
      </c>
      <c r="G348" s="405">
        <v>0</v>
      </c>
      <c r="H348" s="405">
        <v>10232</v>
      </c>
      <c r="I348" s="405">
        <v>7059</v>
      </c>
      <c r="J348" s="405">
        <v>0</v>
      </c>
      <c r="K348" s="405">
        <v>0</v>
      </c>
      <c r="L348" s="405">
        <v>30852</v>
      </c>
      <c r="M348" s="405">
        <v>47100</v>
      </c>
    </row>
    <row r="349" spans="2:13">
      <c r="B349" s="608" t="s">
        <v>664</v>
      </c>
      <c r="C349" s="609"/>
      <c r="D349" s="610"/>
      <c r="E349" s="405">
        <v>0</v>
      </c>
      <c r="F349" s="405">
        <v>0</v>
      </c>
      <c r="G349" s="405">
        <v>0</v>
      </c>
      <c r="H349" s="405">
        <v>26643</v>
      </c>
      <c r="I349" s="405">
        <v>31293</v>
      </c>
      <c r="J349" s="405">
        <v>0</v>
      </c>
      <c r="K349" s="405">
        <v>245786</v>
      </c>
      <c r="L349" s="405">
        <v>112257</v>
      </c>
      <c r="M349" s="405">
        <v>64020</v>
      </c>
    </row>
    <row r="350" spans="2:13">
      <c r="B350" s="608" t="s">
        <v>679</v>
      </c>
      <c r="C350" s="609"/>
      <c r="D350" s="610"/>
      <c r="E350" s="388"/>
      <c r="F350" s="388"/>
      <c r="G350" s="388"/>
      <c r="H350" s="388"/>
      <c r="I350" s="388"/>
      <c r="J350" s="388"/>
      <c r="K350" s="388"/>
      <c r="L350" s="388"/>
      <c r="M350" s="388"/>
    </row>
    <row r="351" spans="2:13">
      <c r="B351" s="608" t="s">
        <v>680</v>
      </c>
      <c r="C351" s="609"/>
      <c r="D351" s="610"/>
      <c r="E351" s="405">
        <v>0</v>
      </c>
      <c r="F351" s="405">
        <v>0</v>
      </c>
      <c r="G351" s="405">
        <v>0</v>
      </c>
      <c r="H351" s="405">
        <v>0</v>
      </c>
      <c r="I351" s="405">
        <v>0</v>
      </c>
      <c r="J351" s="405">
        <v>0</v>
      </c>
      <c r="K351" s="405">
        <v>0</v>
      </c>
      <c r="L351" s="405">
        <v>0</v>
      </c>
      <c r="M351" s="405">
        <v>0</v>
      </c>
    </row>
    <row r="352" spans="2:13">
      <c r="B352" s="608" t="s">
        <v>681</v>
      </c>
      <c r="C352" s="609"/>
      <c r="D352" s="610"/>
      <c r="E352" s="405">
        <v>0</v>
      </c>
      <c r="F352" s="405">
        <v>0</v>
      </c>
      <c r="G352" s="405">
        <v>0</v>
      </c>
      <c r="H352" s="405">
        <v>0</v>
      </c>
      <c r="I352" s="405">
        <v>0</v>
      </c>
      <c r="J352" s="405">
        <v>0</v>
      </c>
      <c r="K352" s="405">
        <v>0</v>
      </c>
      <c r="L352" s="405">
        <v>0</v>
      </c>
      <c r="M352" s="405">
        <v>0</v>
      </c>
    </row>
    <row r="353" spans="2:13">
      <c r="B353" s="608" t="s">
        <v>671</v>
      </c>
      <c r="C353" s="609"/>
      <c r="D353" s="610"/>
      <c r="E353" s="405">
        <v>0</v>
      </c>
      <c r="F353" s="405">
        <v>0</v>
      </c>
      <c r="G353" s="405">
        <v>0</v>
      </c>
      <c r="H353" s="405">
        <v>0</v>
      </c>
      <c r="I353" s="405">
        <v>20625</v>
      </c>
      <c r="J353" s="405">
        <v>0</v>
      </c>
      <c r="K353" s="405">
        <v>0</v>
      </c>
      <c r="L353" s="405">
        <v>0</v>
      </c>
      <c r="M353" s="405">
        <v>0</v>
      </c>
    </row>
    <row r="354" spans="2:13">
      <c r="B354" s="608" t="s">
        <v>664</v>
      </c>
      <c r="C354" s="609"/>
      <c r="D354" s="610"/>
      <c r="E354" s="405">
        <v>0</v>
      </c>
      <c r="F354" s="405">
        <v>0</v>
      </c>
      <c r="G354" s="405">
        <v>0</v>
      </c>
      <c r="H354" s="405">
        <v>0</v>
      </c>
      <c r="I354" s="405">
        <v>37812</v>
      </c>
      <c r="J354" s="405">
        <v>0</v>
      </c>
      <c r="K354" s="405">
        <v>0</v>
      </c>
      <c r="L354" s="405">
        <v>0</v>
      </c>
      <c r="M354" s="405">
        <v>0</v>
      </c>
    </row>
    <row r="355" spans="2:13">
      <c r="B355" s="608" t="s">
        <v>682</v>
      </c>
      <c r="C355" s="609"/>
      <c r="D355" s="610"/>
      <c r="E355" s="388"/>
      <c r="F355" s="388"/>
      <c r="G355" s="388"/>
      <c r="H355" s="388"/>
      <c r="I355" s="388"/>
      <c r="J355" s="388"/>
      <c r="K355" s="388"/>
      <c r="L355" s="388"/>
      <c r="M355" s="388"/>
    </row>
    <row r="356" spans="2:13">
      <c r="B356" s="608" t="s">
        <v>682</v>
      </c>
      <c r="C356" s="609"/>
      <c r="D356" s="610"/>
      <c r="E356" s="405">
        <v>0</v>
      </c>
      <c r="F356" s="405">
        <v>0</v>
      </c>
      <c r="G356" s="405">
        <v>0</v>
      </c>
      <c r="H356" s="405">
        <v>0</v>
      </c>
      <c r="I356" s="405">
        <v>0</v>
      </c>
      <c r="J356" s="405">
        <v>0</v>
      </c>
      <c r="K356" s="405">
        <v>0</v>
      </c>
      <c r="L356" s="405">
        <v>232987</v>
      </c>
      <c r="M356" s="405">
        <v>0</v>
      </c>
    </row>
    <row r="357" spans="2:13">
      <c r="B357" s="615" t="s">
        <v>683</v>
      </c>
      <c r="C357" s="609"/>
      <c r="D357" s="610"/>
      <c r="E357" s="400">
        <v>27100</v>
      </c>
      <c r="F357" s="400">
        <v>0</v>
      </c>
      <c r="G357" s="400">
        <v>989034</v>
      </c>
      <c r="H357" s="400">
        <v>59133</v>
      </c>
      <c r="I357" s="400">
        <v>1686891</v>
      </c>
      <c r="J357" s="400">
        <v>0</v>
      </c>
      <c r="K357" s="400">
        <v>3870821</v>
      </c>
      <c r="L357" s="400">
        <v>2407583</v>
      </c>
      <c r="M357" s="400">
        <v>8812776</v>
      </c>
    </row>
    <row r="358" spans="2:13" s="430" customFormat="1">
      <c r="B358" s="604" t="s">
        <v>684</v>
      </c>
      <c r="C358" s="605"/>
      <c r="D358" s="606"/>
      <c r="E358" s="429"/>
      <c r="F358" s="429"/>
      <c r="G358" s="429"/>
      <c r="H358" s="429"/>
      <c r="I358" s="429"/>
      <c r="J358" s="429"/>
      <c r="K358" s="429"/>
      <c r="L358" s="429"/>
      <c r="M358" s="429"/>
    </row>
    <row r="359" spans="2:13">
      <c r="B359" s="608" t="s">
        <v>685</v>
      </c>
      <c r="C359" s="609"/>
      <c r="D359" s="610"/>
      <c r="E359" s="388"/>
      <c r="F359" s="388"/>
      <c r="G359" s="388"/>
      <c r="H359" s="388"/>
      <c r="I359" s="388"/>
      <c r="J359" s="388"/>
      <c r="K359" s="388"/>
      <c r="L359" s="388"/>
      <c r="M359" s="388"/>
    </row>
    <row r="360" spans="2:13">
      <c r="B360" s="608" t="s">
        <v>686</v>
      </c>
      <c r="C360" s="609"/>
      <c r="D360" s="610"/>
      <c r="E360" s="405">
        <v>0</v>
      </c>
      <c r="F360" s="405">
        <v>0</v>
      </c>
      <c r="G360" s="405">
        <v>0</v>
      </c>
      <c r="H360" s="405">
        <v>0</v>
      </c>
      <c r="I360" s="405">
        <v>0</v>
      </c>
      <c r="J360" s="405">
        <v>0</v>
      </c>
      <c r="K360" s="405">
        <v>0</v>
      </c>
      <c r="L360" s="405">
        <v>0</v>
      </c>
      <c r="M360" s="405">
        <v>0</v>
      </c>
    </row>
    <row r="361" spans="2:13">
      <c r="B361" s="608" t="s">
        <v>687</v>
      </c>
      <c r="C361" s="609"/>
      <c r="D361" s="610"/>
      <c r="E361" s="405">
        <v>0</v>
      </c>
      <c r="F361" s="405">
        <v>0</v>
      </c>
      <c r="G361" s="405">
        <v>0</v>
      </c>
      <c r="H361" s="405">
        <v>0</v>
      </c>
      <c r="I361" s="405">
        <v>0</v>
      </c>
      <c r="J361" s="405">
        <v>0</v>
      </c>
      <c r="K361" s="405">
        <v>0</v>
      </c>
      <c r="L361" s="405">
        <v>0</v>
      </c>
      <c r="M361" s="405">
        <v>0</v>
      </c>
    </row>
    <row r="362" spans="2:13">
      <c r="B362" s="615" t="s">
        <v>688</v>
      </c>
      <c r="C362" s="609"/>
      <c r="D362" s="610"/>
      <c r="E362" s="400">
        <v>0</v>
      </c>
      <c r="F362" s="400">
        <v>0</v>
      </c>
      <c r="G362" s="400">
        <v>0</v>
      </c>
      <c r="H362" s="400">
        <v>0</v>
      </c>
      <c r="I362" s="400">
        <v>0</v>
      </c>
      <c r="J362" s="400">
        <v>0</v>
      </c>
      <c r="K362" s="400">
        <v>0</v>
      </c>
      <c r="L362" s="400">
        <v>0</v>
      </c>
      <c r="M362" s="400">
        <v>0</v>
      </c>
    </row>
    <row r="363" spans="2:13" s="417" customFormat="1">
      <c r="B363" s="636" t="s">
        <v>689</v>
      </c>
      <c r="C363" s="637"/>
      <c r="D363" s="638"/>
      <c r="E363" s="418">
        <v>27100</v>
      </c>
      <c r="F363" s="418">
        <v>0</v>
      </c>
      <c r="G363" s="418">
        <v>989034</v>
      </c>
      <c r="H363" s="418">
        <v>59133</v>
      </c>
      <c r="I363" s="418">
        <v>1686891</v>
      </c>
      <c r="J363" s="418">
        <v>0</v>
      </c>
      <c r="K363" s="418">
        <v>3870821</v>
      </c>
      <c r="L363" s="418">
        <v>2407583</v>
      </c>
      <c r="M363" s="418">
        <v>8812776</v>
      </c>
    </row>
    <row r="364" spans="2:13" s="417" customFormat="1">
      <c r="B364" s="636" t="s">
        <v>690</v>
      </c>
      <c r="C364" s="637"/>
      <c r="D364" s="638"/>
      <c r="E364" s="416"/>
      <c r="F364" s="416"/>
      <c r="G364" s="416"/>
      <c r="H364" s="416"/>
      <c r="I364" s="416"/>
      <c r="J364" s="416"/>
      <c r="K364" s="416"/>
      <c r="L364" s="416"/>
      <c r="M364" s="416"/>
    </row>
    <row r="365" spans="2:13" s="430" customFormat="1">
      <c r="B365" s="604" t="s">
        <v>691</v>
      </c>
      <c r="C365" s="605"/>
      <c r="D365" s="606"/>
      <c r="E365" s="429"/>
      <c r="F365" s="429"/>
      <c r="G365" s="429"/>
      <c r="H365" s="429"/>
      <c r="I365" s="429"/>
      <c r="J365" s="429"/>
      <c r="K365" s="429"/>
      <c r="L365" s="429"/>
      <c r="M365" s="429"/>
    </row>
    <row r="366" spans="2:13">
      <c r="B366" s="608" t="s">
        <v>692</v>
      </c>
      <c r="C366" s="609"/>
      <c r="D366" s="610"/>
      <c r="E366" s="388"/>
      <c r="F366" s="388"/>
      <c r="G366" s="388"/>
      <c r="H366" s="388"/>
      <c r="I366" s="388"/>
      <c r="J366" s="388"/>
      <c r="K366" s="388"/>
      <c r="L366" s="388"/>
      <c r="M366" s="388"/>
    </row>
    <row r="367" spans="2:13">
      <c r="B367" s="608" t="s">
        <v>693</v>
      </c>
      <c r="C367" s="609"/>
      <c r="D367" s="610"/>
      <c r="E367" s="405">
        <v>0</v>
      </c>
      <c r="F367" s="405">
        <v>0</v>
      </c>
      <c r="G367" s="405">
        <v>0</v>
      </c>
      <c r="H367" s="405">
        <v>0</v>
      </c>
      <c r="I367" s="405">
        <v>0</v>
      </c>
      <c r="J367" s="405">
        <v>0</v>
      </c>
      <c r="K367" s="405">
        <v>0</v>
      </c>
      <c r="L367" s="405">
        <v>0</v>
      </c>
      <c r="M367" s="405">
        <v>0</v>
      </c>
    </row>
    <row r="368" spans="2:13">
      <c r="B368" s="615" t="s">
        <v>694</v>
      </c>
      <c r="C368" s="609"/>
      <c r="D368" s="610"/>
      <c r="E368" s="400">
        <v>0</v>
      </c>
      <c r="F368" s="400">
        <v>0</v>
      </c>
      <c r="G368" s="400">
        <v>0</v>
      </c>
      <c r="H368" s="400">
        <v>0</v>
      </c>
      <c r="I368" s="400">
        <v>0</v>
      </c>
      <c r="J368" s="400">
        <v>0</v>
      </c>
      <c r="K368" s="400">
        <v>0</v>
      </c>
      <c r="L368" s="400">
        <v>0</v>
      </c>
      <c r="M368" s="400">
        <v>0</v>
      </c>
    </row>
    <row r="369" spans="2:13" s="430" customFormat="1">
      <c r="B369" s="604" t="s">
        <v>695</v>
      </c>
      <c r="C369" s="605"/>
      <c r="D369" s="606"/>
      <c r="E369" s="429"/>
      <c r="F369" s="429"/>
      <c r="G369" s="429"/>
      <c r="H369" s="429"/>
      <c r="I369" s="429"/>
      <c r="J369" s="429"/>
      <c r="K369" s="429"/>
      <c r="L369" s="429"/>
      <c r="M369" s="429"/>
    </row>
    <row r="370" spans="2:13">
      <c r="B370" s="608" t="s">
        <v>696</v>
      </c>
      <c r="C370" s="609"/>
      <c r="D370" s="610"/>
      <c r="E370" s="388"/>
      <c r="F370" s="388"/>
      <c r="G370" s="388"/>
      <c r="H370" s="388"/>
      <c r="I370" s="388"/>
      <c r="J370" s="388"/>
      <c r="K370" s="388"/>
      <c r="L370" s="388"/>
      <c r="M370" s="388"/>
    </row>
    <row r="371" spans="2:13">
      <c r="B371" s="608" t="s">
        <v>697</v>
      </c>
      <c r="C371" s="609"/>
      <c r="D371" s="610"/>
      <c r="E371" s="405">
        <v>39580</v>
      </c>
      <c r="F371" s="405">
        <v>10634</v>
      </c>
      <c r="G371" s="405">
        <v>22657</v>
      </c>
      <c r="H371" s="405">
        <v>16136</v>
      </c>
      <c r="I371" s="405">
        <v>4200</v>
      </c>
      <c r="J371" s="405">
        <v>0</v>
      </c>
      <c r="K371" s="405">
        <v>0</v>
      </c>
      <c r="L371" s="405">
        <v>900</v>
      </c>
      <c r="M371" s="405">
        <v>0</v>
      </c>
    </row>
    <row r="372" spans="2:13">
      <c r="B372" s="608" t="s">
        <v>698</v>
      </c>
      <c r="C372" s="609"/>
      <c r="D372" s="610"/>
      <c r="E372" s="405">
        <v>0</v>
      </c>
      <c r="F372" s="405">
        <v>0</v>
      </c>
      <c r="G372" s="405">
        <v>6874</v>
      </c>
      <c r="H372" s="405">
        <v>14502</v>
      </c>
      <c r="I372" s="405">
        <v>2800</v>
      </c>
      <c r="J372" s="405">
        <v>0</v>
      </c>
      <c r="K372" s="405">
        <v>0</v>
      </c>
      <c r="L372" s="405">
        <v>0</v>
      </c>
      <c r="M372" s="405">
        <v>0</v>
      </c>
    </row>
    <row r="373" spans="2:13">
      <c r="B373" s="615" t="s">
        <v>699</v>
      </c>
      <c r="C373" s="609"/>
      <c r="D373" s="610"/>
      <c r="E373" s="400">
        <v>39580</v>
      </c>
      <c r="F373" s="400">
        <v>10634</v>
      </c>
      <c r="G373" s="400">
        <v>15783</v>
      </c>
      <c r="H373" s="400">
        <v>1634</v>
      </c>
      <c r="I373" s="400">
        <v>1400</v>
      </c>
      <c r="J373" s="400">
        <v>0</v>
      </c>
      <c r="K373" s="400">
        <v>0</v>
      </c>
      <c r="L373" s="400">
        <v>900</v>
      </c>
      <c r="M373" s="400">
        <v>0</v>
      </c>
    </row>
    <row r="374" spans="2:13" s="430" customFormat="1">
      <c r="B374" s="604" t="s">
        <v>700</v>
      </c>
      <c r="C374" s="605"/>
      <c r="D374" s="606"/>
      <c r="E374" s="429"/>
      <c r="F374" s="429"/>
      <c r="G374" s="429"/>
      <c r="H374" s="429"/>
      <c r="I374" s="429"/>
      <c r="J374" s="429"/>
      <c r="K374" s="429"/>
      <c r="L374" s="429"/>
      <c r="M374" s="429"/>
    </row>
    <row r="375" spans="2:13">
      <c r="B375" s="608" t="s">
        <v>701</v>
      </c>
      <c r="C375" s="609"/>
      <c r="D375" s="610"/>
      <c r="E375" s="388"/>
      <c r="F375" s="388"/>
      <c r="G375" s="388"/>
      <c r="H375" s="388"/>
      <c r="I375" s="388"/>
      <c r="J375" s="388"/>
      <c r="K375" s="388"/>
      <c r="L375" s="388"/>
      <c r="M375" s="388"/>
    </row>
    <row r="376" spans="2:13">
      <c r="B376" s="608" t="s">
        <v>702</v>
      </c>
      <c r="C376" s="609"/>
      <c r="D376" s="610"/>
      <c r="E376" s="405">
        <v>0</v>
      </c>
      <c r="F376" s="405">
        <v>0</v>
      </c>
      <c r="G376" s="405">
        <v>0</v>
      </c>
      <c r="H376" s="405">
        <v>0</v>
      </c>
      <c r="I376" s="405">
        <v>0</v>
      </c>
      <c r="J376" s="405">
        <v>0</v>
      </c>
      <c r="K376" s="405">
        <v>0</v>
      </c>
      <c r="L376" s="405">
        <v>0</v>
      </c>
      <c r="M376" s="405">
        <v>0</v>
      </c>
    </row>
    <row r="377" spans="2:13">
      <c r="B377" s="608" t="s">
        <v>703</v>
      </c>
      <c r="C377" s="609"/>
      <c r="D377" s="610"/>
      <c r="E377" s="405">
        <v>0</v>
      </c>
      <c r="F377" s="405">
        <v>0</v>
      </c>
      <c r="G377" s="405">
        <v>0</v>
      </c>
      <c r="H377" s="405">
        <v>0</v>
      </c>
      <c r="I377" s="405">
        <v>0</v>
      </c>
      <c r="J377" s="405">
        <v>0</v>
      </c>
      <c r="K377" s="405">
        <v>0</v>
      </c>
      <c r="L377" s="405">
        <v>0</v>
      </c>
      <c r="M377" s="405">
        <v>0</v>
      </c>
    </row>
    <row r="378" spans="2:13">
      <c r="B378" s="608" t="s">
        <v>704</v>
      </c>
      <c r="C378" s="609"/>
      <c r="D378" s="610"/>
      <c r="E378" s="405">
        <v>0</v>
      </c>
      <c r="F378" s="405">
        <v>0</v>
      </c>
      <c r="G378" s="405">
        <v>23353</v>
      </c>
      <c r="H378" s="405">
        <v>9421</v>
      </c>
      <c r="I378" s="405">
        <v>93074</v>
      </c>
      <c r="J378" s="405">
        <v>56209</v>
      </c>
      <c r="K378" s="405">
        <v>129888</v>
      </c>
      <c r="L378" s="405">
        <v>182066</v>
      </c>
      <c r="M378" s="405">
        <v>61363</v>
      </c>
    </row>
    <row r="379" spans="2:13">
      <c r="B379" s="608" t="s">
        <v>705</v>
      </c>
      <c r="C379" s="609"/>
      <c r="D379" s="610"/>
      <c r="E379" s="405">
        <v>51783</v>
      </c>
      <c r="F379" s="405">
        <v>5850</v>
      </c>
      <c r="G379" s="405">
        <v>14142</v>
      </c>
      <c r="H379" s="405">
        <v>11609</v>
      </c>
      <c r="I379" s="405">
        <v>0</v>
      </c>
      <c r="J379" s="405">
        <v>14946</v>
      </c>
      <c r="K379" s="405">
        <v>7128</v>
      </c>
      <c r="L379" s="405">
        <v>38671</v>
      </c>
      <c r="M379" s="405">
        <v>32323</v>
      </c>
    </row>
    <row r="380" spans="2:13">
      <c r="B380" s="615" t="s">
        <v>706</v>
      </c>
      <c r="C380" s="609"/>
      <c r="D380" s="610"/>
      <c r="E380" s="400">
        <v>51783</v>
      </c>
      <c r="F380" s="400">
        <v>5850</v>
      </c>
      <c r="G380" s="400">
        <v>37495</v>
      </c>
      <c r="H380" s="400">
        <v>21030</v>
      </c>
      <c r="I380" s="400">
        <v>93074</v>
      </c>
      <c r="J380" s="400">
        <v>71155</v>
      </c>
      <c r="K380" s="400">
        <v>137016</v>
      </c>
      <c r="L380" s="400">
        <v>220737</v>
      </c>
      <c r="M380" s="400">
        <v>93686</v>
      </c>
    </row>
    <row r="381" spans="2:13" s="430" customFormat="1">
      <c r="B381" s="604" t="s">
        <v>707</v>
      </c>
      <c r="C381" s="605"/>
      <c r="D381" s="606"/>
      <c r="E381" s="429"/>
      <c r="F381" s="429"/>
      <c r="G381" s="429"/>
      <c r="H381" s="429"/>
      <c r="I381" s="429"/>
      <c r="J381" s="429"/>
      <c r="K381" s="429"/>
      <c r="L381" s="429"/>
      <c r="M381" s="429"/>
    </row>
    <row r="382" spans="2:13">
      <c r="B382" s="608" t="s">
        <v>708</v>
      </c>
      <c r="C382" s="609"/>
      <c r="D382" s="610"/>
      <c r="E382" s="388"/>
      <c r="F382" s="388"/>
      <c r="G382" s="388"/>
      <c r="H382" s="388"/>
      <c r="I382" s="388"/>
      <c r="J382" s="388"/>
      <c r="K382" s="388"/>
      <c r="L382" s="388"/>
      <c r="M382" s="388"/>
    </row>
    <row r="383" spans="2:13">
      <c r="B383" s="608" t="s">
        <v>709</v>
      </c>
      <c r="C383" s="609"/>
      <c r="D383" s="610"/>
      <c r="E383" s="405">
        <v>0</v>
      </c>
      <c r="F383" s="405">
        <v>0</v>
      </c>
      <c r="G383" s="405">
        <v>0</v>
      </c>
      <c r="H383" s="405">
        <v>0</v>
      </c>
      <c r="I383" s="405">
        <v>0</v>
      </c>
      <c r="J383" s="405">
        <v>0</v>
      </c>
      <c r="K383" s="405">
        <v>0</v>
      </c>
      <c r="L383" s="405">
        <v>53084</v>
      </c>
      <c r="M383" s="405">
        <v>203498</v>
      </c>
    </row>
    <row r="384" spans="2:13">
      <c r="B384" s="608" t="s">
        <v>710</v>
      </c>
      <c r="C384" s="609"/>
      <c r="D384" s="610"/>
      <c r="E384" s="405">
        <v>0</v>
      </c>
      <c r="F384" s="405">
        <v>0</v>
      </c>
      <c r="G384" s="405">
        <v>0</v>
      </c>
      <c r="H384" s="405">
        <v>12500</v>
      </c>
      <c r="I384" s="405">
        <v>0</v>
      </c>
      <c r="J384" s="405">
        <v>0</v>
      </c>
      <c r="K384" s="405">
        <v>0</v>
      </c>
      <c r="L384" s="405">
        <v>0</v>
      </c>
      <c r="M384" s="405">
        <v>0</v>
      </c>
    </row>
    <row r="385" spans="2:13">
      <c r="B385" s="608" t="s">
        <v>711</v>
      </c>
      <c r="C385" s="609"/>
      <c r="D385" s="610"/>
      <c r="E385" s="405">
        <v>0</v>
      </c>
      <c r="F385" s="405">
        <v>40</v>
      </c>
      <c r="G385" s="405">
        <v>0</v>
      </c>
      <c r="H385" s="405">
        <v>13747</v>
      </c>
      <c r="I385" s="405">
        <v>6416</v>
      </c>
      <c r="J385" s="405">
        <v>2028</v>
      </c>
      <c r="K385" s="405">
        <v>27399</v>
      </c>
      <c r="L385" s="405">
        <v>22803</v>
      </c>
      <c r="M385" s="405">
        <v>12950</v>
      </c>
    </row>
    <row r="386" spans="2:13">
      <c r="B386" s="615" t="s">
        <v>712</v>
      </c>
      <c r="C386" s="609"/>
      <c r="D386" s="610"/>
      <c r="E386" s="400">
        <v>0</v>
      </c>
      <c r="F386" s="400">
        <v>40</v>
      </c>
      <c r="G386" s="400">
        <v>0</v>
      </c>
      <c r="H386" s="400">
        <v>26247</v>
      </c>
      <c r="I386" s="400">
        <v>6416</v>
      </c>
      <c r="J386" s="400">
        <v>2028</v>
      </c>
      <c r="K386" s="400">
        <v>27399</v>
      </c>
      <c r="L386" s="400">
        <v>75887</v>
      </c>
      <c r="M386" s="400">
        <v>216448</v>
      </c>
    </row>
    <row r="387" spans="2:13" s="430" customFormat="1">
      <c r="B387" s="604" t="s">
        <v>713</v>
      </c>
      <c r="C387" s="605"/>
      <c r="D387" s="606"/>
      <c r="E387" s="429"/>
      <c r="F387" s="429"/>
      <c r="G387" s="429"/>
      <c r="H387" s="429"/>
      <c r="I387" s="429"/>
      <c r="J387" s="429"/>
      <c r="K387" s="429"/>
      <c r="L387" s="429"/>
      <c r="M387" s="429"/>
    </row>
    <row r="388" spans="2:13">
      <c r="B388" s="608" t="s">
        <v>714</v>
      </c>
      <c r="C388" s="609"/>
      <c r="D388" s="610"/>
      <c r="E388" s="388"/>
      <c r="F388" s="388"/>
      <c r="G388" s="388"/>
      <c r="H388" s="388"/>
      <c r="I388" s="388"/>
      <c r="J388" s="388"/>
      <c r="K388" s="388"/>
      <c r="L388" s="388"/>
      <c r="M388" s="388"/>
    </row>
    <row r="389" spans="2:13">
      <c r="B389" s="608" t="s">
        <v>715</v>
      </c>
      <c r="C389" s="609"/>
      <c r="D389" s="610"/>
      <c r="E389" s="405">
        <v>0</v>
      </c>
      <c r="F389" s="405">
        <v>0</v>
      </c>
      <c r="G389" s="405">
        <v>32235</v>
      </c>
      <c r="H389" s="405">
        <v>20000</v>
      </c>
      <c r="I389" s="405">
        <v>0</v>
      </c>
      <c r="J389" s="405">
        <v>0</v>
      </c>
      <c r="K389" s="405">
        <v>0</v>
      </c>
      <c r="L389" s="405">
        <v>0</v>
      </c>
      <c r="M389" s="405">
        <v>0</v>
      </c>
    </row>
    <row r="390" spans="2:13">
      <c r="B390" s="608" t="s">
        <v>716</v>
      </c>
      <c r="C390" s="609"/>
      <c r="D390" s="610"/>
      <c r="E390" s="405">
        <v>0</v>
      </c>
      <c r="F390" s="405">
        <v>0</v>
      </c>
      <c r="G390" s="405">
        <v>0</v>
      </c>
      <c r="H390" s="405">
        <v>5500</v>
      </c>
      <c r="I390" s="405">
        <v>5500</v>
      </c>
      <c r="J390" s="405">
        <v>0</v>
      </c>
      <c r="K390" s="405">
        <v>0</v>
      </c>
      <c r="L390" s="405">
        <v>0</v>
      </c>
      <c r="M390" s="405">
        <v>0</v>
      </c>
    </row>
    <row r="391" spans="2:13">
      <c r="B391" s="608" t="s">
        <v>717</v>
      </c>
      <c r="C391" s="609"/>
      <c r="D391" s="610"/>
      <c r="E391" s="405">
        <v>0</v>
      </c>
      <c r="F391" s="405">
        <v>0</v>
      </c>
      <c r="G391" s="405">
        <v>0</v>
      </c>
      <c r="H391" s="405">
        <v>0</v>
      </c>
      <c r="I391" s="405">
        <v>0</v>
      </c>
      <c r="J391" s="405">
        <v>0</v>
      </c>
      <c r="K391" s="405">
        <v>0</v>
      </c>
      <c r="L391" s="405">
        <v>0</v>
      </c>
      <c r="M391" s="405">
        <v>0</v>
      </c>
    </row>
    <row r="392" spans="2:13">
      <c r="B392" s="615" t="s">
        <v>718</v>
      </c>
      <c r="C392" s="609"/>
      <c r="D392" s="610"/>
      <c r="E392" s="400">
        <v>0</v>
      </c>
      <c r="F392" s="400">
        <v>0</v>
      </c>
      <c r="G392" s="400">
        <v>32235</v>
      </c>
      <c r="H392" s="400">
        <v>25500</v>
      </c>
      <c r="I392" s="400">
        <v>5500</v>
      </c>
      <c r="J392" s="400">
        <v>0</v>
      </c>
      <c r="K392" s="400">
        <v>0</v>
      </c>
      <c r="L392" s="400">
        <v>0</v>
      </c>
      <c r="M392" s="400">
        <v>0</v>
      </c>
    </row>
    <row r="393" spans="2:13" s="430" customFormat="1">
      <c r="B393" s="604" t="s">
        <v>719</v>
      </c>
      <c r="C393" s="605"/>
      <c r="D393" s="606"/>
      <c r="E393" s="429"/>
      <c r="F393" s="429"/>
      <c r="G393" s="429"/>
      <c r="H393" s="429"/>
      <c r="I393" s="429"/>
      <c r="J393" s="429"/>
      <c r="K393" s="429"/>
      <c r="L393" s="429"/>
      <c r="M393" s="429"/>
    </row>
    <row r="394" spans="2:13">
      <c r="B394" s="608" t="s">
        <v>720</v>
      </c>
      <c r="C394" s="609"/>
      <c r="D394" s="610"/>
      <c r="E394" s="388"/>
      <c r="F394" s="388"/>
      <c r="G394" s="388"/>
      <c r="H394" s="388"/>
      <c r="I394" s="388"/>
      <c r="J394" s="388"/>
      <c r="K394" s="388"/>
      <c r="L394" s="388"/>
      <c r="M394" s="388"/>
    </row>
    <row r="395" spans="2:13">
      <c r="B395" s="608" t="s">
        <v>721</v>
      </c>
      <c r="C395" s="609"/>
      <c r="D395" s="610"/>
      <c r="E395" s="405">
        <v>0</v>
      </c>
      <c r="F395" s="405">
        <v>0</v>
      </c>
      <c r="G395" s="405">
        <v>0</v>
      </c>
      <c r="H395" s="405">
        <v>0</v>
      </c>
      <c r="I395" s="405">
        <v>0</v>
      </c>
      <c r="J395" s="405">
        <v>0</v>
      </c>
      <c r="K395" s="405">
        <v>0</v>
      </c>
      <c r="L395" s="405">
        <v>0</v>
      </c>
      <c r="M395" s="405">
        <v>0</v>
      </c>
    </row>
    <row r="396" spans="2:13">
      <c r="B396" s="608" t="s">
        <v>722</v>
      </c>
      <c r="C396" s="609"/>
      <c r="D396" s="610"/>
      <c r="E396" s="405">
        <v>524898</v>
      </c>
      <c r="F396" s="405">
        <v>382513</v>
      </c>
      <c r="G396" s="405">
        <v>3347</v>
      </c>
      <c r="H396" s="405">
        <v>648668</v>
      </c>
      <c r="I396" s="405">
        <v>2300899</v>
      </c>
      <c r="J396" s="405">
        <v>1030526</v>
      </c>
      <c r="K396" s="405">
        <v>724682</v>
      </c>
      <c r="L396" s="405">
        <v>674895</v>
      </c>
      <c r="M396" s="405">
        <v>1002736</v>
      </c>
    </row>
    <row r="397" spans="2:13">
      <c r="B397" s="608" t="s">
        <v>723</v>
      </c>
      <c r="C397" s="609"/>
      <c r="D397" s="610"/>
      <c r="E397" s="405">
        <v>0</v>
      </c>
      <c r="F397" s="405">
        <v>0</v>
      </c>
      <c r="G397" s="405">
        <v>0</v>
      </c>
      <c r="H397" s="405">
        <v>745731</v>
      </c>
      <c r="I397" s="405">
        <v>0</v>
      </c>
      <c r="J397" s="405">
        <v>0</v>
      </c>
      <c r="K397" s="405">
        <v>0</v>
      </c>
      <c r="L397" s="405">
        <v>0</v>
      </c>
      <c r="M397" s="405">
        <v>0</v>
      </c>
    </row>
    <row r="398" spans="2:13">
      <c r="B398" s="615" t="s">
        <v>724</v>
      </c>
      <c r="C398" s="609"/>
      <c r="D398" s="610"/>
      <c r="E398" s="400">
        <v>524898</v>
      </c>
      <c r="F398" s="400">
        <v>382513</v>
      </c>
      <c r="G398" s="400">
        <v>3347</v>
      </c>
      <c r="H398" s="400">
        <v>1394399</v>
      </c>
      <c r="I398" s="400">
        <v>2300899</v>
      </c>
      <c r="J398" s="400">
        <v>1030526</v>
      </c>
      <c r="K398" s="400">
        <v>724682</v>
      </c>
      <c r="L398" s="400">
        <v>674895</v>
      </c>
      <c r="M398" s="400">
        <v>1002736</v>
      </c>
    </row>
    <row r="399" spans="2:13">
      <c r="B399" s="615" t="s">
        <v>725</v>
      </c>
      <c r="C399" s="609"/>
      <c r="D399" s="610"/>
      <c r="E399" s="400">
        <v>616261</v>
      </c>
      <c r="F399" s="400">
        <v>399037</v>
      </c>
      <c r="G399" s="400">
        <v>88860</v>
      </c>
      <c r="H399" s="400">
        <v>1468810</v>
      </c>
      <c r="I399" s="400">
        <v>2407289</v>
      </c>
      <c r="J399" s="400">
        <v>1103709</v>
      </c>
      <c r="K399" s="400">
        <v>889097</v>
      </c>
      <c r="L399" s="400">
        <v>972419</v>
      </c>
      <c r="M399" s="400">
        <v>1312870</v>
      </c>
    </row>
    <row r="400" spans="2:13">
      <c r="B400" s="608" t="s">
        <v>726</v>
      </c>
      <c r="C400" s="609"/>
      <c r="D400" s="610"/>
      <c r="E400" s="405">
        <v>643361</v>
      </c>
      <c r="F400" s="405">
        <v>399037</v>
      </c>
      <c r="G400" s="405">
        <v>1077894</v>
      </c>
      <c r="H400" s="405">
        <v>1527943</v>
      </c>
      <c r="I400" s="405">
        <v>4094180</v>
      </c>
      <c r="J400" s="405">
        <v>1103709</v>
      </c>
      <c r="K400" s="405">
        <v>4759918</v>
      </c>
      <c r="L400" s="405">
        <v>3380002</v>
      </c>
      <c r="M400" s="405">
        <v>10125646</v>
      </c>
    </row>
    <row r="401" spans="2:13">
      <c r="B401" s="615" t="s">
        <v>727</v>
      </c>
      <c r="C401" s="609"/>
      <c r="D401" s="610"/>
      <c r="E401" s="400">
        <v>643361</v>
      </c>
      <c r="F401" s="400">
        <v>399037</v>
      </c>
      <c r="G401" s="400">
        <v>1077894</v>
      </c>
      <c r="H401" s="400">
        <v>1527943</v>
      </c>
      <c r="I401" s="400">
        <v>4094180</v>
      </c>
      <c r="J401" s="400">
        <v>1103709</v>
      </c>
      <c r="K401" s="400">
        <v>4759918</v>
      </c>
      <c r="L401" s="400">
        <v>3380002</v>
      </c>
      <c r="M401" s="400">
        <v>10125646</v>
      </c>
    </row>
    <row r="402" spans="2:13" s="417" customFormat="1">
      <c r="B402" s="636" t="s">
        <v>728</v>
      </c>
      <c r="C402" s="637"/>
      <c r="D402" s="638"/>
      <c r="E402" s="416"/>
      <c r="F402" s="416"/>
      <c r="G402" s="416"/>
      <c r="H402" s="416"/>
      <c r="I402" s="416"/>
      <c r="J402" s="416"/>
      <c r="K402" s="416"/>
      <c r="L402" s="416"/>
      <c r="M402" s="416"/>
    </row>
    <row r="403" spans="2:13" s="417" customFormat="1">
      <c r="B403" s="636" t="s">
        <v>729</v>
      </c>
      <c r="C403" s="637"/>
      <c r="D403" s="638"/>
      <c r="E403" s="416"/>
      <c r="F403" s="416"/>
      <c r="G403" s="416"/>
      <c r="H403" s="416"/>
      <c r="I403" s="416"/>
      <c r="J403" s="416"/>
      <c r="K403" s="416"/>
      <c r="L403" s="416"/>
      <c r="M403" s="416"/>
    </row>
    <row r="404" spans="2:13" s="430" customFormat="1">
      <c r="B404" s="604" t="s">
        <v>730</v>
      </c>
      <c r="C404" s="605"/>
      <c r="D404" s="606"/>
      <c r="E404" s="429"/>
      <c r="F404" s="429"/>
      <c r="G404" s="429"/>
      <c r="H404" s="429"/>
      <c r="I404" s="429"/>
      <c r="J404" s="429"/>
      <c r="K404" s="429"/>
      <c r="L404" s="429"/>
      <c r="M404" s="429"/>
    </row>
    <row r="405" spans="2:13">
      <c r="B405" s="608" t="s">
        <v>731</v>
      </c>
      <c r="C405" s="609"/>
      <c r="D405" s="610"/>
      <c r="E405" s="388"/>
      <c r="F405" s="388"/>
      <c r="G405" s="388"/>
      <c r="H405" s="388"/>
      <c r="I405" s="388"/>
      <c r="J405" s="388"/>
      <c r="K405" s="388"/>
      <c r="L405" s="388"/>
      <c r="M405" s="388"/>
    </row>
    <row r="406" spans="2:13">
      <c r="B406" s="608" t="s">
        <v>732</v>
      </c>
      <c r="C406" s="609"/>
      <c r="D406" s="610"/>
      <c r="E406" s="405">
        <v>0</v>
      </c>
      <c r="F406" s="405">
        <v>0</v>
      </c>
      <c r="G406" s="405">
        <v>0</v>
      </c>
      <c r="H406" s="405">
        <v>0</v>
      </c>
      <c r="I406" s="405">
        <v>0</v>
      </c>
      <c r="J406" s="405">
        <v>0</v>
      </c>
      <c r="K406" s="405">
        <v>0</v>
      </c>
      <c r="L406" s="405">
        <v>0</v>
      </c>
      <c r="M406" s="405">
        <v>0</v>
      </c>
    </row>
    <row r="407" spans="2:13" s="430" customFormat="1">
      <c r="B407" s="604" t="s">
        <v>733</v>
      </c>
      <c r="C407" s="605"/>
      <c r="D407" s="606"/>
      <c r="E407" s="429"/>
      <c r="F407" s="429"/>
      <c r="G407" s="429"/>
      <c r="H407" s="429"/>
      <c r="I407" s="429"/>
      <c r="J407" s="429"/>
      <c r="K407" s="429"/>
      <c r="L407" s="429"/>
      <c r="M407" s="429"/>
    </row>
    <row r="408" spans="2:13">
      <c r="B408" s="608" t="s">
        <v>734</v>
      </c>
      <c r="C408" s="609"/>
      <c r="D408" s="610"/>
      <c r="E408" s="388"/>
      <c r="F408" s="388"/>
      <c r="G408" s="388"/>
      <c r="H408" s="388"/>
      <c r="I408" s="388"/>
      <c r="J408" s="388"/>
      <c r="K408" s="388"/>
      <c r="L408" s="388"/>
      <c r="M408" s="388"/>
    </row>
    <row r="409" spans="2:13">
      <c r="B409" s="608" t="s">
        <v>735</v>
      </c>
      <c r="C409" s="609"/>
      <c r="D409" s="610"/>
      <c r="E409" s="405">
        <v>-123297</v>
      </c>
      <c r="F409" s="405">
        <v>-64669</v>
      </c>
      <c r="G409" s="405">
        <v>1080922</v>
      </c>
      <c r="H409" s="405">
        <v>944997</v>
      </c>
      <c r="I409" s="405">
        <v>2933086</v>
      </c>
      <c r="J409" s="405">
        <v>283084</v>
      </c>
      <c r="K409" s="405">
        <v>824311</v>
      </c>
      <c r="L409" s="405">
        <v>-1454</v>
      </c>
      <c r="M409" s="405">
        <v>3962292</v>
      </c>
    </row>
    <row r="410" spans="2:13">
      <c r="B410" s="608" t="s">
        <v>736</v>
      </c>
      <c r="C410" s="609"/>
      <c r="D410" s="610"/>
      <c r="E410" s="405">
        <v>0</v>
      </c>
      <c r="F410" s="405">
        <v>0</v>
      </c>
      <c r="G410" s="405">
        <v>0</v>
      </c>
      <c r="H410" s="405">
        <v>0</v>
      </c>
      <c r="I410" s="405">
        <v>0</v>
      </c>
      <c r="J410" s="405">
        <v>0</v>
      </c>
      <c r="K410" s="405">
        <v>0</v>
      </c>
      <c r="L410" s="405">
        <v>0</v>
      </c>
      <c r="M410" s="405">
        <v>0</v>
      </c>
    </row>
    <row r="411" spans="2:13">
      <c r="B411" s="608" t="s">
        <v>737</v>
      </c>
      <c r="C411" s="609"/>
      <c r="D411" s="610"/>
      <c r="E411" s="405">
        <v>0</v>
      </c>
      <c r="F411" s="405">
        <v>0</v>
      </c>
      <c r="G411" s="405">
        <v>0</v>
      </c>
      <c r="H411" s="405">
        <v>0</v>
      </c>
      <c r="I411" s="405">
        <v>0</v>
      </c>
      <c r="J411" s="405">
        <v>0</v>
      </c>
      <c r="K411" s="405">
        <v>0</v>
      </c>
      <c r="L411" s="405">
        <v>0</v>
      </c>
      <c r="M411" s="405">
        <v>0</v>
      </c>
    </row>
    <row r="412" spans="2:13">
      <c r="B412" s="608" t="s">
        <v>649</v>
      </c>
      <c r="C412" s="609"/>
      <c r="D412" s="610"/>
      <c r="E412" s="405">
        <v>0</v>
      </c>
      <c r="F412" s="405">
        <v>90537</v>
      </c>
      <c r="G412" s="405">
        <v>-1414974</v>
      </c>
      <c r="H412" s="405">
        <v>-89525</v>
      </c>
      <c r="I412" s="405">
        <v>404581</v>
      </c>
      <c r="J412" s="405">
        <v>97177</v>
      </c>
      <c r="K412" s="405">
        <v>308069</v>
      </c>
      <c r="L412" s="405">
        <v>612859</v>
      </c>
      <c r="M412" s="405">
        <v>159187</v>
      </c>
    </row>
    <row r="413" spans="2:13">
      <c r="B413" s="608" t="s">
        <v>738</v>
      </c>
      <c r="C413" s="609"/>
      <c r="D413" s="610"/>
      <c r="E413" s="405">
        <v>0</v>
      </c>
      <c r="F413" s="405">
        <v>0</v>
      </c>
      <c r="G413" s="405">
        <v>0</v>
      </c>
      <c r="H413" s="405">
        <v>0</v>
      </c>
      <c r="I413" s="405">
        <v>0</v>
      </c>
      <c r="J413" s="405">
        <v>0</v>
      </c>
      <c r="K413" s="405">
        <v>0</v>
      </c>
      <c r="L413" s="405">
        <v>0</v>
      </c>
      <c r="M413" s="405">
        <v>0</v>
      </c>
    </row>
    <row r="414" spans="2:13">
      <c r="B414" s="608" t="s">
        <v>739</v>
      </c>
      <c r="C414" s="609"/>
      <c r="D414" s="610"/>
      <c r="E414" s="405">
        <v>0</v>
      </c>
      <c r="F414" s="405">
        <v>0</v>
      </c>
      <c r="G414" s="405">
        <v>0</v>
      </c>
      <c r="H414" s="405">
        <v>0</v>
      </c>
      <c r="I414" s="405">
        <v>0</v>
      </c>
      <c r="J414" s="405">
        <v>0</v>
      </c>
      <c r="K414" s="405">
        <v>0</v>
      </c>
      <c r="L414" s="405">
        <v>0</v>
      </c>
      <c r="M414" s="405">
        <v>0</v>
      </c>
    </row>
    <row r="415" spans="2:13">
      <c r="B415" s="608" t="s">
        <v>740</v>
      </c>
      <c r="C415" s="609"/>
      <c r="D415" s="610"/>
      <c r="E415" s="405">
        <v>0</v>
      </c>
      <c r="F415" s="405">
        <v>0</v>
      </c>
      <c r="G415" s="405">
        <v>0</v>
      </c>
      <c r="H415" s="405">
        <v>0</v>
      </c>
      <c r="I415" s="405">
        <v>0</v>
      </c>
      <c r="J415" s="405">
        <v>0</v>
      </c>
      <c r="K415" s="405">
        <v>0</v>
      </c>
      <c r="L415" s="405">
        <v>0</v>
      </c>
      <c r="M415" s="405">
        <v>0</v>
      </c>
    </row>
    <row r="416" spans="2:13" ht="20" customHeight="1">
      <c r="B416" s="615" t="s">
        <v>741</v>
      </c>
      <c r="C416" s="609"/>
      <c r="D416" s="610"/>
      <c r="E416" s="400">
        <v>-123297</v>
      </c>
      <c r="F416" s="400">
        <v>25868</v>
      </c>
      <c r="G416" s="400">
        <v>-334052</v>
      </c>
      <c r="H416" s="400">
        <v>855472</v>
      </c>
      <c r="I416" s="400">
        <v>3337667</v>
      </c>
      <c r="J416" s="400">
        <v>380261</v>
      </c>
      <c r="K416" s="400">
        <v>1132380</v>
      </c>
      <c r="L416" s="400">
        <v>611405</v>
      </c>
      <c r="M416" s="400">
        <v>4121479</v>
      </c>
    </row>
    <row r="417" spans="2:13" s="417" customFormat="1">
      <c r="B417" s="636" t="s">
        <v>742</v>
      </c>
      <c r="C417" s="637"/>
      <c r="D417" s="638"/>
      <c r="E417" s="418">
        <v>-123297</v>
      </c>
      <c r="F417" s="418">
        <v>25868</v>
      </c>
      <c r="G417" s="418">
        <v>-334052</v>
      </c>
      <c r="H417" s="418">
        <v>855472</v>
      </c>
      <c r="I417" s="418">
        <v>3337667</v>
      </c>
      <c r="J417" s="418">
        <v>380261</v>
      </c>
      <c r="K417" s="418">
        <v>1132380</v>
      </c>
      <c r="L417" s="418">
        <v>611405</v>
      </c>
      <c r="M417" s="418">
        <v>4121479</v>
      </c>
    </row>
    <row r="418" spans="2:13" s="430" customFormat="1">
      <c r="B418" s="604" t="s">
        <v>743</v>
      </c>
      <c r="C418" s="605"/>
      <c r="D418" s="606"/>
      <c r="E418" s="429"/>
      <c r="F418" s="429"/>
      <c r="G418" s="429"/>
      <c r="H418" s="429"/>
      <c r="I418" s="429"/>
      <c r="J418" s="429"/>
      <c r="K418" s="429"/>
      <c r="L418" s="429"/>
      <c r="M418" s="429"/>
    </row>
    <row r="419" spans="2:13">
      <c r="B419" s="608" t="s">
        <v>744</v>
      </c>
      <c r="C419" s="609"/>
      <c r="D419" s="610"/>
      <c r="E419" s="388"/>
      <c r="F419" s="388"/>
      <c r="G419" s="388"/>
      <c r="H419" s="388"/>
      <c r="I419" s="388"/>
      <c r="J419" s="388"/>
      <c r="K419" s="388"/>
      <c r="L419" s="388"/>
      <c r="M419" s="388"/>
    </row>
    <row r="420" spans="2:13">
      <c r="B420" s="608" t="s">
        <v>745</v>
      </c>
      <c r="C420" s="609"/>
      <c r="D420" s="610"/>
      <c r="E420" s="405">
        <v>0</v>
      </c>
      <c r="F420" s="405">
        <v>0</v>
      </c>
      <c r="G420" s="405">
        <v>0</v>
      </c>
      <c r="H420" s="405">
        <v>0</v>
      </c>
      <c r="I420" s="405">
        <v>0</v>
      </c>
      <c r="J420" s="405">
        <v>0</v>
      </c>
      <c r="K420" s="405">
        <v>0</v>
      </c>
      <c r="L420" s="405">
        <v>0</v>
      </c>
      <c r="M420" s="405">
        <v>0</v>
      </c>
    </row>
    <row r="421" spans="2:13" s="417" customFormat="1">
      <c r="B421" s="636" t="s">
        <v>746</v>
      </c>
      <c r="C421" s="637"/>
      <c r="D421" s="638"/>
      <c r="E421" s="416"/>
      <c r="F421" s="416"/>
      <c r="G421" s="416"/>
      <c r="H421" s="416"/>
      <c r="I421" s="416"/>
      <c r="J421" s="416"/>
      <c r="K421" s="416"/>
      <c r="L421" s="416"/>
      <c r="M421" s="416"/>
    </row>
    <row r="422" spans="2:13" s="430" customFormat="1">
      <c r="B422" s="604" t="s">
        <v>747</v>
      </c>
      <c r="C422" s="605"/>
      <c r="D422" s="606"/>
      <c r="E422" s="429"/>
      <c r="F422" s="429"/>
      <c r="G422" s="429"/>
      <c r="H422" s="429"/>
      <c r="I422" s="429"/>
      <c r="J422" s="429"/>
      <c r="K422" s="429"/>
      <c r="L422" s="429"/>
      <c r="M422" s="429"/>
    </row>
    <row r="423" spans="2:13">
      <c r="B423" s="608" t="s">
        <v>748</v>
      </c>
      <c r="C423" s="609"/>
      <c r="D423" s="610"/>
      <c r="E423" s="388"/>
      <c r="F423" s="388"/>
      <c r="G423" s="388"/>
      <c r="H423" s="388"/>
      <c r="I423" s="388"/>
      <c r="J423" s="388"/>
      <c r="K423" s="388"/>
      <c r="L423" s="388"/>
      <c r="M423" s="388"/>
    </row>
    <row r="424" spans="2:13">
      <c r="B424" s="608" t="s">
        <v>749</v>
      </c>
      <c r="C424" s="609"/>
      <c r="D424" s="610"/>
      <c r="E424" s="405">
        <v>0</v>
      </c>
      <c r="F424" s="405">
        <v>0</v>
      </c>
      <c r="G424" s="405">
        <v>0</v>
      </c>
      <c r="H424" s="405">
        <v>0</v>
      </c>
      <c r="I424" s="405">
        <v>0</v>
      </c>
      <c r="J424" s="405">
        <v>0</v>
      </c>
      <c r="K424" s="405">
        <v>0</v>
      </c>
      <c r="L424" s="405">
        <v>0</v>
      </c>
      <c r="M424" s="405">
        <v>0</v>
      </c>
    </row>
    <row r="425" spans="2:13">
      <c r="B425" s="608" t="s">
        <v>750</v>
      </c>
      <c r="C425" s="609"/>
      <c r="D425" s="610"/>
      <c r="E425" s="405">
        <v>0</v>
      </c>
      <c r="F425" s="405">
        <v>0</v>
      </c>
      <c r="G425" s="405">
        <v>0</v>
      </c>
      <c r="H425" s="405">
        <v>0</v>
      </c>
      <c r="I425" s="405">
        <v>0</v>
      </c>
      <c r="J425" s="405">
        <v>0</v>
      </c>
      <c r="K425" s="405">
        <v>0</v>
      </c>
      <c r="L425" s="405">
        <v>0</v>
      </c>
      <c r="M425" s="405">
        <v>0</v>
      </c>
    </row>
    <row r="426" spans="2:13">
      <c r="B426" s="615" t="s">
        <v>751</v>
      </c>
      <c r="C426" s="609"/>
      <c r="D426" s="610"/>
      <c r="E426" s="400">
        <v>0</v>
      </c>
      <c r="F426" s="400">
        <v>0</v>
      </c>
      <c r="G426" s="400">
        <v>0</v>
      </c>
      <c r="H426" s="400">
        <v>0</v>
      </c>
      <c r="I426" s="400">
        <v>0</v>
      </c>
      <c r="J426" s="400">
        <v>0</v>
      </c>
      <c r="K426" s="400">
        <v>0</v>
      </c>
      <c r="L426" s="400">
        <v>0</v>
      </c>
      <c r="M426" s="400">
        <v>0</v>
      </c>
    </row>
    <row r="427" spans="2:13" s="430" customFormat="1">
      <c r="B427" s="604" t="s">
        <v>752</v>
      </c>
      <c r="C427" s="605"/>
      <c r="D427" s="606"/>
      <c r="E427" s="429"/>
      <c r="F427" s="429"/>
      <c r="G427" s="429"/>
      <c r="H427" s="429"/>
      <c r="I427" s="429"/>
      <c r="J427" s="429"/>
      <c r="K427" s="429"/>
      <c r="L427" s="429"/>
      <c r="M427" s="429"/>
    </row>
    <row r="428" spans="2:13">
      <c r="B428" s="608" t="s">
        <v>753</v>
      </c>
      <c r="C428" s="609"/>
      <c r="D428" s="610"/>
      <c r="E428" s="388"/>
      <c r="F428" s="388"/>
      <c r="G428" s="388"/>
      <c r="H428" s="388"/>
      <c r="I428" s="388"/>
      <c r="J428" s="388"/>
      <c r="K428" s="388"/>
      <c r="L428" s="388"/>
      <c r="M428" s="388"/>
    </row>
    <row r="429" spans="2:13">
      <c r="B429" s="608" t="s">
        <v>754</v>
      </c>
      <c r="C429" s="609"/>
      <c r="D429" s="610"/>
      <c r="E429" s="405">
        <v>0</v>
      </c>
      <c r="F429" s="405">
        <v>0</v>
      </c>
      <c r="G429" s="405">
        <v>0</v>
      </c>
      <c r="H429" s="405">
        <v>0</v>
      </c>
      <c r="I429" s="405">
        <v>0</v>
      </c>
      <c r="J429" s="405">
        <v>0</v>
      </c>
      <c r="K429" s="405">
        <v>0</v>
      </c>
      <c r="L429" s="405">
        <v>0</v>
      </c>
      <c r="M429" s="405">
        <v>0</v>
      </c>
    </row>
    <row r="430" spans="2:13">
      <c r="B430" s="608" t="s">
        <v>755</v>
      </c>
      <c r="C430" s="609"/>
      <c r="D430" s="610"/>
      <c r="E430" s="405">
        <v>0</v>
      </c>
      <c r="F430" s="405">
        <v>0</v>
      </c>
      <c r="G430" s="405">
        <v>0</v>
      </c>
      <c r="H430" s="405">
        <v>0</v>
      </c>
      <c r="I430" s="405">
        <v>0</v>
      </c>
      <c r="J430" s="405">
        <v>0</v>
      </c>
      <c r="K430" s="405">
        <v>0</v>
      </c>
      <c r="L430" s="405">
        <v>0</v>
      </c>
      <c r="M430" s="405">
        <v>0</v>
      </c>
    </row>
    <row r="431" spans="2:13">
      <c r="B431" s="615" t="s">
        <v>756</v>
      </c>
      <c r="C431" s="609"/>
      <c r="D431" s="610"/>
      <c r="E431" s="400">
        <v>0</v>
      </c>
      <c r="F431" s="400">
        <v>0</v>
      </c>
      <c r="G431" s="400">
        <v>0</v>
      </c>
      <c r="H431" s="400">
        <v>0</v>
      </c>
      <c r="I431" s="400">
        <v>0</v>
      </c>
      <c r="J431" s="400">
        <v>0</v>
      </c>
      <c r="K431" s="400">
        <v>0</v>
      </c>
      <c r="L431" s="400">
        <v>0</v>
      </c>
      <c r="M431" s="400">
        <v>0</v>
      </c>
    </row>
    <row r="432" spans="2:13" s="430" customFormat="1">
      <c r="B432" s="604" t="s">
        <v>757</v>
      </c>
      <c r="C432" s="605"/>
      <c r="D432" s="606"/>
      <c r="E432" s="429"/>
      <c r="F432" s="429"/>
      <c r="G432" s="429"/>
      <c r="H432" s="429"/>
      <c r="I432" s="429"/>
      <c r="J432" s="429"/>
      <c r="K432" s="429"/>
      <c r="L432" s="429"/>
      <c r="M432" s="429"/>
    </row>
    <row r="433" spans="2:13">
      <c r="B433" s="608" t="s">
        <v>758</v>
      </c>
      <c r="C433" s="609"/>
      <c r="D433" s="610"/>
      <c r="E433" s="388"/>
      <c r="F433" s="388"/>
      <c r="G433" s="388"/>
      <c r="H433" s="388"/>
      <c r="I433" s="388"/>
      <c r="J433" s="388"/>
      <c r="K433" s="388"/>
      <c r="L433" s="388"/>
      <c r="M433" s="388"/>
    </row>
    <row r="434" spans="2:13">
      <c r="B434" s="608" t="s">
        <v>759</v>
      </c>
      <c r="C434" s="609"/>
      <c r="D434" s="610"/>
      <c r="E434" s="405">
        <v>0</v>
      </c>
      <c r="F434" s="405">
        <v>0</v>
      </c>
      <c r="G434" s="405">
        <v>11267</v>
      </c>
      <c r="H434" s="405">
        <v>0</v>
      </c>
      <c r="I434" s="405">
        <v>0</v>
      </c>
      <c r="J434" s="405">
        <v>0</v>
      </c>
      <c r="K434" s="405">
        <v>1904794</v>
      </c>
      <c r="L434" s="405">
        <v>0</v>
      </c>
      <c r="M434" s="405">
        <v>3738678</v>
      </c>
    </row>
    <row r="435" spans="2:13">
      <c r="B435" s="608" t="s">
        <v>760</v>
      </c>
      <c r="C435" s="609"/>
      <c r="D435" s="610"/>
      <c r="E435" s="405">
        <v>0</v>
      </c>
      <c r="F435" s="405">
        <v>0</v>
      </c>
      <c r="G435" s="405">
        <v>0</v>
      </c>
      <c r="H435" s="405">
        <v>0</v>
      </c>
      <c r="I435" s="405">
        <v>0</v>
      </c>
      <c r="J435" s="405">
        <v>0</v>
      </c>
      <c r="K435" s="405">
        <v>0</v>
      </c>
      <c r="L435" s="405">
        <v>0</v>
      </c>
      <c r="M435" s="405">
        <v>0</v>
      </c>
    </row>
    <row r="436" spans="2:13">
      <c r="B436" s="608" t="s">
        <v>761</v>
      </c>
      <c r="C436" s="609"/>
      <c r="D436" s="610"/>
      <c r="E436" s="405">
        <v>0</v>
      </c>
      <c r="F436" s="405">
        <v>0</v>
      </c>
      <c r="G436" s="405">
        <v>0</v>
      </c>
      <c r="H436" s="405">
        <v>0</v>
      </c>
      <c r="I436" s="405">
        <v>0</v>
      </c>
      <c r="J436" s="405">
        <v>0</v>
      </c>
      <c r="K436" s="405">
        <v>-70692</v>
      </c>
      <c r="L436" s="405">
        <v>0</v>
      </c>
      <c r="M436" s="405">
        <v>0</v>
      </c>
    </row>
    <row r="437" spans="2:13">
      <c r="B437" s="615" t="s">
        <v>762</v>
      </c>
      <c r="C437" s="609"/>
      <c r="D437" s="610"/>
      <c r="E437" s="400">
        <v>0</v>
      </c>
      <c r="F437" s="400">
        <v>0</v>
      </c>
      <c r="G437" s="400">
        <v>11267</v>
      </c>
      <c r="H437" s="400">
        <v>0</v>
      </c>
      <c r="I437" s="400">
        <v>0</v>
      </c>
      <c r="J437" s="400">
        <v>0</v>
      </c>
      <c r="K437" s="400">
        <v>1834102</v>
      </c>
      <c r="L437" s="400">
        <v>0</v>
      </c>
      <c r="M437" s="400">
        <v>3738678</v>
      </c>
    </row>
    <row r="438" spans="2:13" s="430" customFormat="1">
      <c r="B438" s="604" t="s">
        <v>763</v>
      </c>
      <c r="C438" s="605"/>
      <c r="D438" s="606"/>
      <c r="E438" s="429"/>
      <c r="F438" s="429"/>
      <c r="G438" s="429"/>
      <c r="H438" s="429"/>
      <c r="I438" s="429"/>
      <c r="J438" s="429"/>
      <c r="K438" s="429"/>
      <c r="L438" s="429"/>
      <c r="M438" s="429"/>
    </row>
    <row r="439" spans="2:13">
      <c r="B439" s="608" t="s">
        <v>764</v>
      </c>
      <c r="C439" s="609"/>
      <c r="D439" s="610"/>
      <c r="E439" s="388"/>
      <c r="F439" s="388"/>
      <c r="G439" s="388"/>
      <c r="H439" s="388"/>
      <c r="I439" s="388"/>
      <c r="J439" s="388"/>
      <c r="K439" s="388"/>
      <c r="L439" s="388"/>
      <c r="M439" s="388"/>
    </row>
    <row r="440" spans="2:13">
      <c r="B440" s="608" t="s">
        <v>765</v>
      </c>
      <c r="C440" s="609"/>
      <c r="D440" s="610"/>
      <c r="E440" s="405">
        <v>0</v>
      </c>
      <c r="F440" s="405">
        <v>0</v>
      </c>
      <c r="G440" s="405">
        <v>0</v>
      </c>
      <c r="H440" s="405">
        <v>0</v>
      </c>
      <c r="I440" s="405">
        <v>0</v>
      </c>
      <c r="J440" s="405">
        <v>0</v>
      </c>
      <c r="K440" s="405">
        <v>0</v>
      </c>
      <c r="L440" s="405">
        <v>0</v>
      </c>
      <c r="M440" s="405">
        <v>0</v>
      </c>
    </row>
    <row r="441" spans="2:13" s="430" customFormat="1">
      <c r="B441" s="604" t="s">
        <v>766</v>
      </c>
      <c r="C441" s="605"/>
      <c r="D441" s="606"/>
      <c r="E441" s="429"/>
      <c r="F441" s="429"/>
      <c r="G441" s="429"/>
      <c r="H441" s="429"/>
      <c r="I441" s="429"/>
      <c r="J441" s="429"/>
      <c r="K441" s="429"/>
      <c r="L441" s="429"/>
      <c r="M441" s="429"/>
    </row>
    <row r="442" spans="2:13">
      <c r="B442" s="608" t="s">
        <v>767</v>
      </c>
      <c r="C442" s="609"/>
      <c r="D442" s="610"/>
      <c r="E442" s="388"/>
      <c r="F442" s="388"/>
      <c r="G442" s="388"/>
      <c r="H442" s="388"/>
      <c r="I442" s="388"/>
      <c r="J442" s="388"/>
      <c r="K442" s="388"/>
      <c r="L442" s="388"/>
      <c r="M442" s="388"/>
    </row>
    <row r="443" spans="2:13">
      <c r="B443" s="608" t="s">
        <v>768</v>
      </c>
      <c r="C443" s="609"/>
      <c r="D443" s="610"/>
      <c r="E443" s="405">
        <v>0</v>
      </c>
      <c r="F443" s="405">
        <v>0</v>
      </c>
      <c r="G443" s="405">
        <v>371412</v>
      </c>
      <c r="H443" s="405">
        <v>0</v>
      </c>
      <c r="I443" s="405">
        <v>0</v>
      </c>
      <c r="J443" s="405">
        <v>0</v>
      </c>
      <c r="K443" s="405">
        <v>459710</v>
      </c>
      <c r="L443" s="405">
        <v>46073</v>
      </c>
      <c r="M443" s="405">
        <v>315510</v>
      </c>
    </row>
    <row r="444" spans="2:13">
      <c r="B444" s="608" t="s">
        <v>769</v>
      </c>
      <c r="C444" s="609"/>
      <c r="D444" s="610"/>
      <c r="E444" s="405">
        <v>0</v>
      </c>
      <c r="F444" s="405">
        <v>0</v>
      </c>
      <c r="G444" s="405">
        <v>0</v>
      </c>
      <c r="H444" s="405">
        <v>0</v>
      </c>
      <c r="I444" s="405">
        <v>0</v>
      </c>
      <c r="J444" s="405">
        <v>0</v>
      </c>
      <c r="K444" s="405">
        <v>0</v>
      </c>
      <c r="L444" s="405">
        <v>0</v>
      </c>
      <c r="M444" s="405">
        <v>0</v>
      </c>
    </row>
    <row r="445" spans="2:13">
      <c r="B445" s="608" t="s">
        <v>770</v>
      </c>
      <c r="C445" s="609"/>
      <c r="D445" s="610"/>
      <c r="E445" s="405">
        <v>0</v>
      </c>
      <c r="F445" s="405">
        <v>0</v>
      </c>
      <c r="G445" s="405">
        <v>0</v>
      </c>
      <c r="H445" s="405">
        <v>0</v>
      </c>
      <c r="I445" s="405">
        <v>0</v>
      </c>
      <c r="J445" s="405">
        <v>0</v>
      </c>
      <c r="K445" s="405">
        <v>0</v>
      </c>
      <c r="L445" s="405">
        <v>0</v>
      </c>
      <c r="M445" s="405">
        <v>0</v>
      </c>
    </row>
    <row r="446" spans="2:13">
      <c r="B446" s="608" t="s">
        <v>771</v>
      </c>
      <c r="C446" s="609"/>
      <c r="D446" s="610"/>
      <c r="E446" s="405">
        <v>400000</v>
      </c>
      <c r="F446" s="405">
        <v>36000</v>
      </c>
      <c r="G446" s="405">
        <v>0</v>
      </c>
      <c r="H446" s="405">
        <v>0</v>
      </c>
      <c r="I446" s="405">
        <v>0</v>
      </c>
      <c r="J446" s="405">
        <v>0</v>
      </c>
      <c r="K446" s="405">
        <v>60000</v>
      </c>
      <c r="L446" s="405">
        <v>1129161</v>
      </c>
      <c r="M446" s="405">
        <v>0</v>
      </c>
    </row>
    <row r="447" spans="2:13">
      <c r="B447" s="615" t="s">
        <v>772</v>
      </c>
      <c r="C447" s="609"/>
      <c r="D447" s="610"/>
      <c r="E447" s="400">
        <v>400000</v>
      </c>
      <c r="F447" s="400">
        <v>36000</v>
      </c>
      <c r="G447" s="400">
        <v>371412</v>
      </c>
      <c r="H447" s="400">
        <v>0</v>
      </c>
      <c r="I447" s="400">
        <v>0</v>
      </c>
      <c r="J447" s="400">
        <v>0</v>
      </c>
      <c r="K447" s="400">
        <v>519710</v>
      </c>
      <c r="L447" s="400">
        <v>1175234</v>
      </c>
      <c r="M447" s="400">
        <v>315510</v>
      </c>
    </row>
    <row r="448" spans="2:13" s="430" customFormat="1">
      <c r="B448" s="604" t="s">
        <v>773</v>
      </c>
      <c r="C448" s="605"/>
      <c r="D448" s="606"/>
      <c r="E448" s="429"/>
      <c r="F448" s="429"/>
      <c r="G448" s="429"/>
      <c r="H448" s="429"/>
      <c r="I448" s="429"/>
      <c r="J448" s="429"/>
      <c r="K448" s="429"/>
      <c r="L448" s="429"/>
      <c r="M448" s="429"/>
    </row>
    <row r="449" spans="2:13">
      <c r="B449" s="608" t="s">
        <v>774</v>
      </c>
      <c r="C449" s="609"/>
      <c r="D449" s="610"/>
      <c r="E449" s="388"/>
      <c r="F449" s="388"/>
      <c r="G449" s="388"/>
      <c r="H449" s="388"/>
      <c r="I449" s="388"/>
      <c r="J449" s="388"/>
      <c r="K449" s="388"/>
      <c r="L449" s="388"/>
      <c r="M449" s="388"/>
    </row>
    <row r="450" spans="2:13">
      <c r="B450" s="608" t="s">
        <v>735</v>
      </c>
      <c r="C450" s="609"/>
      <c r="D450" s="610"/>
      <c r="E450" s="405">
        <v>0</v>
      </c>
      <c r="F450" s="405">
        <v>0</v>
      </c>
      <c r="G450" s="405">
        <v>0</v>
      </c>
      <c r="H450" s="405">
        <v>0</v>
      </c>
      <c r="I450" s="405">
        <v>77485</v>
      </c>
      <c r="J450" s="405">
        <v>0</v>
      </c>
      <c r="K450" s="405">
        <v>0</v>
      </c>
      <c r="L450" s="405">
        <v>0</v>
      </c>
      <c r="M450" s="405">
        <v>0</v>
      </c>
    </row>
    <row r="451" spans="2:13">
      <c r="B451" s="608" t="s">
        <v>775</v>
      </c>
      <c r="C451" s="609"/>
      <c r="D451" s="610"/>
      <c r="E451" s="405">
        <v>0</v>
      </c>
      <c r="F451" s="405">
        <v>0</v>
      </c>
      <c r="G451" s="405">
        <v>0</v>
      </c>
      <c r="H451" s="405">
        <v>0</v>
      </c>
      <c r="I451" s="405">
        <v>0</v>
      </c>
      <c r="J451" s="405">
        <v>0</v>
      </c>
      <c r="K451" s="405">
        <v>0</v>
      </c>
      <c r="L451" s="405">
        <v>0</v>
      </c>
      <c r="M451" s="405">
        <v>0</v>
      </c>
    </row>
    <row r="452" spans="2:13">
      <c r="B452" s="608" t="s">
        <v>776</v>
      </c>
      <c r="C452" s="609"/>
      <c r="D452" s="610"/>
      <c r="E452" s="405">
        <v>0</v>
      </c>
      <c r="F452" s="405">
        <v>0</v>
      </c>
      <c r="G452" s="405">
        <v>0</v>
      </c>
      <c r="H452" s="405">
        <v>0</v>
      </c>
      <c r="I452" s="405">
        <v>11986</v>
      </c>
      <c r="J452" s="405">
        <v>0</v>
      </c>
      <c r="K452" s="405">
        <v>0</v>
      </c>
      <c r="L452" s="405">
        <v>0</v>
      </c>
      <c r="M452" s="405">
        <v>0</v>
      </c>
    </row>
    <row r="453" spans="2:13">
      <c r="B453" s="615" t="s">
        <v>777</v>
      </c>
      <c r="C453" s="609"/>
      <c r="D453" s="610"/>
      <c r="E453" s="400">
        <v>0</v>
      </c>
      <c r="F453" s="400">
        <v>0</v>
      </c>
      <c r="G453" s="400">
        <v>0</v>
      </c>
      <c r="H453" s="400">
        <v>0</v>
      </c>
      <c r="I453" s="400">
        <v>65499</v>
      </c>
      <c r="J453" s="400">
        <v>0</v>
      </c>
      <c r="K453" s="400">
        <v>0</v>
      </c>
      <c r="L453" s="400">
        <v>0</v>
      </c>
      <c r="M453" s="400">
        <v>0</v>
      </c>
    </row>
    <row r="454" spans="2:13">
      <c r="B454" s="615" t="s">
        <v>778</v>
      </c>
      <c r="C454" s="609"/>
      <c r="D454" s="610"/>
      <c r="E454" s="400">
        <v>400000</v>
      </c>
      <c r="F454" s="400">
        <v>36000</v>
      </c>
      <c r="G454" s="400">
        <v>382679</v>
      </c>
      <c r="H454" s="400">
        <v>0</v>
      </c>
      <c r="I454" s="400">
        <v>65499</v>
      </c>
      <c r="J454" s="400">
        <v>0</v>
      </c>
      <c r="K454" s="400">
        <v>2353812</v>
      </c>
      <c r="L454" s="400">
        <v>1175234</v>
      </c>
      <c r="M454" s="400">
        <v>4054188</v>
      </c>
    </row>
    <row r="455" spans="2:13" s="425" customFormat="1">
      <c r="B455" s="639" t="s">
        <v>1</v>
      </c>
      <c r="C455" s="633"/>
      <c r="D455" s="634"/>
      <c r="E455" s="424"/>
      <c r="F455" s="424"/>
      <c r="G455" s="424"/>
      <c r="H455" s="424"/>
      <c r="I455" s="424"/>
      <c r="J455" s="424"/>
      <c r="K455" s="424"/>
      <c r="L455" s="424"/>
      <c r="M455" s="424"/>
    </row>
    <row r="456" spans="2:13">
      <c r="B456" s="608" t="s">
        <v>779</v>
      </c>
      <c r="C456" s="609"/>
      <c r="D456" s="610"/>
      <c r="E456" s="405">
        <v>0</v>
      </c>
      <c r="F456" s="405">
        <v>14000</v>
      </c>
      <c r="G456" s="405">
        <v>19400</v>
      </c>
      <c r="H456" s="405">
        <v>0</v>
      </c>
      <c r="I456" s="405">
        <v>0</v>
      </c>
      <c r="J456" s="405">
        <v>0</v>
      </c>
      <c r="K456" s="405">
        <v>152583</v>
      </c>
      <c r="L456" s="405">
        <v>167176</v>
      </c>
      <c r="M456" s="405">
        <v>298190</v>
      </c>
    </row>
    <row r="457" spans="2:13" s="430" customFormat="1">
      <c r="B457" s="604" t="s">
        <v>780</v>
      </c>
      <c r="C457" s="605"/>
      <c r="D457" s="606"/>
      <c r="E457" s="429"/>
      <c r="F457" s="429"/>
      <c r="G457" s="429"/>
      <c r="H457" s="429"/>
      <c r="I457" s="429"/>
      <c r="J457" s="429"/>
      <c r="K457" s="429"/>
      <c r="L457" s="429"/>
      <c r="M457" s="429"/>
    </row>
    <row r="458" spans="2:13" s="406" customFormat="1">
      <c r="B458" s="589" t="s">
        <v>781</v>
      </c>
      <c r="C458" s="590"/>
      <c r="D458" s="591"/>
      <c r="E458" s="407"/>
      <c r="F458" s="407"/>
      <c r="G458" s="407"/>
      <c r="H458" s="407"/>
      <c r="I458" s="407"/>
      <c r="J458" s="407"/>
      <c r="K458" s="407"/>
      <c r="L458" s="407"/>
      <c r="M458" s="407"/>
    </row>
    <row r="459" spans="2:13" s="406" customFormat="1">
      <c r="B459" s="589" t="s">
        <v>782</v>
      </c>
      <c r="C459" s="590"/>
      <c r="D459" s="591"/>
      <c r="E459" s="408">
        <v>160351</v>
      </c>
      <c r="F459" s="408">
        <v>0</v>
      </c>
      <c r="G459" s="408">
        <v>400000</v>
      </c>
      <c r="H459" s="408">
        <v>0</v>
      </c>
      <c r="I459" s="408">
        <v>0</v>
      </c>
      <c r="J459" s="408">
        <v>0</v>
      </c>
      <c r="K459" s="408">
        <v>877767</v>
      </c>
      <c r="L459" s="408">
        <v>0</v>
      </c>
      <c r="M459" s="408">
        <v>0</v>
      </c>
    </row>
    <row r="460" spans="2:13" s="406" customFormat="1">
      <c r="B460" s="589" t="s">
        <v>783</v>
      </c>
      <c r="C460" s="590"/>
      <c r="D460" s="591"/>
      <c r="E460" s="408">
        <v>0</v>
      </c>
      <c r="F460" s="408">
        <v>0</v>
      </c>
      <c r="G460" s="408">
        <v>191545</v>
      </c>
      <c r="H460" s="408">
        <v>0</v>
      </c>
      <c r="I460" s="408">
        <v>0</v>
      </c>
      <c r="J460" s="408">
        <v>0</v>
      </c>
      <c r="K460" s="408">
        <v>260767</v>
      </c>
      <c r="L460" s="408">
        <v>0</v>
      </c>
      <c r="M460" s="408">
        <v>0</v>
      </c>
    </row>
    <row r="461" spans="2:13" s="406" customFormat="1">
      <c r="B461" s="607" t="s">
        <v>784</v>
      </c>
      <c r="C461" s="590"/>
      <c r="D461" s="591"/>
      <c r="E461" s="409">
        <v>160351</v>
      </c>
      <c r="F461" s="409">
        <v>0</v>
      </c>
      <c r="G461" s="409">
        <v>208455</v>
      </c>
      <c r="H461" s="409">
        <v>0</v>
      </c>
      <c r="I461" s="409">
        <v>0</v>
      </c>
      <c r="J461" s="409">
        <v>0</v>
      </c>
      <c r="K461" s="409">
        <v>617000</v>
      </c>
      <c r="L461" s="409">
        <v>0</v>
      </c>
      <c r="M461" s="409">
        <v>0</v>
      </c>
    </row>
    <row r="462" spans="2:13" s="406" customFormat="1">
      <c r="B462" s="589" t="s">
        <v>785</v>
      </c>
      <c r="C462" s="590"/>
      <c r="D462" s="591"/>
      <c r="E462" s="408">
        <v>0</v>
      </c>
      <c r="F462" s="408">
        <v>0</v>
      </c>
      <c r="G462" s="408">
        <v>0</v>
      </c>
      <c r="H462" s="408">
        <v>0</v>
      </c>
      <c r="I462" s="408">
        <v>0</v>
      </c>
      <c r="J462" s="408">
        <v>0</v>
      </c>
      <c r="K462" s="408">
        <v>0</v>
      </c>
      <c r="L462" s="408">
        <v>0</v>
      </c>
      <c r="M462" s="408">
        <v>0</v>
      </c>
    </row>
    <row r="463" spans="2:13" s="406" customFormat="1">
      <c r="B463" s="589" t="s">
        <v>786</v>
      </c>
      <c r="C463" s="590"/>
      <c r="D463" s="591"/>
      <c r="E463" s="408">
        <v>0</v>
      </c>
      <c r="F463" s="408">
        <v>0</v>
      </c>
      <c r="G463" s="408">
        <v>0</v>
      </c>
      <c r="H463" s="408">
        <v>0</v>
      </c>
      <c r="I463" s="408">
        <v>0</v>
      </c>
      <c r="J463" s="408">
        <v>0</v>
      </c>
      <c r="K463" s="408">
        <v>0</v>
      </c>
      <c r="L463" s="408">
        <v>0</v>
      </c>
      <c r="M463" s="408">
        <v>0</v>
      </c>
    </row>
    <row r="464" spans="2:13" s="406" customFormat="1">
      <c r="B464" s="607" t="s">
        <v>787</v>
      </c>
      <c r="C464" s="590"/>
      <c r="D464" s="591"/>
      <c r="E464" s="409">
        <v>0</v>
      </c>
      <c r="F464" s="409">
        <v>0</v>
      </c>
      <c r="G464" s="409">
        <v>0</v>
      </c>
      <c r="H464" s="409">
        <v>0</v>
      </c>
      <c r="I464" s="409">
        <v>0</v>
      </c>
      <c r="J464" s="409">
        <v>0</v>
      </c>
      <c r="K464" s="409">
        <v>0</v>
      </c>
      <c r="L464" s="409">
        <v>0</v>
      </c>
      <c r="M464" s="409">
        <v>0</v>
      </c>
    </row>
    <row r="465" spans="2:13" s="406" customFormat="1">
      <c r="B465" s="607" t="s">
        <v>788</v>
      </c>
      <c r="C465" s="590"/>
      <c r="D465" s="591"/>
      <c r="E465" s="409">
        <v>0</v>
      </c>
      <c r="F465" s="409">
        <v>0</v>
      </c>
      <c r="G465" s="409">
        <v>191545</v>
      </c>
      <c r="H465" s="409">
        <v>0</v>
      </c>
      <c r="I465" s="409">
        <v>0</v>
      </c>
      <c r="J465" s="409">
        <v>0</v>
      </c>
      <c r="K465" s="409">
        <v>260767</v>
      </c>
      <c r="L465" s="409">
        <v>0</v>
      </c>
      <c r="M465" s="409">
        <v>0</v>
      </c>
    </row>
    <row r="466" spans="2:13" s="430" customFormat="1">
      <c r="B466" s="604" t="s">
        <v>789</v>
      </c>
      <c r="C466" s="605"/>
      <c r="D466" s="606"/>
      <c r="E466" s="429"/>
      <c r="F466" s="429"/>
      <c r="G466" s="429"/>
      <c r="H466" s="429"/>
      <c r="I466" s="429"/>
      <c r="J466" s="429"/>
      <c r="K466" s="429"/>
      <c r="L466" s="429"/>
      <c r="M466" s="429"/>
    </row>
    <row r="467" spans="2:13" s="406" customFormat="1">
      <c r="B467" s="589" t="s">
        <v>790</v>
      </c>
      <c r="C467" s="590"/>
      <c r="D467" s="591"/>
      <c r="E467" s="407"/>
      <c r="F467" s="407"/>
      <c r="G467" s="407"/>
      <c r="H467" s="407"/>
      <c r="I467" s="407"/>
      <c r="J467" s="407"/>
      <c r="K467" s="407"/>
      <c r="L467" s="407"/>
      <c r="M467" s="407"/>
    </row>
    <row r="468" spans="2:13" s="406" customFormat="1">
      <c r="B468" s="589" t="s">
        <v>702</v>
      </c>
      <c r="C468" s="590"/>
      <c r="D468" s="591"/>
      <c r="E468" s="408">
        <v>0</v>
      </c>
      <c r="F468" s="408">
        <v>0</v>
      </c>
      <c r="G468" s="408">
        <v>0</v>
      </c>
      <c r="H468" s="408">
        <v>0</v>
      </c>
      <c r="I468" s="408">
        <v>0</v>
      </c>
      <c r="J468" s="408">
        <v>0</v>
      </c>
      <c r="K468" s="408">
        <v>0</v>
      </c>
      <c r="L468" s="408">
        <v>0</v>
      </c>
      <c r="M468" s="408">
        <v>0</v>
      </c>
    </row>
    <row r="469" spans="2:13" s="406" customFormat="1">
      <c r="B469" s="589" t="s">
        <v>791</v>
      </c>
      <c r="C469" s="590"/>
      <c r="D469" s="591"/>
      <c r="E469" s="408">
        <v>0</v>
      </c>
      <c r="F469" s="408">
        <v>0</v>
      </c>
      <c r="G469" s="408">
        <v>867</v>
      </c>
      <c r="H469" s="408">
        <v>0</v>
      </c>
      <c r="I469" s="408">
        <v>0</v>
      </c>
      <c r="J469" s="408">
        <v>0</v>
      </c>
      <c r="K469" s="408">
        <v>0</v>
      </c>
      <c r="L469" s="408">
        <v>0</v>
      </c>
      <c r="M469" s="408">
        <v>28885</v>
      </c>
    </row>
    <row r="470" spans="2:13" s="406" customFormat="1">
      <c r="B470" s="589" t="s">
        <v>792</v>
      </c>
      <c r="C470" s="590"/>
      <c r="D470" s="591"/>
      <c r="E470" s="408">
        <v>0</v>
      </c>
      <c r="F470" s="408">
        <v>0</v>
      </c>
      <c r="G470" s="408">
        <v>0</v>
      </c>
      <c r="H470" s="408">
        <v>0</v>
      </c>
      <c r="I470" s="408">
        <v>0</v>
      </c>
      <c r="J470" s="408">
        <v>0</v>
      </c>
      <c r="K470" s="408">
        <v>0</v>
      </c>
      <c r="L470" s="408">
        <v>15657</v>
      </c>
      <c r="M470" s="408">
        <v>61307</v>
      </c>
    </row>
    <row r="471" spans="2:13" s="406" customFormat="1">
      <c r="B471" s="589" t="s">
        <v>793</v>
      </c>
      <c r="C471" s="590"/>
      <c r="D471" s="591"/>
      <c r="E471" s="408">
        <v>3976</v>
      </c>
      <c r="F471" s="408">
        <v>6000</v>
      </c>
      <c r="G471" s="408">
        <v>12571</v>
      </c>
      <c r="H471" s="408">
        <v>8557</v>
      </c>
      <c r="I471" s="408">
        <v>13377</v>
      </c>
      <c r="J471" s="408">
        <v>29907</v>
      </c>
      <c r="K471" s="408">
        <v>21818</v>
      </c>
      <c r="L471" s="408">
        <v>18052</v>
      </c>
      <c r="M471" s="408">
        <v>35594</v>
      </c>
    </row>
    <row r="472" spans="2:13" s="406" customFormat="1">
      <c r="B472" s="589" t="s">
        <v>794</v>
      </c>
      <c r="C472" s="590"/>
      <c r="D472" s="591"/>
      <c r="E472" s="408">
        <v>62974</v>
      </c>
      <c r="F472" s="408">
        <v>46224</v>
      </c>
      <c r="G472" s="408">
        <v>208650</v>
      </c>
      <c r="H472" s="408">
        <v>133084</v>
      </c>
      <c r="I472" s="408">
        <v>108750</v>
      </c>
      <c r="J472" s="408">
        <v>218574</v>
      </c>
      <c r="K472" s="408">
        <v>255816</v>
      </c>
      <c r="L472" s="408">
        <v>212015</v>
      </c>
      <c r="M472" s="408">
        <v>489758</v>
      </c>
    </row>
    <row r="473" spans="2:13" s="406" customFormat="1">
      <c r="B473" s="589" t="s">
        <v>768</v>
      </c>
      <c r="C473" s="590"/>
      <c r="D473" s="591"/>
      <c r="E473" s="408">
        <v>0</v>
      </c>
      <c r="F473" s="408">
        <v>0</v>
      </c>
      <c r="G473" s="408">
        <v>0</v>
      </c>
      <c r="H473" s="408">
        <v>0</v>
      </c>
      <c r="I473" s="408">
        <v>0</v>
      </c>
      <c r="J473" s="408">
        <v>0</v>
      </c>
      <c r="K473" s="408">
        <v>0</v>
      </c>
      <c r="L473" s="408">
        <v>167176</v>
      </c>
      <c r="M473" s="408">
        <v>0</v>
      </c>
    </row>
    <row r="474" spans="2:13" s="406" customFormat="1">
      <c r="B474" s="589" t="s">
        <v>795</v>
      </c>
      <c r="C474" s="590"/>
      <c r="D474" s="591"/>
      <c r="E474" s="408">
        <v>0</v>
      </c>
      <c r="F474" s="408">
        <v>0</v>
      </c>
      <c r="G474" s="408">
        <v>89564</v>
      </c>
      <c r="H474" s="408">
        <v>0</v>
      </c>
      <c r="I474" s="408">
        <v>0</v>
      </c>
      <c r="J474" s="408">
        <v>0</v>
      </c>
      <c r="K474" s="408">
        <v>0</v>
      </c>
      <c r="L474" s="408">
        <v>0</v>
      </c>
      <c r="M474" s="408">
        <v>0</v>
      </c>
    </row>
    <row r="475" spans="2:13" s="406" customFormat="1">
      <c r="B475" s="589" t="s">
        <v>796</v>
      </c>
      <c r="C475" s="590"/>
      <c r="D475" s="591"/>
      <c r="E475" s="408">
        <v>93401</v>
      </c>
      <c r="F475" s="408">
        <v>43747</v>
      </c>
      <c r="G475" s="408">
        <v>101438</v>
      </c>
      <c r="H475" s="408">
        <v>139870</v>
      </c>
      <c r="I475" s="408">
        <v>126078</v>
      </c>
      <c r="J475" s="408">
        <v>60791</v>
      </c>
      <c r="K475" s="408">
        <v>87266</v>
      </c>
      <c r="L475" s="408">
        <v>171690</v>
      </c>
      <c r="M475" s="408">
        <v>255647</v>
      </c>
    </row>
    <row r="476" spans="2:13" s="406" customFormat="1">
      <c r="B476" s="607" t="s">
        <v>797</v>
      </c>
      <c r="C476" s="590"/>
      <c r="D476" s="591"/>
      <c r="E476" s="409">
        <v>160351</v>
      </c>
      <c r="F476" s="409">
        <v>95971</v>
      </c>
      <c r="G476" s="409">
        <v>413090</v>
      </c>
      <c r="H476" s="409">
        <v>281511</v>
      </c>
      <c r="I476" s="409">
        <v>248205</v>
      </c>
      <c r="J476" s="409">
        <v>309272</v>
      </c>
      <c r="K476" s="409">
        <v>364900</v>
      </c>
      <c r="L476" s="409">
        <v>584590</v>
      </c>
      <c r="M476" s="409">
        <v>871191</v>
      </c>
    </row>
    <row r="477" spans="2:13" s="430" customFormat="1">
      <c r="B477" s="604" t="s">
        <v>798</v>
      </c>
      <c r="C477" s="605"/>
      <c r="D477" s="606"/>
      <c r="E477" s="429"/>
      <c r="F477" s="429"/>
      <c r="G477" s="429"/>
      <c r="H477" s="429"/>
      <c r="I477" s="429"/>
      <c r="J477" s="429"/>
      <c r="K477" s="429"/>
      <c r="L477" s="429"/>
      <c r="M477" s="429"/>
    </row>
    <row r="478" spans="2:13">
      <c r="B478" s="608" t="s">
        <v>799</v>
      </c>
      <c r="C478" s="609"/>
      <c r="D478" s="610"/>
      <c r="E478" s="388"/>
      <c r="F478" s="388"/>
      <c r="G478" s="388"/>
      <c r="H478" s="388"/>
      <c r="I478" s="388"/>
      <c r="J478" s="388"/>
      <c r="K478" s="388"/>
      <c r="L478" s="388"/>
      <c r="M478" s="388"/>
    </row>
    <row r="479" spans="2:13">
      <c r="B479" s="608" t="s">
        <v>800</v>
      </c>
      <c r="C479" s="609"/>
      <c r="D479" s="610"/>
      <c r="E479" s="405">
        <v>168903</v>
      </c>
      <c r="F479" s="405">
        <v>185909</v>
      </c>
      <c r="G479" s="405">
        <v>263159</v>
      </c>
      <c r="H479" s="405">
        <v>334961</v>
      </c>
      <c r="I479" s="405">
        <v>308018</v>
      </c>
      <c r="J479" s="405">
        <v>381080</v>
      </c>
      <c r="K479" s="405">
        <v>495476</v>
      </c>
      <c r="L479" s="405">
        <v>832141</v>
      </c>
      <c r="M479" s="405">
        <v>709174</v>
      </c>
    </row>
    <row r="480" spans="2:13">
      <c r="B480" s="608" t="s">
        <v>801</v>
      </c>
      <c r="C480" s="609"/>
      <c r="D480" s="610"/>
      <c r="E480" s="405">
        <v>0</v>
      </c>
      <c r="F480" s="405">
        <v>0</v>
      </c>
      <c r="G480" s="405">
        <v>117769</v>
      </c>
      <c r="H480" s="405">
        <v>0</v>
      </c>
      <c r="I480" s="405">
        <v>0</v>
      </c>
      <c r="J480" s="405">
        <v>0</v>
      </c>
      <c r="K480" s="405">
        <v>0</v>
      </c>
      <c r="L480" s="405">
        <v>0</v>
      </c>
      <c r="M480" s="405">
        <v>0</v>
      </c>
    </row>
    <row r="481" spans="2:13">
      <c r="B481" s="608" t="s">
        <v>802</v>
      </c>
      <c r="C481" s="609"/>
      <c r="D481" s="610"/>
      <c r="E481" s="405">
        <v>15200</v>
      </c>
      <c r="F481" s="405">
        <v>0</v>
      </c>
      <c r="G481" s="405">
        <v>2554</v>
      </c>
      <c r="H481" s="405">
        <v>7348</v>
      </c>
      <c r="I481" s="405">
        <v>39265</v>
      </c>
      <c r="J481" s="405">
        <v>26309</v>
      </c>
      <c r="K481" s="405">
        <v>0</v>
      </c>
      <c r="L481" s="405">
        <v>0</v>
      </c>
      <c r="M481" s="405">
        <v>15000</v>
      </c>
    </row>
    <row r="482" spans="2:13">
      <c r="B482" s="608" t="s">
        <v>803</v>
      </c>
      <c r="C482" s="609"/>
      <c r="D482" s="610"/>
      <c r="E482" s="405">
        <v>0</v>
      </c>
      <c r="F482" s="405">
        <v>0</v>
      </c>
      <c r="G482" s="405">
        <v>0</v>
      </c>
      <c r="H482" s="405">
        <v>3100</v>
      </c>
      <c r="I482" s="405">
        <v>20366</v>
      </c>
      <c r="J482" s="405">
        <v>0</v>
      </c>
      <c r="K482" s="405">
        <v>0</v>
      </c>
      <c r="L482" s="405">
        <v>0</v>
      </c>
      <c r="M482" s="405">
        <v>0</v>
      </c>
    </row>
    <row r="483" spans="2:13">
      <c r="B483" s="608" t="s">
        <v>804</v>
      </c>
      <c r="C483" s="609"/>
      <c r="D483" s="610"/>
      <c r="E483" s="405">
        <v>22204</v>
      </c>
      <c r="F483" s="405">
        <v>41289</v>
      </c>
      <c r="G483" s="405">
        <v>21750</v>
      </c>
      <c r="H483" s="405">
        <v>45551</v>
      </c>
      <c r="I483" s="405">
        <v>75160</v>
      </c>
      <c r="J483" s="405">
        <v>6787</v>
      </c>
      <c r="K483" s="405">
        <v>0</v>
      </c>
      <c r="L483" s="405">
        <v>9456</v>
      </c>
      <c r="M483" s="405">
        <v>56424</v>
      </c>
    </row>
    <row r="484" spans="2:13">
      <c r="B484" s="615" t="s">
        <v>805</v>
      </c>
      <c r="C484" s="609"/>
      <c r="D484" s="610"/>
      <c r="E484" s="400">
        <v>206307</v>
      </c>
      <c r="F484" s="400">
        <v>227198</v>
      </c>
      <c r="G484" s="400">
        <v>405232</v>
      </c>
      <c r="H484" s="400">
        <v>390960</v>
      </c>
      <c r="I484" s="400">
        <v>442809</v>
      </c>
      <c r="J484" s="400">
        <v>414176</v>
      </c>
      <c r="K484" s="400">
        <v>495476</v>
      </c>
      <c r="L484" s="400">
        <v>841597</v>
      </c>
      <c r="M484" s="400">
        <v>780598</v>
      </c>
    </row>
    <row r="485" spans="2:13">
      <c r="B485" s="615" t="s">
        <v>806</v>
      </c>
      <c r="C485" s="609"/>
      <c r="D485" s="610"/>
      <c r="E485" s="400">
        <v>366658</v>
      </c>
      <c r="F485" s="400">
        <v>337169</v>
      </c>
      <c r="G485" s="400">
        <v>1029267</v>
      </c>
      <c r="H485" s="400">
        <v>672471</v>
      </c>
      <c r="I485" s="400">
        <v>691014</v>
      </c>
      <c r="J485" s="400">
        <v>723448</v>
      </c>
      <c r="K485" s="400">
        <v>1273726</v>
      </c>
      <c r="L485" s="400">
        <v>1593363</v>
      </c>
      <c r="M485" s="400">
        <v>1949979</v>
      </c>
    </row>
    <row r="486" spans="2:13">
      <c r="B486" s="615" t="s">
        <v>807</v>
      </c>
      <c r="C486" s="609"/>
      <c r="D486" s="610"/>
      <c r="E486" s="400">
        <v>766658</v>
      </c>
      <c r="F486" s="400">
        <v>373169</v>
      </c>
      <c r="G486" s="400">
        <v>1411946</v>
      </c>
      <c r="H486" s="400">
        <v>672471</v>
      </c>
      <c r="I486" s="400">
        <v>756513</v>
      </c>
      <c r="J486" s="400">
        <v>723448</v>
      </c>
      <c r="K486" s="400">
        <v>3627538</v>
      </c>
      <c r="L486" s="400">
        <v>2768597</v>
      </c>
      <c r="M486" s="400">
        <v>6004167</v>
      </c>
    </row>
    <row r="487" spans="2:13">
      <c r="B487" s="608" t="s">
        <v>808</v>
      </c>
      <c r="C487" s="609"/>
      <c r="D487" s="610"/>
      <c r="E487" s="405">
        <v>643361</v>
      </c>
      <c r="F487" s="405">
        <v>399037</v>
      </c>
      <c r="G487" s="405">
        <v>1077894</v>
      </c>
      <c r="H487" s="405">
        <v>1527943</v>
      </c>
      <c r="I487" s="405">
        <v>4094180</v>
      </c>
      <c r="J487" s="405">
        <v>1103709</v>
      </c>
      <c r="K487" s="405">
        <v>4759918</v>
      </c>
      <c r="L487" s="405">
        <v>3380002</v>
      </c>
      <c r="M487" s="405">
        <v>10125646</v>
      </c>
    </row>
    <row r="488" spans="2:13">
      <c r="B488" s="615" t="s">
        <v>809</v>
      </c>
      <c r="C488" s="609"/>
      <c r="D488" s="610"/>
      <c r="E488" s="400">
        <v>643361</v>
      </c>
      <c r="F488" s="400">
        <v>399037</v>
      </c>
      <c r="G488" s="400">
        <v>1077894</v>
      </c>
      <c r="H488" s="400">
        <v>1527943</v>
      </c>
      <c r="I488" s="400">
        <v>4094180</v>
      </c>
      <c r="J488" s="400">
        <v>1103709</v>
      </c>
      <c r="K488" s="400">
        <v>4759918</v>
      </c>
      <c r="L488" s="400">
        <v>3380002</v>
      </c>
      <c r="M488" s="400">
        <v>10125646</v>
      </c>
    </row>
    <row r="489" spans="2:13" s="417" customFormat="1">
      <c r="B489" s="636" t="s">
        <v>810</v>
      </c>
      <c r="C489" s="637"/>
      <c r="D489" s="638"/>
      <c r="E489" s="416"/>
      <c r="F489" s="416"/>
      <c r="G489" s="416"/>
      <c r="H489" s="416"/>
      <c r="I489" s="416"/>
      <c r="J489" s="416"/>
      <c r="K489" s="416"/>
      <c r="L489" s="416"/>
      <c r="M489" s="416"/>
    </row>
    <row r="490" spans="2:13" s="406" customFormat="1">
      <c r="B490" s="589" t="s">
        <v>811</v>
      </c>
      <c r="C490" s="590"/>
      <c r="D490" s="591"/>
      <c r="E490" s="407"/>
      <c r="F490" s="407"/>
      <c r="G490" s="407"/>
      <c r="H490" s="407"/>
      <c r="I490" s="407"/>
      <c r="J490" s="407"/>
      <c r="K490" s="407"/>
      <c r="L490" s="407"/>
      <c r="M490" s="407"/>
    </row>
    <row r="491" spans="2:13" s="406" customFormat="1">
      <c r="B491" s="589" t="s">
        <v>812</v>
      </c>
      <c r="C491" s="590"/>
      <c r="D491" s="591"/>
      <c r="E491" s="408">
        <v>0</v>
      </c>
      <c r="F491" s="408">
        <v>0</v>
      </c>
      <c r="G491" s="408">
        <v>0</v>
      </c>
      <c r="H491" s="408">
        <v>0</v>
      </c>
      <c r="I491" s="408">
        <v>0</v>
      </c>
      <c r="J491" s="408">
        <v>105840</v>
      </c>
      <c r="K491" s="408">
        <v>0</v>
      </c>
      <c r="L491" s="408">
        <v>0</v>
      </c>
      <c r="M491" s="408">
        <v>0</v>
      </c>
    </row>
    <row r="492" spans="2:13" s="406" customFormat="1">
      <c r="B492" s="589" t="s">
        <v>813</v>
      </c>
      <c r="C492" s="590"/>
      <c r="D492" s="591"/>
      <c r="E492" s="408">
        <v>0</v>
      </c>
      <c r="F492" s="408">
        <v>168000</v>
      </c>
      <c r="G492" s="408">
        <v>0</v>
      </c>
      <c r="H492" s="408">
        <v>0</v>
      </c>
      <c r="I492" s="408">
        <v>0</v>
      </c>
      <c r="J492" s="408">
        <v>5063940</v>
      </c>
      <c r="K492" s="408">
        <v>0</v>
      </c>
      <c r="L492" s="408">
        <v>0</v>
      </c>
      <c r="M492" s="408">
        <v>0</v>
      </c>
    </row>
    <row r="493" spans="2:13" s="406" customFormat="1">
      <c r="B493" s="589" t="s">
        <v>814</v>
      </c>
      <c r="C493" s="590"/>
      <c r="D493" s="591"/>
      <c r="E493" s="408">
        <v>0</v>
      </c>
      <c r="F493" s="408">
        <v>0</v>
      </c>
      <c r="G493" s="408">
        <v>0</v>
      </c>
      <c r="H493" s="408">
        <v>0</v>
      </c>
      <c r="I493" s="408">
        <v>0</v>
      </c>
      <c r="J493" s="408">
        <v>0</v>
      </c>
      <c r="K493" s="408">
        <v>0</v>
      </c>
      <c r="L493" s="408">
        <v>0</v>
      </c>
      <c r="M493" s="408">
        <v>0</v>
      </c>
    </row>
    <row r="494" spans="2:13" s="406" customFormat="1">
      <c r="B494" s="589" t="s">
        <v>815</v>
      </c>
      <c r="C494" s="590"/>
      <c r="D494" s="591"/>
      <c r="E494" s="408">
        <v>0</v>
      </c>
      <c r="F494" s="408">
        <v>0</v>
      </c>
      <c r="G494" s="408">
        <v>0</v>
      </c>
      <c r="H494" s="408">
        <v>0</v>
      </c>
      <c r="I494" s="408">
        <v>0</v>
      </c>
      <c r="J494" s="408">
        <v>0</v>
      </c>
      <c r="K494" s="408">
        <v>0</v>
      </c>
      <c r="L494" s="408">
        <v>0</v>
      </c>
      <c r="M494" s="408">
        <v>0</v>
      </c>
    </row>
    <row r="495" spans="2:13" s="406" customFormat="1">
      <c r="B495" s="589" t="s">
        <v>816</v>
      </c>
      <c r="C495" s="590"/>
      <c r="D495" s="591"/>
      <c r="E495" s="408">
        <v>0</v>
      </c>
      <c r="F495" s="408">
        <v>0</v>
      </c>
      <c r="G495" s="408">
        <v>0</v>
      </c>
      <c r="H495" s="408">
        <v>0</v>
      </c>
      <c r="I495" s="408">
        <v>0</v>
      </c>
      <c r="J495" s="408">
        <v>0</v>
      </c>
      <c r="K495" s="408">
        <v>0</v>
      </c>
      <c r="L495" s="408">
        <v>0</v>
      </c>
      <c r="M495" s="408">
        <v>0</v>
      </c>
    </row>
    <row r="496" spans="2:13" s="406" customFormat="1">
      <c r="B496" s="589" t="s">
        <v>817</v>
      </c>
      <c r="C496" s="590"/>
      <c r="D496" s="591"/>
      <c r="E496" s="408">
        <v>0</v>
      </c>
      <c r="F496" s="408">
        <v>0</v>
      </c>
      <c r="G496" s="408">
        <v>0</v>
      </c>
      <c r="H496" s="408">
        <v>0</v>
      </c>
      <c r="I496" s="408">
        <v>0</v>
      </c>
      <c r="J496" s="408">
        <v>0</v>
      </c>
      <c r="K496" s="408">
        <v>0</v>
      </c>
      <c r="L496" s="408">
        <v>0</v>
      </c>
      <c r="M496" s="408">
        <v>600000</v>
      </c>
    </row>
    <row r="497" spans="2:13" s="406" customFormat="1">
      <c r="B497" s="607" t="s">
        <v>818</v>
      </c>
      <c r="C497" s="590"/>
      <c r="D497" s="591"/>
      <c r="E497" s="409">
        <v>0</v>
      </c>
      <c r="F497" s="409">
        <v>168000</v>
      </c>
      <c r="G497" s="409">
        <v>0</v>
      </c>
      <c r="H497" s="409">
        <v>0</v>
      </c>
      <c r="I497" s="409">
        <v>0</v>
      </c>
      <c r="J497" s="409">
        <v>5169780</v>
      </c>
      <c r="K497" s="409">
        <v>0</v>
      </c>
      <c r="L497" s="409">
        <v>0</v>
      </c>
      <c r="M497" s="409">
        <v>600000</v>
      </c>
    </row>
    <row r="498" spans="2:13" s="417" customFormat="1">
      <c r="B498" s="640" t="s">
        <v>819</v>
      </c>
      <c r="C498" s="637"/>
      <c r="D498" s="638"/>
      <c r="E498" s="416"/>
      <c r="F498" s="416"/>
      <c r="G498" s="416"/>
      <c r="H498" s="416"/>
      <c r="I498" s="416"/>
      <c r="J498" s="416"/>
      <c r="K498" s="416"/>
      <c r="L498" s="416"/>
      <c r="M498" s="416"/>
    </row>
    <row r="499" spans="2:13" s="411" customFormat="1">
      <c r="B499" s="616" t="s">
        <v>820</v>
      </c>
      <c r="C499" s="617"/>
      <c r="D499" s="618"/>
      <c r="E499" s="410"/>
      <c r="F499" s="410"/>
      <c r="G499" s="410"/>
      <c r="H499" s="410"/>
      <c r="I499" s="410"/>
      <c r="J499" s="410"/>
      <c r="K499" s="410"/>
      <c r="L499" s="410"/>
      <c r="M499" s="410"/>
    </row>
    <row r="500" spans="2:13">
      <c r="B500" s="608" t="s">
        <v>821</v>
      </c>
      <c r="C500" s="609"/>
      <c r="D500" s="610"/>
      <c r="E500" s="405">
        <v>194200</v>
      </c>
      <c r="F500" s="405">
        <v>188740</v>
      </c>
      <c r="G500" s="405">
        <v>257909</v>
      </c>
      <c r="H500" s="405">
        <v>483634</v>
      </c>
      <c r="I500" s="405">
        <v>568155</v>
      </c>
      <c r="J500" s="405">
        <v>647257</v>
      </c>
      <c r="K500" s="405">
        <v>1039055</v>
      </c>
      <c r="L500" s="405">
        <v>1922310</v>
      </c>
      <c r="M500" s="405">
        <v>1985838</v>
      </c>
    </row>
    <row r="501" spans="2:13">
      <c r="B501" s="608" t="s">
        <v>822</v>
      </c>
      <c r="C501" s="609"/>
      <c r="D501" s="610"/>
      <c r="E501" s="405">
        <v>19200</v>
      </c>
      <c r="F501" s="405">
        <v>2165</v>
      </c>
      <c r="G501" s="405">
        <v>961</v>
      </c>
      <c r="H501" s="405">
        <v>9447</v>
      </c>
      <c r="I501" s="405">
        <v>6230</v>
      </c>
      <c r="J501" s="405">
        <v>20329</v>
      </c>
      <c r="K501" s="405">
        <v>15059</v>
      </c>
      <c r="L501" s="405">
        <v>58824</v>
      </c>
      <c r="M501" s="405">
        <v>35716</v>
      </c>
    </row>
    <row r="502" spans="2:13">
      <c r="B502" s="608" t="s">
        <v>823</v>
      </c>
      <c r="C502" s="609"/>
      <c r="D502" s="610"/>
      <c r="E502" s="405">
        <v>0</v>
      </c>
      <c r="F502" s="405">
        <v>0</v>
      </c>
      <c r="G502" s="405">
        <v>5420</v>
      </c>
      <c r="H502" s="405">
        <v>1925</v>
      </c>
      <c r="I502" s="405">
        <v>11496</v>
      </c>
      <c r="J502" s="405">
        <v>20530</v>
      </c>
      <c r="K502" s="405">
        <v>0</v>
      </c>
      <c r="L502" s="405">
        <v>6009</v>
      </c>
      <c r="M502" s="405">
        <v>50000</v>
      </c>
    </row>
    <row r="503" spans="2:13">
      <c r="B503" s="608" t="s">
        <v>824</v>
      </c>
      <c r="C503" s="609"/>
      <c r="D503" s="610"/>
      <c r="E503" s="405">
        <v>77000</v>
      </c>
      <c r="F503" s="405">
        <v>4000</v>
      </c>
      <c r="G503" s="405">
        <v>0</v>
      </c>
      <c r="H503" s="405">
        <v>0</v>
      </c>
      <c r="I503" s="405">
        <v>0</v>
      </c>
      <c r="J503" s="405">
        <v>0</v>
      </c>
      <c r="K503" s="405">
        <v>2100</v>
      </c>
      <c r="L503" s="405">
        <v>11000</v>
      </c>
      <c r="M503" s="405">
        <v>0</v>
      </c>
    </row>
    <row r="504" spans="2:13">
      <c r="B504" s="608" t="s">
        <v>825</v>
      </c>
      <c r="C504" s="609"/>
      <c r="D504" s="610"/>
      <c r="E504" s="405">
        <v>0</v>
      </c>
      <c r="F504" s="405">
        <v>0</v>
      </c>
      <c r="G504" s="405">
        <v>0</v>
      </c>
      <c r="H504" s="405">
        <v>0</v>
      </c>
      <c r="I504" s="405">
        <v>0</v>
      </c>
      <c r="J504" s="405">
        <v>0</v>
      </c>
      <c r="K504" s="405">
        <v>0</v>
      </c>
      <c r="L504" s="405">
        <v>0</v>
      </c>
      <c r="M504" s="405">
        <v>0</v>
      </c>
    </row>
    <row r="505" spans="2:13">
      <c r="B505" s="608" t="s">
        <v>826</v>
      </c>
      <c r="C505" s="609"/>
      <c r="D505" s="610"/>
      <c r="E505" s="405">
        <v>0</v>
      </c>
      <c r="F505" s="405">
        <v>0</v>
      </c>
      <c r="G505" s="405">
        <v>0</v>
      </c>
      <c r="H505" s="405">
        <v>0</v>
      </c>
      <c r="I505" s="405">
        <v>0</v>
      </c>
      <c r="J505" s="405">
        <v>0</v>
      </c>
      <c r="K505" s="405">
        <v>0</v>
      </c>
      <c r="L505" s="405">
        <v>0</v>
      </c>
      <c r="M505" s="405">
        <v>0</v>
      </c>
    </row>
    <row r="506" spans="2:13">
      <c r="B506" s="608" t="s">
        <v>827</v>
      </c>
      <c r="C506" s="609"/>
      <c r="D506" s="610"/>
      <c r="E506" s="388"/>
      <c r="F506" s="388"/>
      <c r="G506" s="388"/>
      <c r="H506" s="388"/>
      <c r="I506" s="388"/>
      <c r="J506" s="388"/>
      <c r="K506" s="388"/>
      <c r="L506" s="388"/>
      <c r="M506" s="388"/>
    </row>
    <row r="507" spans="2:13">
      <c r="B507" s="608" t="s">
        <v>828</v>
      </c>
      <c r="C507" s="609"/>
      <c r="D507" s="610"/>
      <c r="E507" s="405">
        <v>0</v>
      </c>
      <c r="F507" s="405">
        <v>0</v>
      </c>
      <c r="G507" s="405">
        <v>0</v>
      </c>
      <c r="H507" s="405">
        <v>0</v>
      </c>
      <c r="I507" s="405">
        <v>1500</v>
      </c>
      <c r="J507" s="405">
        <v>0</v>
      </c>
      <c r="K507" s="405">
        <v>0</v>
      </c>
      <c r="L507" s="405">
        <v>0</v>
      </c>
      <c r="M507" s="405">
        <v>72730</v>
      </c>
    </row>
    <row r="508" spans="2:13">
      <c r="B508" s="608" t="s">
        <v>503</v>
      </c>
      <c r="C508" s="609"/>
      <c r="D508" s="610"/>
      <c r="E508" s="405">
        <v>0</v>
      </c>
      <c r="F508" s="405">
        <v>0</v>
      </c>
      <c r="G508" s="405">
        <v>0</v>
      </c>
      <c r="H508" s="405">
        <v>0</v>
      </c>
      <c r="I508" s="405">
        <v>0</v>
      </c>
      <c r="J508" s="405">
        <v>0</v>
      </c>
      <c r="K508" s="405">
        <v>0</v>
      </c>
      <c r="L508" s="405">
        <v>0</v>
      </c>
      <c r="M508" s="405">
        <v>0</v>
      </c>
    </row>
    <row r="509" spans="2:13">
      <c r="B509" s="608" t="s">
        <v>504</v>
      </c>
      <c r="C509" s="609"/>
      <c r="D509" s="610"/>
      <c r="E509" s="405">
        <v>0</v>
      </c>
      <c r="F509" s="405">
        <v>0</v>
      </c>
      <c r="G509" s="405">
        <v>0</v>
      </c>
      <c r="H509" s="405">
        <v>5240</v>
      </c>
      <c r="I509" s="405">
        <v>27568</v>
      </c>
      <c r="J509" s="405">
        <v>0</v>
      </c>
      <c r="K509" s="405">
        <v>0</v>
      </c>
      <c r="L509" s="405">
        <v>0</v>
      </c>
      <c r="M509" s="405">
        <v>579996</v>
      </c>
    </row>
    <row r="510" spans="2:13">
      <c r="B510" s="608" t="s">
        <v>505</v>
      </c>
      <c r="C510" s="609"/>
      <c r="D510" s="610"/>
      <c r="E510" s="405">
        <v>0</v>
      </c>
      <c r="F510" s="405">
        <v>200</v>
      </c>
      <c r="G510" s="405">
        <v>900</v>
      </c>
      <c r="H510" s="405">
        <v>0</v>
      </c>
      <c r="I510" s="405">
        <v>0</v>
      </c>
      <c r="J510" s="405">
        <v>6400</v>
      </c>
      <c r="K510" s="405">
        <v>0</v>
      </c>
      <c r="L510" s="405">
        <v>4400</v>
      </c>
      <c r="M510" s="405">
        <v>0</v>
      </c>
    </row>
    <row r="511" spans="2:13">
      <c r="B511" s="608" t="s">
        <v>506</v>
      </c>
      <c r="C511" s="609"/>
      <c r="D511" s="610"/>
      <c r="E511" s="405">
        <v>100300</v>
      </c>
      <c r="F511" s="405">
        <v>5442</v>
      </c>
      <c r="G511" s="405">
        <v>0</v>
      </c>
      <c r="H511" s="405">
        <v>5000</v>
      </c>
      <c r="I511" s="405">
        <v>87375</v>
      </c>
      <c r="J511" s="405">
        <v>24650</v>
      </c>
      <c r="K511" s="405">
        <v>0</v>
      </c>
      <c r="L511" s="405">
        <v>0</v>
      </c>
      <c r="M511" s="405">
        <v>0</v>
      </c>
    </row>
    <row r="512" spans="2:13">
      <c r="B512" s="608" t="s">
        <v>522</v>
      </c>
      <c r="C512" s="609"/>
      <c r="D512" s="610"/>
      <c r="E512" s="405">
        <v>0</v>
      </c>
      <c r="F512" s="405">
        <v>15500</v>
      </c>
      <c r="G512" s="405">
        <v>45972</v>
      </c>
      <c r="H512" s="405">
        <v>100</v>
      </c>
      <c r="I512" s="405">
        <v>3714</v>
      </c>
      <c r="J512" s="405">
        <v>8586</v>
      </c>
      <c r="K512" s="405">
        <v>0</v>
      </c>
      <c r="L512" s="405">
        <v>3210</v>
      </c>
      <c r="M512" s="405">
        <v>120439</v>
      </c>
    </row>
    <row r="513" spans="2:13">
      <c r="B513" s="615" t="s">
        <v>186</v>
      </c>
      <c r="C513" s="609"/>
      <c r="D513" s="610"/>
      <c r="E513" s="400">
        <v>100300</v>
      </c>
      <c r="F513" s="400">
        <v>21142</v>
      </c>
      <c r="G513" s="400">
        <v>46872</v>
      </c>
      <c r="H513" s="400">
        <v>10340</v>
      </c>
      <c r="I513" s="400">
        <v>120157</v>
      </c>
      <c r="J513" s="400">
        <v>39636</v>
      </c>
      <c r="K513" s="400">
        <v>0</v>
      </c>
      <c r="L513" s="400">
        <v>7610</v>
      </c>
      <c r="M513" s="400">
        <v>773165</v>
      </c>
    </row>
    <row r="514" spans="2:13">
      <c r="B514" s="608" t="s">
        <v>829</v>
      </c>
      <c r="C514" s="609"/>
      <c r="D514" s="610"/>
      <c r="E514" s="405">
        <v>0</v>
      </c>
      <c r="F514" s="405">
        <v>0</v>
      </c>
      <c r="G514" s="405">
        <v>495</v>
      </c>
      <c r="H514" s="405">
        <v>427</v>
      </c>
      <c r="I514" s="405">
        <v>0</v>
      </c>
      <c r="J514" s="405">
        <v>0</v>
      </c>
      <c r="K514" s="405">
        <v>0</v>
      </c>
      <c r="L514" s="405">
        <v>0</v>
      </c>
      <c r="M514" s="405">
        <v>0</v>
      </c>
    </row>
    <row r="515" spans="2:13">
      <c r="B515" s="615" t="s">
        <v>830</v>
      </c>
      <c r="C515" s="609"/>
      <c r="D515" s="610"/>
      <c r="E515" s="400">
        <v>390700</v>
      </c>
      <c r="F515" s="400">
        <v>216047</v>
      </c>
      <c r="G515" s="400">
        <v>311657</v>
      </c>
      <c r="H515" s="400">
        <v>505773</v>
      </c>
      <c r="I515" s="400">
        <v>706038</v>
      </c>
      <c r="J515" s="400">
        <v>727752</v>
      </c>
      <c r="K515" s="400">
        <v>1056214</v>
      </c>
      <c r="L515" s="400">
        <v>2005753</v>
      </c>
      <c r="M515" s="400">
        <v>2844719</v>
      </c>
    </row>
    <row r="516" spans="2:13">
      <c r="B516" s="608" t="s">
        <v>831</v>
      </c>
      <c r="C516" s="609"/>
      <c r="D516" s="610"/>
      <c r="E516" s="405">
        <v>13</v>
      </c>
      <c r="F516" s="405">
        <v>19</v>
      </c>
      <c r="G516" s="405">
        <v>28</v>
      </c>
      <c r="H516" s="405">
        <v>60</v>
      </c>
      <c r="I516" s="405">
        <v>62</v>
      </c>
      <c r="J516" s="405">
        <v>63</v>
      </c>
      <c r="K516" s="405">
        <v>79</v>
      </c>
      <c r="L516" s="405">
        <v>150</v>
      </c>
      <c r="M516" s="405">
        <v>142</v>
      </c>
    </row>
    <row r="517" spans="2:13">
      <c r="B517" s="615" t="s">
        <v>832</v>
      </c>
      <c r="C517" s="609"/>
      <c r="D517" s="610"/>
      <c r="E517" s="400">
        <v>30053.846099999999</v>
      </c>
      <c r="F517" s="400">
        <v>11370.894700000001</v>
      </c>
      <c r="G517" s="400">
        <v>11130.607099999999</v>
      </c>
      <c r="H517" s="400">
        <v>8429.5499999999993</v>
      </c>
      <c r="I517" s="400">
        <v>11387.7096</v>
      </c>
      <c r="J517" s="400">
        <v>11551.619000000001</v>
      </c>
      <c r="K517" s="400">
        <v>13369.797399999999</v>
      </c>
      <c r="L517" s="400">
        <v>13371.686600000001</v>
      </c>
      <c r="M517" s="400">
        <v>20033.2323</v>
      </c>
    </row>
    <row r="518" spans="2:13" s="411" customFormat="1">
      <c r="B518" s="616" t="s">
        <v>833</v>
      </c>
      <c r="C518" s="617"/>
      <c r="D518" s="618"/>
      <c r="E518" s="410"/>
      <c r="F518" s="410"/>
      <c r="G518" s="410"/>
      <c r="H518" s="410"/>
      <c r="I518" s="410"/>
      <c r="J518" s="410"/>
      <c r="K518" s="410"/>
      <c r="L518" s="410"/>
      <c r="M518" s="410"/>
    </row>
    <row r="519" spans="2:13">
      <c r="B519" s="615" t="s">
        <v>465</v>
      </c>
      <c r="C519" s="609"/>
      <c r="D519" s="610"/>
      <c r="E519" s="388"/>
      <c r="F519" s="388"/>
      <c r="G519" s="388"/>
      <c r="H519" s="388"/>
      <c r="I519" s="388"/>
      <c r="J519" s="388"/>
      <c r="K519" s="388"/>
      <c r="L519" s="388"/>
      <c r="M519" s="388"/>
    </row>
    <row r="520" spans="2:13">
      <c r="B520" s="608" t="s">
        <v>834</v>
      </c>
      <c r="C520" s="609"/>
      <c r="D520" s="610"/>
      <c r="E520" s="405">
        <v>0</v>
      </c>
      <c r="F520" s="405">
        <v>0</v>
      </c>
      <c r="G520" s="405">
        <v>235846</v>
      </c>
      <c r="H520" s="405">
        <v>0</v>
      </c>
      <c r="I520" s="405">
        <v>0</v>
      </c>
      <c r="J520" s="405">
        <v>0</v>
      </c>
      <c r="K520" s="405">
        <v>0</v>
      </c>
      <c r="L520" s="405">
        <v>0</v>
      </c>
      <c r="M520" s="405">
        <v>0</v>
      </c>
    </row>
    <row r="521" spans="2:13">
      <c r="B521" s="608" t="s">
        <v>835</v>
      </c>
      <c r="C521" s="609"/>
      <c r="D521" s="610"/>
      <c r="E521" s="405">
        <v>0</v>
      </c>
      <c r="F521" s="405">
        <v>0</v>
      </c>
      <c r="G521" s="405">
        <v>0</v>
      </c>
      <c r="H521" s="405">
        <v>0</v>
      </c>
      <c r="I521" s="405">
        <v>0</v>
      </c>
      <c r="J521" s="405">
        <v>0</v>
      </c>
      <c r="K521" s="405">
        <v>0</v>
      </c>
      <c r="L521" s="405">
        <v>0</v>
      </c>
      <c r="M521" s="405">
        <v>0</v>
      </c>
    </row>
    <row r="522" spans="2:13">
      <c r="B522" s="608" t="s">
        <v>836</v>
      </c>
      <c r="C522" s="609"/>
      <c r="D522" s="610"/>
      <c r="E522" s="405">
        <v>0</v>
      </c>
      <c r="F522" s="405">
        <v>0</v>
      </c>
      <c r="G522" s="405">
        <v>970989</v>
      </c>
      <c r="H522" s="405">
        <v>0</v>
      </c>
      <c r="I522" s="405">
        <v>0</v>
      </c>
      <c r="J522" s="405">
        <v>0</v>
      </c>
      <c r="K522" s="405">
        <v>0</v>
      </c>
      <c r="L522" s="405">
        <v>0</v>
      </c>
      <c r="M522" s="405">
        <v>0</v>
      </c>
    </row>
    <row r="523" spans="2:13">
      <c r="B523" s="615" t="s">
        <v>326</v>
      </c>
      <c r="C523" s="609"/>
      <c r="D523" s="610"/>
      <c r="E523" s="400">
        <v>0</v>
      </c>
      <c r="F523" s="400">
        <v>0</v>
      </c>
      <c r="G523" s="400">
        <v>1206835</v>
      </c>
      <c r="H523" s="400">
        <v>0</v>
      </c>
      <c r="I523" s="400">
        <v>0</v>
      </c>
      <c r="J523" s="400">
        <v>0</v>
      </c>
      <c r="K523" s="400">
        <v>0</v>
      </c>
      <c r="L523" s="400">
        <v>0</v>
      </c>
      <c r="M523" s="400">
        <v>0</v>
      </c>
    </row>
    <row r="524" spans="2:13">
      <c r="B524" s="615" t="s">
        <v>526</v>
      </c>
      <c r="C524" s="609"/>
      <c r="D524" s="610"/>
      <c r="E524" s="388"/>
      <c r="F524" s="388"/>
      <c r="G524" s="388"/>
      <c r="H524" s="388"/>
      <c r="I524" s="388"/>
      <c r="J524" s="388"/>
      <c r="K524" s="388"/>
      <c r="L524" s="388"/>
      <c r="M524" s="388"/>
    </row>
    <row r="525" spans="2:13">
      <c r="B525" s="608" t="s">
        <v>837</v>
      </c>
      <c r="C525" s="609"/>
      <c r="D525" s="610"/>
      <c r="E525" s="405">
        <v>0</v>
      </c>
      <c r="F525" s="405">
        <v>0</v>
      </c>
      <c r="G525" s="405">
        <v>1379794</v>
      </c>
      <c r="H525" s="405">
        <v>0</v>
      </c>
      <c r="I525" s="405">
        <v>0</v>
      </c>
      <c r="J525" s="405">
        <v>0</v>
      </c>
      <c r="K525" s="405">
        <v>0</v>
      </c>
      <c r="L525" s="405">
        <v>0</v>
      </c>
      <c r="M525" s="405">
        <v>0</v>
      </c>
    </row>
    <row r="526" spans="2:13">
      <c r="B526" s="608" t="s">
        <v>838</v>
      </c>
      <c r="C526" s="609"/>
      <c r="D526" s="610"/>
      <c r="E526" s="405">
        <v>0</v>
      </c>
      <c r="F526" s="405">
        <v>0</v>
      </c>
      <c r="G526" s="405">
        <v>67471</v>
      </c>
      <c r="H526" s="405">
        <v>0</v>
      </c>
      <c r="I526" s="405">
        <v>0</v>
      </c>
      <c r="J526" s="405">
        <v>0</v>
      </c>
      <c r="K526" s="405">
        <v>0</v>
      </c>
      <c r="L526" s="405">
        <v>0</v>
      </c>
      <c r="M526" s="405">
        <v>0</v>
      </c>
    </row>
    <row r="527" spans="2:13">
      <c r="B527" s="608" t="s">
        <v>839</v>
      </c>
      <c r="C527" s="609"/>
      <c r="D527" s="610"/>
      <c r="E527" s="405">
        <v>0</v>
      </c>
      <c r="F527" s="405">
        <v>0</v>
      </c>
      <c r="G527" s="405">
        <v>0</v>
      </c>
      <c r="H527" s="405">
        <v>0</v>
      </c>
      <c r="I527" s="405">
        <v>0</v>
      </c>
      <c r="J527" s="405">
        <v>0</v>
      </c>
      <c r="K527" s="405">
        <v>0</v>
      </c>
      <c r="L527" s="405">
        <v>0</v>
      </c>
      <c r="M527" s="405">
        <v>0</v>
      </c>
    </row>
    <row r="528" spans="2:13">
      <c r="B528" s="608" t="s">
        <v>840</v>
      </c>
      <c r="C528" s="609"/>
      <c r="D528" s="610"/>
      <c r="E528" s="405">
        <v>0</v>
      </c>
      <c r="F528" s="405">
        <v>0</v>
      </c>
      <c r="G528" s="405">
        <v>0</v>
      </c>
      <c r="H528" s="405">
        <v>0</v>
      </c>
      <c r="I528" s="405">
        <v>0</v>
      </c>
      <c r="J528" s="405">
        <v>0</v>
      </c>
      <c r="K528" s="405">
        <v>0</v>
      </c>
      <c r="L528" s="405">
        <v>0</v>
      </c>
      <c r="M528" s="405">
        <v>0</v>
      </c>
    </row>
    <row r="529" spans="2:13">
      <c r="B529" s="615" t="s">
        <v>841</v>
      </c>
      <c r="C529" s="609"/>
      <c r="D529" s="610"/>
      <c r="E529" s="400">
        <v>0</v>
      </c>
      <c r="F529" s="400">
        <v>0</v>
      </c>
      <c r="G529" s="400">
        <v>1447265</v>
      </c>
      <c r="H529" s="400">
        <v>0</v>
      </c>
      <c r="I529" s="400">
        <v>0</v>
      </c>
      <c r="J529" s="400">
        <v>0</v>
      </c>
      <c r="K529" s="400">
        <v>0</v>
      </c>
      <c r="L529" s="400">
        <v>0</v>
      </c>
      <c r="M529" s="400">
        <v>0</v>
      </c>
    </row>
    <row r="530" spans="2:13">
      <c r="B530" s="615" t="s">
        <v>649</v>
      </c>
      <c r="C530" s="609"/>
      <c r="D530" s="610"/>
      <c r="E530" s="400">
        <v>0</v>
      </c>
      <c r="F530" s="400">
        <v>0</v>
      </c>
      <c r="G530" s="400">
        <v>-240430</v>
      </c>
      <c r="H530" s="400">
        <v>0</v>
      </c>
      <c r="I530" s="400">
        <v>0</v>
      </c>
      <c r="J530" s="400">
        <v>0</v>
      </c>
      <c r="K530" s="400">
        <v>0</v>
      </c>
      <c r="L530" s="400">
        <v>0</v>
      </c>
      <c r="M530" s="400">
        <v>0</v>
      </c>
    </row>
    <row r="531" spans="2:13" s="411" customFormat="1">
      <c r="B531" s="616" t="s">
        <v>543</v>
      </c>
      <c r="C531" s="617"/>
      <c r="D531" s="618"/>
      <c r="E531" s="410"/>
      <c r="F531" s="410"/>
      <c r="G531" s="410"/>
      <c r="H531" s="410"/>
      <c r="I531" s="410"/>
      <c r="J531" s="410"/>
      <c r="K531" s="410"/>
      <c r="L531" s="410"/>
      <c r="M531" s="410"/>
    </row>
    <row r="532" spans="2:13">
      <c r="B532" s="615" t="s">
        <v>465</v>
      </c>
      <c r="C532" s="609"/>
      <c r="D532" s="610"/>
      <c r="E532" s="388"/>
      <c r="F532" s="388"/>
      <c r="G532" s="388"/>
      <c r="H532" s="388"/>
      <c r="I532" s="388"/>
      <c r="J532" s="388"/>
      <c r="K532" s="388"/>
      <c r="L532" s="388"/>
      <c r="M532" s="388"/>
    </row>
    <row r="533" spans="2:13">
      <c r="B533" s="608" t="s">
        <v>842</v>
      </c>
      <c r="C533" s="609"/>
      <c r="D533" s="610"/>
      <c r="E533" s="405">
        <v>0</v>
      </c>
      <c r="F533" s="405">
        <v>0</v>
      </c>
      <c r="G533" s="405">
        <v>0</v>
      </c>
      <c r="H533" s="405">
        <v>0</v>
      </c>
      <c r="I533" s="405">
        <v>0</v>
      </c>
      <c r="J533" s="405">
        <v>0</v>
      </c>
      <c r="K533" s="405">
        <v>6528</v>
      </c>
      <c r="L533" s="405">
        <v>62400</v>
      </c>
      <c r="M533" s="405">
        <v>161280</v>
      </c>
    </row>
    <row r="534" spans="2:13">
      <c r="B534" s="608" t="s">
        <v>843</v>
      </c>
      <c r="C534" s="609"/>
      <c r="D534" s="610"/>
      <c r="E534" s="405">
        <v>0</v>
      </c>
      <c r="F534" s="405">
        <v>0</v>
      </c>
      <c r="G534" s="405">
        <v>0</v>
      </c>
      <c r="H534" s="405">
        <v>0</v>
      </c>
      <c r="I534" s="405">
        <v>0</v>
      </c>
      <c r="J534" s="405">
        <v>0</v>
      </c>
      <c r="K534" s="405">
        <v>0</v>
      </c>
      <c r="L534" s="405">
        <v>0</v>
      </c>
      <c r="M534" s="405">
        <v>0</v>
      </c>
    </row>
    <row r="535" spans="2:13">
      <c r="B535" s="608" t="s">
        <v>844</v>
      </c>
      <c r="C535" s="609"/>
      <c r="D535" s="610"/>
      <c r="E535" s="405">
        <v>0</v>
      </c>
      <c r="F535" s="405">
        <v>0</v>
      </c>
      <c r="G535" s="405">
        <v>0</v>
      </c>
      <c r="H535" s="405">
        <v>0</v>
      </c>
      <c r="I535" s="405">
        <v>0</v>
      </c>
      <c r="J535" s="405">
        <v>0</v>
      </c>
      <c r="K535" s="405">
        <v>10279</v>
      </c>
      <c r="L535" s="405">
        <v>158088</v>
      </c>
      <c r="M535" s="405">
        <v>100425</v>
      </c>
    </row>
    <row r="536" spans="2:13">
      <c r="B536" s="615" t="s">
        <v>326</v>
      </c>
      <c r="C536" s="609"/>
      <c r="D536" s="610"/>
      <c r="E536" s="400">
        <v>0</v>
      </c>
      <c r="F536" s="400">
        <v>0</v>
      </c>
      <c r="G536" s="400">
        <v>0</v>
      </c>
      <c r="H536" s="400">
        <v>0</v>
      </c>
      <c r="I536" s="400">
        <v>0</v>
      </c>
      <c r="J536" s="400">
        <v>0</v>
      </c>
      <c r="K536" s="400">
        <v>16807</v>
      </c>
      <c r="L536" s="400">
        <v>220488</v>
      </c>
      <c r="M536" s="400">
        <v>261705</v>
      </c>
    </row>
    <row r="537" spans="2:13" s="417" customFormat="1">
      <c r="B537" s="636" t="s">
        <v>526</v>
      </c>
      <c r="C537" s="637"/>
      <c r="D537" s="638"/>
      <c r="E537" s="416"/>
      <c r="F537" s="416"/>
      <c r="G537" s="416"/>
      <c r="H537" s="416"/>
      <c r="I537" s="416"/>
      <c r="J537" s="416"/>
      <c r="K537" s="416"/>
      <c r="L537" s="416"/>
      <c r="M537" s="416"/>
    </row>
    <row r="538" spans="2:13">
      <c r="B538" s="608" t="s">
        <v>845</v>
      </c>
      <c r="C538" s="609"/>
      <c r="D538" s="610"/>
      <c r="E538" s="405">
        <v>0</v>
      </c>
      <c r="F538" s="405">
        <v>0</v>
      </c>
      <c r="G538" s="405">
        <v>0</v>
      </c>
      <c r="H538" s="405">
        <v>0</v>
      </c>
      <c r="I538" s="405">
        <v>0</v>
      </c>
      <c r="J538" s="405">
        <v>0</v>
      </c>
      <c r="K538" s="405">
        <v>6269</v>
      </c>
      <c r="L538" s="405">
        <v>171918</v>
      </c>
      <c r="M538" s="405">
        <v>249797</v>
      </c>
    </row>
    <row r="539" spans="2:13">
      <c r="B539" s="608" t="s">
        <v>846</v>
      </c>
      <c r="C539" s="609"/>
      <c r="D539" s="610"/>
      <c r="E539" s="405">
        <v>0</v>
      </c>
      <c r="F539" s="405">
        <v>0</v>
      </c>
      <c r="G539" s="405">
        <v>0</v>
      </c>
      <c r="H539" s="405">
        <v>0</v>
      </c>
      <c r="I539" s="405">
        <v>0</v>
      </c>
      <c r="J539" s="405">
        <v>0</v>
      </c>
      <c r="K539" s="405">
        <v>0</v>
      </c>
      <c r="L539" s="405">
        <v>8750</v>
      </c>
      <c r="M539" s="405">
        <v>2869</v>
      </c>
    </row>
    <row r="540" spans="2:13">
      <c r="B540" s="615" t="s">
        <v>841</v>
      </c>
      <c r="C540" s="609"/>
      <c r="D540" s="610"/>
      <c r="E540" s="400">
        <v>0</v>
      </c>
      <c r="F540" s="400">
        <v>0</v>
      </c>
      <c r="G540" s="400">
        <v>0</v>
      </c>
      <c r="H540" s="400">
        <v>0</v>
      </c>
      <c r="I540" s="400">
        <v>0</v>
      </c>
      <c r="J540" s="400">
        <v>0</v>
      </c>
      <c r="K540" s="400">
        <v>6269</v>
      </c>
      <c r="L540" s="400">
        <v>180668</v>
      </c>
      <c r="M540" s="400">
        <v>252666</v>
      </c>
    </row>
    <row r="541" spans="2:13">
      <c r="B541" s="615" t="s">
        <v>649</v>
      </c>
      <c r="C541" s="609"/>
      <c r="D541" s="610"/>
      <c r="E541" s="400">
        <v>0</v>
      </c>
      <c r="F541" s="400">
        <v>0</v>
      </c>
      <c r="G541" s="400">
        <v>0</v>
      </c>
      <c r="H541" s="400">
        <v>0</v>
      </c>
      <c r="I541" s="400">
        <v>0</v>
      </c>
      <c r="J541" s="400">
        <v>0</v>
      </c>
      <c r="K541" s="400">
        <v>10538</v>
      </c>
      <c r="L541" s="400">
        <v>39820</v>
      </c>
      <c r="M541" s="400">
        <v>9039</v>
      </c>
    </row>
    <row r="542" spans="2:13" s="411" customFormat="1">
      <c r="B542" s="616" t="s">
        <v>545</v>
      </c>
      <c r="C542" s="617"/>
      <c r="D542" s="618"/>
      <c r="E542" s="410"/>
      <c r="F542" s="410"/>
      <c r="G542" s="410"/>
      <c r="H542" s="410"/>
      <c r="I542" s="410"/>
      <c r="J542" s="410"/>
      <c r="K542" s="410"/>
      <c r="L542" s="410"/>
      <c r="M542" s="410"/>
    </row>
    <row r="543" spans="2:13">
      <c r="B543" s="608" t="s">
        <v>510</v>
      </c>
      <c r="C543" s="609"/>
      <c r="D543" s="610"/>
      <c r="E543" s="405">
        <v>0</v>
      </c>
      <c r="F543" s="405">
        <v>0</v>
      </c>
      <c r="G543" s="405">
        <v>0</v>
      </c>
      <c r="H543" s="405">
        <v>0</v>
      </c>
      <c r="I543" s="405">
        <v>0</v>
      </c>
      <c r="J543" s="405">
        <v>0</v>
      </c>
      <c r="K543" s="405">
        <v>0</v>
      </c>
      <c r="L543" s="405">
        <v>0</v>
      </c>
      <c r="M543" s="405">
        <v>0</v>
      </c>
    </row>
    <row r="544" spans="2:13">
      <c r="B544" s="608" t="s">
        <v>847</v>
      </c>
      <c r="C544" s="609"/>
      <c r="D544" s="610"/>
      <c r="E544" s="405">
        <v>0</v>
      </c>
      <c r="F544" s="405">
        <v>0</v>
      </c>
      <c r="G544" s="405">
        <v>0</v>
      </c>
      <c r="H544" s="405">
        <v>0</v>
      </c>
      <c r="I544" s="405">
        <v>0</v>
      </c>
      <c r="J544" s="405">
        <v>0</v>
      </c>
      <c r="K544" s="405">
        <v>0</v>
      </c>
      <c r="L544" s="405">
        <v>0</v>
      </c>
      <c r="M544" s="405">
        <v>0</v>
      </c>
    </row>
    <row r="545" spans="2:13">
      <c r="B545" s="615" t="s">
        <v>465</v>
      </c>
      <c r="C545" s="609"/>
      <c r="D545" s="610"/>
      <c r="E545" s="400">
        <v>0</v>
      </c>
      <c r="F545" s="400">
        <v>0</v>
      </c>
      <c r="G545" s="400">
        <v>0</v>
      </c>
      <c r="H545" s="400">
        <v>0</v>
      </c>
      <c r="I545" s="400">
        <v>0</v>
      </c>
      <c r="J545" s="400">
        <v>0</v>
      </c>
      <c r="K545" s="400">
        <v>0</v>
      </c>
      <c r="L545" s="400">
        <v>0</v>
      </c>
      <c r="M545" s="400">
        <v>0</v>
      </c>
    </row>
    <row r="546" spans="2:13">
      <c r="B546" s="608" t="s">
        <v>848</v>
      </c>
      <c r="C546" s="609"/>
      <c r="D546" s="610"/>
      <c r="E546" s="405">
        <v>0</v>
      </c>
      <c r="F546" s="405">
        <v>0</v>
      </c>
      <c r="G546" s="405">
        <v>0</v>
      </c>
      <c r="H546" s="405">
        <v>0</v>
      </c>
      <c r="I546" s="405">
        <v>0</v>
      </c>
      <c r="J546" s="405">
        <v>0</v>
      </c>
      <c r="K546" s="405">
        <v>0</v>
      </c>
      <c r="L546" s="405">
        <v>0</v>
      </c>
      <c r="M546" s="405">
        <v>0</v>
      </c>
    </row>
    <row r="547" spans="2:13">
      <c r="B547" s="608" t="s">
        <v>849</v>
      </c>
      <c r="C547" s="609"/>
      <c r="D547" s="610"/>
      <c r="E547" s="405">
        <v>0</v>
      </c>
      <c r="F547" s="405">
        <v>0</v>
      </c>
      <c r="G547" s="405">
        <v>0</v>
      </c>
      <c r="H547" s="405">
        <v>0</v>
      </c>
      <c r="I547" s="405">
        <v>0</v>
      </c>
      <c r="J547" s="405">
        <v>0</v>
      </c>
      <c r="K547" s="405">
        <v>0</v>
      </c>
      <c r="L547" s="405">
        <v>0</v>
      </c>
      <c r="M547" s="405">
        <v>0</v>
      </c>
    </row>
    <row r="548" spans="2:13">
      <c r="B548" s="615" t="s">
        <v>850</v>
      </c>
      <c r="C548" s="609"/>
      <c r="D548" s="610"/>
      <c r="E548" s="400">
        <v>0</v>
      </c>
      <c r="F548" s="400">
        <v>0</v>
      </c>
      <c r="G548" s="400">
        <v>0</v>
      </c>
      <c r="H548" s="400">
        <v>0</v>
      </c>
      <c r="I548" s="400">
        <v>0</v>
      </c>
      <c r="J548" s="400">
        <v>0</v>
      </c>
      <c r="K548" s="400">
        <v>0</v>
      </c>
      <c r="L548" s="400">
        <v>0</v>
      </c>
      <c r="M548" s="400">
        <v>0</v>
      </c>
    </row>
    <row r="549" spans="2:13">
      <c r="B549" s="615" t="s">
        <v>649</v>
      </c>
      <c r="C549" s="609"/>
      <c r="D549" s="610"/>
      <c r="E549" s="400">
        <v>0</v>
      </c>
      <c r="F549" s="400">
        <v>0</v>
      </c>
      <c r="G549" s="400">
        <v>0</v>
      </c>
      <c r="H549" s="400">
        <v>0</v>
      </c>
      <c r="I549" s="400">
        <v>0</v>
      </c>
      <c r="J549" s="400">
        <v>0</v>
      </c>
      <c r="K549" s="400">
        <v>0</v>
      </c>
      <c r="L549" s="400">
        <v>0</v>
      </c>
      <c r="M549" s="400">
        <v>0</v>
      </c>
    </row>
    <row r="550" spans="2:13" s="417" customFormat="1">
      <c r="B550" s="636" t="s">
        <v>588</v>
      </c>
      <c r="C550" s="637"/>
      <c r="D550" s="638"/>
      <c r="E550" s="416"/>
      <c r="F550" s="416"/>
      <c r="G550" s="416"/>
      <c r="H550" s="416"/>
      <c r="I550" s="416"/>
      <c r="J550" s="416"/>
      <c r="K550" s="416"/>
      <c r="L550" s="416"/>
      <c r="M550" s="416"/>
    </row>
    <row r="551" spans="2:13">
      <c r="B551" s="608" t="s">
        <v>851</v>
      </c>
      <c r="C551" s="609"/>
      <c r="D551" s="610"/>
      <c r="E551" s="405">
        <v>59550</v>
      </c>
      <c r="F551" s="405">
        <v>81385</v>
      </c>
      <c r="G551" s="405">
        <v>139612</v>
      </c>
      <c r="H551" s="405">
        <v>174680</v>
      </c>
      <c r="I551" s="405">
        <v>0</v>
      </c>
      <c r="J551" s="405">
        <v>296427</v>
      </c>
      <c r="K551" s="405">
        <v>212395</v>
      </c>
      <c r="L551" s="405">
        <v>418173</v>
      </c>
      <c r="M551" s="405">
        <v>452580</v>
      </c>
    </row>
    <row r="552" spans="2:13">
      <c r="B552" s="608" t="s">
        <v>852</v>
      </c>
      <c r="C552" s="609"/>
      <c r="D552" s="610"/>
      <c r="E552" s="405">
        <v>79400</v>
      </c>
      <c r="F552" s="405">
        <v>89900</v>
      </c>
      <c r="G552" s="405">
        <v>172404</v>
      </c>
      <c r="H552" s="405">
        <v>179399</v>
      </c>
      <c r="I552" s="405">
        <v>0</v>
      </c>
      <c r="J552" s="405">
        <v>275804</v>
      </c>
      <c r="K552" s="405">
        <v>192500</v>
      </c>
      <c r="L552" s="405">
        <v>331440</v>
      </c>
      <c r="M552" s="405">
        <v>337098</v>
      </c>
    </row>
    <row r="553" spans="2:13">
      <c r="B553" s="608" t="s">
        <v>853</v>
      </c>
      <c r="C553" s="609"/>
      <c r="D553" s="610"/>
      <c r="E553" s="405">
        <v>0</v>
      </c>
      <c r="F553" s="405">
        <v>0</v>
      </c>
      <c r="G553" s="405">
        <v>376</v>
      </c>
      <c r="H553" s="405">
        <v>2171</v>
      </c>
      <c r="I553" s="405">
        <v>0</v>
      </c>
      <c r="J553" s="405">
        <v>5790</v>
      </c>
      <c r="K553" s="405">
        <v>987</v>
      </c>
      <c r="L553" s="405">
        <v>6285</v>
      </c>
      <c r="M553" s="405">
        <v>1902</v>
      </c>
    </row>
    <row r="554" spans="2:13">
      <c r="B554" s="608" t="s">
        <v>854</v>
      </c>
      <c r="C554" s="609"/>
      <c r="D554" s="610"/>
      <c r="E554" s="405">
        <v>0</v>
      </c>
      <c r="F554" s="405">
        <v>0</v>
      </c>
      <c r="G554" s="405">
        <v>23469</v>
      </c>
      <c r="H554" s="405">
        <v>5100</v>
      </c>
      <c r="I554" s="405">
        <v>0</v>
      </c>
      <c r="J554" s="405">
        <v>0</v>
      </c>
      <c r="K554" s="405">
        <v>0</v>
      </c>
      <c r="L554" s="405">
        <v>0</v>
      </c>
      <c r="M554" s="405">
        <v>0</v>
      </c>
    </row>
    <row r="555" spans="2:13">
      <c r="B555" s="608" t="s">
        <v>855</v>
      </c>
      <c r="C555" s="609"/>
      <c r="D555" s="610"/>
      <c r="E555" s="405">
        <v>0</v>
      </c>
      <c r="F555" s="405">
        <v>0</v>
      </c>
      <c r="G555" s="405">
        <v>0</v>
      </c>
      <c r="H555" s="405">
        <v>0</v>
      </c>
      <c r="I555" s="405">
        <v>0</v>
      </c>
      <c r="J555" s="405">
        <v>0</v>
      </c>
      <c r="K555" s="405">
        <v>0</v>
      </c>
      <c r="L555" s="405">
        <v>0</v>
      </c>
      <c r="M555" s="405">
        <v>0</v>
      </c>
    </row>
    <row r="556" spans="2:13">
      <c r="B556" s="608" t="s">
        <v>856</v>
      </c>
      <c r="C556" s="609"/>
      <c r="D556" s="610"/>
      <c r="E556" s="405">
        <v>22000</v>
      </c>
      <c r="F556" s="405">
        <v>0</v>
      </c>
      <c r="G556" s="405">
        <v>0</v>
      </c>
      <c r="H556" s="405">
        <v>0</v>
      </c>
      <c r="I556" s="405">
        <v>0</v>
      </c>
      <c r="J556" s="405">
        <v>0</v>
      </c>
      <c r="K556" s="405">
        <v>0</v>
      </c>
      <c r="L556" s="405">
        <v>0</v>
      </c>
      <c r="M556" s="405">
        <v>0</v>
      </c>
    </row>
    <row r="557" spans="2:13">
      <c r="B557" s="608" t="s">
        <v>857</v>
      </c>
      <c r="C557" s="609"/>
      <c r="D557" s="610"/>
      <c r="E557" s="405">
        <v>0</v>
      </c>
      <c r="F557" s="405">
        <v>0</v>
      </c>
      <c r="G557" s="405">
        <v>0</v>
      </c>
      <c r="H557" s="405">
        <v>5240</v>
      </c>
      <c r="I557" s="405">
        <v>0</v>
      </c>
      <c r="J557" s="405">
        <v>0</v>
      </c>
      <c r="K557" s="405">
        <v>0</v>
      </c>
      <c r="L557" s="405">
        <v>0</v>
      </c>
      <c r="M557" s="405">
        <v>0</v>
      </c>
    </row>
    <row r="558" spans="2:13">
      <c r="B558" s="615" t="s">
        <v>465</v>
      </c>
      <c r="C558" s="609"/>
      <c r="D558" s="610"/>
      <c r="E558" s="400">
        <v>160950</v>
      </c>
      <c r="F558" s="400">
        <v>171285</v>
      </c>
      <c r="G558" s="400">
        <v>335861</v>
      </c>
      <c r="H558" s="400">
        <v>366590</v>
      </c>
      <c r="I558" s="400">
        <v>0</v>
      </c>
      <c r="J558" s="400">
        <v>578021</v>
      </c>
      <c r="K558" s="400">
        <v>405882</v>
      </c>
      <c r="L558" s="400">
        <v>755898</v>
      </c>
      <c r="M558" s="400">
        <v>791580</v>
      </c>
    </row>
    <row r="559" spans="2:13">
      <c r="B559" s="608" t="s">
        <v>858</v>
      </c>
      <c r="C559" s="609"/>
      <c r="D559" s="610"/>
      <c r="E559" s="405">
        <v>174919</v>
      </c>
      <c r="F559" s="405">
        <v>177981</v>
      </c>
      <c r="G559" s="405">
        <v>248921</v>
      </c>
      <c r="H559" s="405">
        <v>242430</v>
      </c>
      <c r="I559" s="405">
        <v>0</v>
      </c>
      <c r="J559" s="405">
        <v>357687</v>
      </c>
      <c r="K559" s="405">
        <v>690006</v>
      </c>
      <c r="L559" s="405">
        <v>768678</v>
      </c>
      <c r="M559" s="405">
        <v>539775</v>
      </c>
    </row>
    <row r="560" spans="2:13">
      <c r="B560" s="608" t="s">
        <v>859</v>
      </c>
      <c r="C560" s="609"/>
      <c r="D560" s="610"/>
      <c r="E560" s="405">
        <v>3819</v>
      </c>
      <c r="F560" s="405">
        <v>0</v>
      </c>
      <c r="G560" s="405">
        <v>6603</v>
      </c>
      <c r="H560" s="405">
        <v>8045</v>
      </c>
      <c r="I560" s="405">
        <v>0</v>
      </c>
      <c r="J560" s="405">
        <v>16811</v>
      </c>
      <c r="K560" s="405">
        <v>114781</v>
      </c>
      <c r="L560" s="405">
        <v>21112</v>
      </c>
      <c r="M560" s="405">
        <v>6643</v>
      </c>
    </row>
    <row r="561" spans="2:13">
      <c r="B561" s="608" t="s">
        <v>860</v>
      </c>
      <c r="C561" s="609"/>
      <c r="D561" s="610"/>
      <c r="E561" s="405">
        <v>0</v>
      </c>
      <c r="F561" s="405">
        <v>0</v>
      </c>
      <c r="G561" s="405">
        <v>0</v>
      </c>
      <c r="H561" s="405">
        <v>0</v>
      </c>
      <c r="I561" s="405">
        <v>0</v>
      </c>
      <c r="J561" s="405">
        <v>0</v>
      </c>
      <c r="K561" s="405">
        <v>0</v>
      </c>
      <c r="L561" s="405">
        <v>0</v>
      </c>
      <c r="M561" s="405">
        <v>0</v>
      </c>
    </row>
    <row r="562" spans="2:13">
      <c r="B562" s="608" t="s">
        <v>861</v>
      </c>
      <c r="C562" s="609"/>
      <c r="D562" s="610"/>
      <c r="E562" s="405">
        <v>0</v>
      </c>
      <c r="F562" s="405">
        <v>0</v>
      </c>
      <c r="G562" s="405">
        <v>0</v>
      </c>
      <c r="H562" s="405">
        <v>0</v>
      </c>
      <c r="I562" s="405">
        <v>0</v>
      </c>
      <c r="J562" s="405">
        <v>0</v>
      </c>
      <c r="K562" s="405">
        <v>0</v>
      </c>
      <c r="L562" s="405">
        <v>0</v>
      </c>
      <c r="M562" s="405">
        <v>0</v>
      </c>
    </row>
    <row r="563" spans="2:13">
      <c r="B563" s="615" t="s">
        <v>850</v>
      </c>
      <c r="C563" s="609"/>
      <c r="D563" s="610"/>
      <c r="E563" s="400">
        <v>178738</v>
      </c>
      <c r="F563" s="400">
        <v>177981</v>
      </c>
      <c r="G563" s="400">
        <v>255524</v>
      </c>
      <c r="H563" s="400">
        <v>250475</v>
      </c>
      <c r="I563" s="400">
        <v>0</v>
      </c>
      <c r="J563" s="400">
        <v>374498</v>
      </c>
      <c r="K563" s="400">
        <v>804787</v>
      </c>
      <c r="L563" s="400">
        <v>789790</v>
      </c>
      <c r="M563" s="400">
        <v>546418</v>
      </c>
    </row>
    <row r="564" spans="2:13">
      <c r="B564" s="615" t="s">
        <v>649</v>
      </c>
      <c r="C564" s="609"/>
      <c r="D564" s="610"/>
      <c r="E564" s="400">
        <v>-17788</v>
      </c>
      <c r="F564" s="400">
        <v>-6696</v>
      </c>
      <c r="G564" s="400">
        <v>80337</v>
      </c>
      <c r="H564" s="400">
        <v>116115</v>
      </c>
      <c r="I564" s="400">
        <v>0</v>
      </c>
      <c r="J564" s="400">
        <v>203523</v>
      </c>
      <c r="K564" s="400">
        <v>-398905</v>
      </c>
      <c r="L564" s="400">
        <v>-33892</v>
      </c>
      <c r="M564" s="400">
        <v>245162</v>
      </c>
    </row>
    <row r="565" spans="2:13" s="417" customFormat="1">
      <c r="B565" s="640" t="s">
        <v>862</v>
      </c>
      <c r="C565" s="637"/>
      <c r="D565" s="638"/>
      <c r="E565" s="415"/>
      <c r="F565" s="415"/>
      <c r="G565" s="416"/>
      <c r="H565" s="415"/>
      <c r="I565" s="415"/>
      <c r="J565" s="415"/>
      <c r="K565" s="415"/>
      <c r="L565" s="415"/>
      <c r="M565" s="415"/>
    </row>
    <row r="566" spans="2:13" s="417" customFormat="1">
      <c r="B566" s="636" t="s">
        <v>463</v>
      </c>
      <c r="C566" s="637"/>
      <c r="D566" s="638"/>
      <c r="E566" s="415"/>
      <c r="F566" s="415"/>
      <c r="G566" s="416"/>
      <c r="H566" s="415"/>
      <c r="I566" s="415"/>
      <c r="J566" s="415"/>
      <c r="K566" s="415"/>
      <c r="L566" s="415"/>
      <c r="M566" s="415"/>
    </row>
    <row r="567" spans="2:13">
      <c r="B567" s="615" t="s">
        <v>863</v>
      </c>
      <c r="C567" s="609"/>
      <c r="D567" s="610"/>
      <c r="E567" s="400">
        <v>1184787</v>
      </c>
      <c r="F567" s="400">
        <v>1816968</v>
      </c>
      <c r="G567" s="400">
        <v>3975703</v>
      </c>
      <c r="H567" s="400">
        <v>4623221</v>
      </c>
      <c r="I567" s="400">
        <v>4681702</v>
      </c>
      <c r="J567" s="400">
        <v>5178728</v>
      </c>
      <c r="K567" s="400">
        <v>6819497</v>
      </c>
      <c r="L567" s="400">
        <v>11065572</v>
      </c>
      <c r="M567" s="400">
        <v>11770882</v>
      </c>
    </row>
    <row r="568" spans="2:13">
      <c r="B568" s="615" t="s">
        <v>864</v>
      </c>
      <c r="C568" s="609"/>
      <c r="D568" s="610"/>
      <c r="E568" s="400">
        <v>731087</v>
      </c>
      <c r="F568" s="400">
        <v>1504421</v>
      </c>
      <c r="G568" s="400">
        <v>2250546</v>
      </c>
      <c r="H568" s="400">
        <v>3931205</v>
      </c>
      <c r="I568" s="400">
        <v>3972752</v>
      </c>
      <c r="J568" s="400">
        <v>4169382</v>
      </c>
      <c r="K568" s="400">
        <v>5547989</v>
      </c>
      <c r="L568" s="400">
        <v>8501603</v>
      </c>
      <c r="M568" s="400">
        <v>8281482</v>
      </c>
    </row>
    <row r="569" spans="2:13">
      <c r="B569" s="615" t="s">
        <v>526</v>
      </c>
      <c r="C569" s="609"/>
      <c r="D569" s="610"/>
      <c r="E569" s="400">
        <v>1307040</v>
      </c>
      <c r="F569" s="400">
        <v>1723608</v>
      </c>
      <c r="G569" s="400">
        <v>5377318</v>
      </c>
      <c r="H569" s="400">
        <v>4702060</v>
      </c>
      <c r="I569" s="400">
        <v>4258715</v>
      </c>
      <c r="J569" s="400">
        <v>5067772</v>
      </c>
      <c r="K569" s="400">
        <v>6426667</v>
      </c>
      <c r="L569" s="400">
        <v>10411720</v>
      </c>
      <c r="M569" s="400">
        <v>11513797</v>
      </c>
    </row>
    <row r="570" spans="2:13">
      <c r="B570" s="615" t="s">
        <v>629</v>
      </c>
      <c r="C570" s="609"/>
      <c r="D570" s="610"/>
      <c r="E570" s="400">
        <v>-122253</v>
      </c>
      <c r="F570" s="400">
        <v>93360</v>
      </c>
      <c r="G570" s="400">
        <v>-1401615</v>
      </c>
      <c r="H570" s="400">
        <v>-78839</v>
      </c>
      <c r="I570" s="400">
        <v>422987</v>
      </c>
      <c r="J570" s="400">
        <v>110956</v>
      </c>
      <c r="K570" s="400">
        <v>392830</v>
      </c>
      <c r="L570" s="400">
        <v>653852</v>
      </c>
      <c r="M570" s="400">
        <v>257085</v>
      </c>
    </row>
    <row r="571" spans="2:13">
      <c r="B571" s="615" t="s">
        <v>630</v>
      </c>
      <c r="C571" s="609"/>
      <c r="D571" s="610"/>
      <c r="E571" s="400">
        <v>-1044</v>
      </c>
      <c r="F571" s="400">
        <v>-2823</v>
      </c>
      <c r="G571" s="400">
        <v>-13359</v>
      </c>
      <c r="H571" s="400">
        <v>-10686</v>
      </c>
      <c r="I571" s="400">
        <v>-18406</v>
      </c>
      <c r="J571" s="400">
        <v>-13779</v>
      </c>
      <c r="K571" s="400">
        <v>-84761</v>
      </c>
      <c r="L571" s="400">
        <v>-40993</v>
      </c>
      <c r="M571" s="400">
        <v>-97898</v>
      </c>
    </row>
    <row r="572" spans="2:13">
      <c r="B572" s="615" t="s">
        <v>649</v>
      </c>
      <c r="C572" s="609"/>
      <c r="D572" s="610"/>
      <c r="E572" s="400">
        <v>-123297</v>
      </c>
      <c r="F572" s="400">
        <v>90537</v>
      </c>
      <c r="G572" s="400">
        <v>-1414974</v>
      </c>
      <c r="H572" s="400">
        <v>-89525</v>
      </c>
      <c r="I572" s="400">
        <v>404581</v>
      </c>
      <c r="J572" s="400">
        <v>97177</v>
      </c>
      <c r="K572" s="400">
        <v>308069</v>
      </c>
      <c r="L572" s="400">
        <v>612859</v>
      </c>
      <c r="M572" s="400">
        <v>159187</v>
      </c>
    </row>
    <row r="573" spans="2:13">
      <c r="B573" s="615" t="s">
        <v>655</v>
      </c>
      <c r="C573" s="609"/>
      <c r="D573" s="610"/>
      <c r="E573" s="400">
        <v>-123297</v>
      </c>
      <c r="F573" s="400">
        <v>90537</v>
      </c>
      <c r="G573" s="400">
        <v>-1414974</v>
      </c>
      <c r="H573" s="400">
        <v>-89525</v>
      </c>
      <c r="I573" s="400">
        <v>404581</v>
      </c>
      <c r="J573" s="400">
        <v>47296</v>
      </c>
      <c r="K573" s="400">
        <v>308069</v>
      </c>
      <c r="L573" s="400">
        <v>612859</v>
      </c>
      <c r="M573" s="400">
        <v>159187</v>
      </c>
    </row>
    <row r="574" spans="2:13">
      <c r="B574" s="615" t="s">
        <v>656</v>
      </c>
      <c r="C574" s="609"/>
      <c r="D574" s="610"/>
      <c r="E574" s="389"/>
      <c r="F574" s="389"/>
      <c r="G574" s="389"/>
      <c r="H574" s="389"/>
      <c r="I574" s="389"/>
      <c r="J574" s="389"/>
      <c r="K574" s="389"/>
      <c r="L574" s="389"/>
      <c r="M574" s="389"/>
    </row>
    <row r="575" spans="2:13">
      <c r="B575" s="615" t="s">
        <v>658</v>
      </c>
      <c r="C575" s="609"/>
      <c r="D575" s="610"/>
      <c r="E575" s="400">
        <v>27100</v>
      </c>
      <c r="F575" s="400">
        <v>0</v>
      </c>
      <c r="G575" s="400">
        <v>989034</v>
      </c>
      <c r="H575" s="400">
        <v>59133</v>
      </c>
      <c r="I575" s="400">
        <v>1686891</v>
      </c>
      <c r="J575" s="400">
        <v>0</v>
      </c>
      <c r="K575" s="400">
        <v>3870821</v>
      </c>
      <c r="L575" s="400">
        <v>2407583</v>
      </c>
      <c r="M575" s="400">
        <v>8812776</v>
      </c>
    </row>
    <row r="576" spans="2:13">
      <c r="B576" s="615" t="s">
        <v>865</v>
      </c>
      <c r="C576" s="609"/>
      <c r="D576" s="610"/>
      <c r="E576" s="400">
        <v>616261</v>
      </c>
      <c r="F576" s="400">
        <v>399037</v>
      </c>
      <c r="G576" s="400">
        <v>88860</v>
      </c>
      <c r="H576" s="400">
        <v>1468810</v>
      </c>
      <c r="I576" s="400">
        <v>2407289</v>
      </c>
      <c r="J576" s="400">
        <v>1103709</v>
      </c>
      <c r="K576" s="400">
        <v>889097</v>
      </c>
      <c r="L576" s="400">
        <v>972419</v>
      </c>
      <c r="M576" s="400">
        <v>1312870</v>
      </c>
    </row>
    <row r="577" spans="2:13">
      <c r="B577" s="615" t="s">
        <v>866</v>
      </c>
      <c r="C577" s="609"/>
      <c r="D577" s="610"/>
      <c r="E577" s="400">
        <v>643361</v>
      </c>
      <c r="F577" s="400">
        <v>399037</v>
      </c>
      <c r="G577" s="400">
        <v>1077894</v>
      </c>
      <c r="H577" s="400">
        <v>1527943</v>
      </c>
      <c r="I577" s="400">
        <v>4094180</v>
      </c>
      <c r="J577" s="400">
        <v>1103709</v>
      </c>
      <c r="K577" s="400">
        <v>4759918</v>
      </c>
      <c r="L577" s="400">
        <v>3380002</v>
      </c>
      <c r="M577" s="400">
        <v>10125646</v>
      </c>
    </row>
    <row r="578" spans="2:13">
      <c r="B578" s="615" t="s">
        <v>729</v>
      </c>
      <c r="C578" s="609"/>
      <c r="D578" s="610"/>
      <c r="E578" s="400">
        <v>-123297</v>
      </c>
      <c r="F578" s="400">
        <v>25868</v>
      </c>
      <c r="G578" s="400">
        <v>-334052</v>
      </c>
      <c r="H578" s="400">
        <v>855472</v>
      </c>
      <c r="I578" s="400">
        <v>3337667</v>
      </c>
      <c r="J578" s="400">
        <v>380261</v>
      </c>
      <c r="K578" s="400">
        <v>1132380</v>
      </c>
      <c r="L578" s="400">
        <v>611405</v>
      </c>
      <c r="M578" s="400">
        <v>4121479</v>
      </c>
    </row>
    <row r="579" spans="2:13">
      <c r="B579" s="615" t="s">
        <v>867</v>
      </c>
      <c r="C579" s="609"/>
      <c r="D579" s="610"/>
      <c r="E579" s="400">
        <v>0</v>
      </c>
      <c r="F579" s="400">
        <v>0</v>
      </c>
      <c r="G579" s="400">
        <v>0</v>
      </c>
      <c r="H579" s="400">
        <v>0</v>
      </c>
      <c r="I579" s="400">
        <v>0</v>
      </c>
      <c r="J579" s="400">
        <v>0</v>
      </c>
      <c r="K579" s="400">
        <v>0</v>
      </c>
      <c r="L579" s="400">
        <v>0</v>
      </c>
      <c r="M579" s="400">
        <v>0</v>
      </c>
    </row>
    <row r="580" spans="2:13">
      <c r="B580" s="615" t="s">
        <v>868</v>
      </c>
      <c r="C580" s="609"/>
      <c r="D580" s="610"/>
      <c r="E580" s="400">
        <v>400000</v>
      </c>
      <c r="F580" s="400">
        <v>36000</v>
      </c>
      <c r="G580" s="400">
        <v>382679</v>
      </c>
      <c r="H580" s="400">
        <v>0</v>
      </c>
      <c r="I580" s="400">
        <v>65499</v>
      </c>
      <c r="J580" s="400">
        <v>0</v>
      </c>
      <c r="K580" s="400">
        <v>2353812</v>
      </c>
      <c r="L580" s="400">
        <v>1175234</v>
      </c>
      <c r="M580" s="400">
        <v>4054188</v>
      </c>
    </row>
    <row r="581" spans="2:13">
      <c r="B581" s="615" t="s">
        <v>869</v>
      </c>
      <c r="C581" s="609"/>
      <c r="D581" s="610"/>
      <c r="E581" s="400">
        <v>366658</v>
      </c>
      <c r="F581" s="400">
        <v>337169</v>
      </c>
      <c r="G581" s="400">
        <v>1029267</v>
      </c>
      <c r="H581" s="400">
        <v>672471</v>
      </c>
      <c r="I581" s="400">
        <v>691014</v>
      </c>
      <c r="J581" s="400">
        <v>723448</v>
      </c>
      <c r="K581" s="400">
        <v>1273726</v>
      </c>
      <c r="L581" s="400">
        <v>1593363</v>
      </c>
      <c r="M581" s="400">
        <v>1949979</v>
      </c>
    </row>
    <row r="582" spans="2:13">
      <c r="B582" s="615" t="s">
        <v>870</v>
      </c>
      <c r="C582" s="609"/>
      <c r="D582" s="610"/>
      <c r="E582" s="388"/>
      <c r="F582" s="388"/>
      <c r="G582" s="388"/>
      <c r="H582" s="388"/>
      <c r="I582" s="388"/>
      <c r="J582" s="388"/>
      <c r="K582" s="388"/>
      <c r="L582" s="388"/>
      <c r="M582" s="388"/>
    </row>
    <row r="583" spans="2:13">
      <c r="B583" s="608" t="s">
        <v>871</v>
      </c>
      <c r="C583" s="609"/>
      <c r="D583" s="610"/>
      <c r="E583" s="405">
        <v>151998</v>
      </c>
      <c r="F583" s="405">
        <v>228699</v>
      </c>
      <c r="G583" s="405">
        <v>-1098963</v>
      </c>
      <c r="H583" s="405">
        <v>390</v>
      </c>
      <c r="I583" s="405">
        <v>635328</v>
      </c>
      <c r="J583" s="405">
        <v>94167</v>
      </c>
      <c r="K583" s="405">
        <v>562</v>
      </c>
      <c r="L583" s="405">
        <v>1043684</v>
      </c>
      <c r="M583" s="405">
        <v>480000</v>
      </c>
    </row>
    <row r="584" spans="2:13">
      <c r="B584" s="608" t="s">
        <v>872</v>
      </c>
      <c r="C584" s="609"/>
      <c r="D584" s="610"/>
      <c r="E584" s="405">
        <v>-27100</v>
      </c>
      <c r="F584" s="405">
        <v>0</v>
      </c>
      <c r="G584" s="405">
        <v>0</v>
      </c>
      <c r="H584" s="405">
        <v>0</v>
      </c>
      <c r="I584" s="405">
        <v>-103750</v>
      </c>
      <c r="J584" s="405">
        <v>-358406</v>
      </c>
      <c r="K584" s="405">
        <v>-313</v>
      </c>
      <c r="L584" s="405">
        <v>-822076</v>
      </c>
      <c r="M584" s="405">
        <v>-50000</v>
      </c>
    </row>
    <row r="585" spans="2:13">
      <c r="B585" s="608" t="s">
        <v>873</v>
      </c>
      <c r="C585" s="609"/>
      <c r="D585" s="610"/>
      <c r="E585" s="405">
        <v>400000</v>
      </c>
      <c r="F585" s="405">
        <v>-9337</v>
      </c>
      <c r="G585" s="405">
        <v>-32921</v>
      </c>
      <c r="H585" s="405">
        <v>0</v>
      </c>
      <c r="I585" s="405">
        <v>-304267</v>
      </c>
      <c r="J585" s="405">
        <v>0</v>
      </c>
      <c r="K585" s="405">
        <v>-200</v>
      </c>
      <c r="L585" s="405">
        <v>-161603</v>
      </c>
      <c r="M585" s="405">
        <v>-451000</v>
      </c>
    </row>
    <row r="586" spans="2:13">
      <c r="B586" s="608" t="s">
        <v>874</v>
      </c>
      <c r="C586" s="609"/>
      <c r="D586" s="610"/>
      <c r="E586" s="400">
        <v>524898</v>
      </c>
      <c r="F586" s="400">
        <v>219362</v>
      </c>
      <c r="G586" s="400">
        <v>-1131884</v>
      </c>
      <c r="H586" s="400">
        <v>390</v>
      </c>
      <c r="I586" s="400">
        <v>227311</v>
      </c>
      <c r="J586" s="400">
        <v>-264239</v>
      </c>
      <c r="K586" s="400">
        <v>49</v>
      </c>
      <c r="L586" s="400">
        <v>60005</v>
      </c>
      <c r="M586" s="400">
        <v>-21000</v>
      </c>
    </row>
    <row r="587" spans="2:13">
      <c r="B587" s="608" t="s">
        <v>875</v>
      </c>
      <c r="C587" s="609"/>
      <c r="D587" s="610"/>
      <c r="E587" s="405">
        <v>0</v>
      </c>
      <c r="F587" s="405">
        <v>163151</v>
      </c>
      <c r="G587" s="405">
        <v>943686</v>
      </c>
      <c r="H587" s="405">
        <v>1785</v>
      </c>
      <c r="I587" s="405">
        <v>2073588</v>
      </c>
      <c r="J587" s="405">
        <v>1294765</v>
      </c>
      <c r="K587" s="405">
        <v>415</v>
      </c>
      <c r="L587" s="405">
        <v>614890</v>
      </c>
      <c r="M587" s="405">
        <v>1024000</v>
      </c>
    </row>
    <row r="588" spans="2:13">
      <c r="B588" s="608" t="s">
        <v>876</v>
      </c>
      <c r="C588" s="609"/>
      <c r="D588" s="610"/>
      <c r="E588" s="405">
        <v>524898</v>
      </c>
      <c r="F588" s="405">
        <v>382513</v>
      </c>
      <c r="G588" s="405">
        <v>-188198</v>
      </c>
      <c r="H588" s="405">
        <v>1394</v>
      </c>
      <c r="I588" s="405">
        <v>2300899</v>
      </c>
      <c r="J588" s="405">
        <v>1030526</v>
      </c>
      <c r="K588" s="405">
        <v>465</v>
      </c>
      <c r="L588" s="405">
        <v>674895</v>
      </c>
      <c r="M588" s="405">
        <v>1003000</v>
      </c>
    </row>
    <row r="589" spans="2:13">
      <c r="B589" s="608" t="s">
        <v>877</v>
      </c>
      <c r="C589" s="609"/>
      <c r="D589" s="610"/>
      <c r="E589" s="405">
        <v>0</v>
      </c>
      <c r="F589" s="405">
        <v>0</v>
      </c>
      <c r="G589" s="405">
        <v>400000</v>
      </c>
      <c r="H589" s="405">
        <v>0</v>
      </c>
      <c r="I589" s="405">
        <v>0</v>
      </c>
      <c r="J589" s="405">
        <v>0</v>
      </c>
      <c r="K589" s="405">
        <v>878</v>
      </c>
      <c r="L589" s="405">
        <v>700</v>
      </c>
      <c r="M589" s="405">
        <v>0</v>
      </c>
    </row>
    <row r="590" spans="2:13">
      <c r="B590" s="608" t="s">
        <v>878</v>
      </c>
      <c r="C590" s="609"/>
      <c r="D590" s="610"/>
      <c r="E590" s="405">
        <v>0</v>
      </c>
      <c r="F590" s="405">
        <v>0</v>
      </c>
      <c r="G590" s="405">
        <v>0</v>
      </c>
      <c r="H590" s="405">
        <v>0</v>
      </c>
      <c r="I590" s="405">
        <v>0</v>
      </c>
      <c r="J590" s="405">
        <v>0</v>
      </c>
      <c r="K590" s="405">
        <v>0</v>
      </c>
      <c r="L590" s="405">
        <v>0</v>
      </c>
      <c r="M590" s="405">
        <v>0</v>
      </c>
    </row>
    <row r="591" spans="2:13">
      <c r="B591" s="608" t="s">
        <v>2</v>
      </c>
      <c r="C591" s="609"/>
      <c r="D591" s="610"/>
      <c r="E591" s="405">
        <v>0</v>
      </c>
      <c r="F591" s="405">
        <v>0</v>
      </c>
      <c r="G591" s="405">
        <v>32235</v>
      </c>
      <c r="H591" s="405">
        <v>25500</v>
      </c>
      <c r="I591" s="405">
        <v>6</v>
      </c>
      <c r="J591" s="405">
        <v>0</v>
      </c>
      <c r="K591" s="405">
        <v>0</v>
      </c>
      <c r="L591" s="405">
        <v>0</v>
      </c>
      <c r="M591" s="405">
        <v>0</v>
      </c>
    </row>
    <row r="592" spans="2:13">
      <c r="B592" s="608" t="s">
        <v>879</v>
      </c>
      <c r="C592" s="609"/>
      <c r="D592" s="610"/>
      <c r="E592" s="405">
        <v>524898</v>
      </c>
      <c r="F592" s="405">
        <v>0</v>
      </c>
      <c r="G592" s="405">
        <v>244037</v>
      </c>
      <c r="H592" s="405">
        <v>1419899</v>
      </c>
      <c r="I592" s="405">
        <v>2306399</v>
      </c>
      <c r="J592" s="405">
        <v>1030526</v>
      </c>
      <c r="K592" s="405">
        <v>1342</v>
      </c>
      <c r="L592" s="405">
        <v>1374895</v>
      </c>
      <c r="M592" s="405">
        <v>1003000</v>
      </c>
    </row>
    <row r="593" spans="2:13" s="417" customFormat="1">
      <c r="B593" s="636" t="s">
        <v>880</v>
      </c>
      <c r="C593" s="637"/>
      <c r="D593" s="638"/>
      <c r="E593" s="416"/>
      <c r="F593" s="416"/>
      <c r="G593" s="416"/>
      <c r="H593" s="416"/>
      <c r="I593" s="416"/>
      <c r="J593" s="416"/>
      <c r="K593" s="416"/>
      <c r="L593" s="416"/>
      <c r="M593" s="416"/>
    </row>
    <row r="594" spans="2:13">
      <c r="B594" s="608" t="s">
        <v>881</v>
      </c>
      <c r="C594" s="609"/>
      <c r="D594" s="610"/>
      <c r="E594" s="405">
        <v>31</v>
      </c>
      <c r="F594" s="405">
        <v>24</v>
      </c>
      <c r="G594" s="405">
        <v>36</v>
      </c>
      <c r="H594" s="405">
        <v>58</v>
      </c>
      <c r="I594" s="405">
        <v>60</v>
      </c>
      <c r="J594" s="405">
        <v>61</v>
      </c>
      <c r="K594" s="405">
        <v>83</v>
      </c>
      <c r="L594" s="405">
        <v>164</v>
      </c>
      <c r="M594" s="405">
        <v>145</v>
      </c>
    </row>
    <row r="595" spans="2:13">
      <c r="B595" s="608" t="s">
        <v>882</v>
      </c>
      <c r="C595" s="609"/>
      <c r="D595" s="610"/>
      <c r="E595" s="405">
        <v>18</v>
      </c>
      <c r="F595" s="405">
        <v>12</v>
      </c>
      <c r="G595" s="405">
        <v>17</v>
      </c>
      <c r="H595" s="405">
        <v>22</v>
      </c>
      <c r="I595" s="405">
        <v>0</v>
      </c>
      <c r="J595" s="405">
        <v>35</v>
      </c>
      <c r="K595" s="405">
        <v>25</v>
      </c>
      <c r="L595" s="405">
        <v>55</v>
      </c>
      <c r="M595" s="405">
        <v>57</v>
      </c>
    </row>
    <row r="596" spans="2:13">
      <c r="B596" s="608" t="s">
        <v>883</v>
      </c>
      <c r="C596" s="609"/>
      <c r="D596" s="610"/>
      <c r="E596" s="405">
        <v>0</v>
      </c>
      <c r="F596" s="405">
        <v>0</v>
      </c>
      <c r="G596" s="405">
        <v>0</v>
      </c>
      <c r="H596" s="405">
        <v>0</v>
      </c>
      <c r="I596" s="405">
        <v>0</v>
      </c>
      <c r="J596" s="405">
        <v>0</v>
      </c>
      <c r="K596" s="405">
        <v>0</v>
      </c>
      <c r="L596" s="405">
        <v>0</v>
      </c>
      <c r="M596" s="405">
        <v>145</v>
      </c>
    </row>
    <row r="597" spans="2:13">
      <c r="B597" s="608" t="s">
        <v>462</v>
      </c>
      <c r="C597" s="609"/>
      <c r="D597" s="610"/>
      <c r="E597" s="405">
        <v>13</v>
      </c>
      <c r="F597" s="405">
        <v>19</v>
      </c>
      <c r="G597" s="405">
        <v>28</v>
      </c>
      <c r="H597" s="405">
        <v>60</v>
      </c>
      <c r="I597" s="405">
        <v>62</v>
      </c>
      <c r="J597" s="405">
        <v>63</v>
      </c>
      <c r="K597" s="405">
        <v>79</v>
      </c>
      <c r="L597" s="405">
        <v>150</v>
      </c>
      <c r="M597" s="405">
        <v>142</v>
      </c>
    </row>
    <row r="598" spans="2:13">
      <c r="B598" s="608" t="s">
        <v>884</v>
      </c>
      <c r="C598" s="609"/>
      <c r="D598" s="610"/>
      <c r="E598" s="405">
        <v>100</v>
      </c>
      <c r="F598" s="405">
        <v>190</v>
      </c>
      <c r="G598" s="405">
        <v>-18</v>
      </c>
      <c r="H598" s="405">
        <v>-1</v>
      </c>
      <c r="I598" s="405">
        <v>-2</v>
      </c>
      <c r="J598" s="405">
        <v>2</v>
      </c>
      <c r="K598" s="405">
        <v>-2</v>
      </c>
      <c r="L598" s="405">
        <v>157</v>
      </c>
      <c r="M598" s="405">
        <v>1</v>
      </c>
    </row>
    <row r="599" spans="2:13">
      <c r="B599" s="608" t="s">
        <v>885</v>
      </c>
      <c r="C599" s="609"/>
      <c r="D599" s="610"/>
      <c r="E599" s="405">
        <v>8</v>
      </c>
      <c r="F599" s="405">
        <v>10</v>
      </c>
      <c r="G599" s="405">
        <v>18</v>
      </c>
      <c r="H599" s="405">
        <v>22</v>
      </c>
      <c r="I599" s="405">
        <v>0</v>
      </c>
      <c r="J599" s="405">
        <v>37</v>
      </c>
      <c r="K599" s="405">
        <v>27</v>
      </c>
      <c r="L599" s="405">
        <v>53</v>
      </c>
      <c r="M599" s="405">
        <v>57</v>
      </c>
    </row>
    <row r="600" spans="2:13">
      <c r="B600" s="608" t="s">
        <v>886</v>
      </c>
      <c r="C600" s="609"/>
      <c r="D600" s="610"/>
      <c r="E600" s="405">
        <v>3</v>
      </c>
      <c r="F600" s="405">
        <v>0</v>
      </c>
      <c r="G600" s="405">
        <v>0</v>
      </c>
      <c r="H600" s="405">
        <v>0</v>
      </c>
      <c r="I600" s="405">
        <v>0</v>
      </c>
      <c r="J600" s="405">
        <v>0</v>
      </c>
      <c r="K600" s="405">
        <v>0</v>
      </c>
      <c r="L600" s="405">
        <v>0</v>
      </c>
      <c r="M600" s="405">
        <v>0</v>
      </c>
    </row>
    <row r="601" spans="2:13">
      <c r="B601" s="615" t="s">
        <v>887</v>
      </c>
      <c r="C601" s="609"/>
      <c r="D601" s="610"/>
      <c r="E601" s="400">
        <v>11</v>
      </c>
      <c r="F601" s="400">
        <v>10</v>
      </c>
      <c r="G601" s="400">
        <v>18</v>
      </c>
      <c r="H601" s="400">
        <v>22</v>
      </c>
      <c r="I601" s="400">
        <v>0</v>
      </c>
      <c r="J601" s="400">
        <v>37</v>
      </c>
      <c r="K601" s="400">
        <v>27</v>
      </c>
      <c r="L601" s="400">
        <v>53</v>
      </c>
      <c r="M601" s="400">
        <v>57</v>
      </c>
    </row>
    <row r="602" spans="2:13">
      <c r="B602" s="608" t="s">
        <v>888</v>
      </c>
      <c r="C602" s="609"/>
      <c r="D602" s="610"/>
      <c r="E602" s="405">
        <v>0</v>
      </c>
      <c r="F602" s="405">
        <v>0</v>
      </c>
      <c r="G602" s="405">
        <v>0</v>
      </c>
      <c r="H602" s="405">
        <v>0</v>
      </c>
      <c r="I602" s="405">
        <v>0</v>
      </c>
      <c r="J602" s="405">
        <v>0</v>
      </c>
      <c r="K602" s="405">
        <v>0</v>
      </c>
      <c r="L602" s="405">
        <v>0</v>
      </c>
      <c r="M602" s="405">
        <v>142</v>
      </c>
    </row>
    <row r="603" spans="2:13">
      <c r="B603" s="608" t="s">
        <v>889</v>
      </c>
      <c r="C603" s="609"/>
      <c r="D603" s="610"/>
      <c r="E603" s="405">
        <v>0</v>
      </c>
      <c r="F603" s="405">
        <v>0</v>
      </c>
      <c r="G603" s="405">
        <v>15</v>
      </c>
      <c r="H603" s="405">
        <v>22</v>
      </c>
      <c r="I603" s="405">
        <v>0</v>
      </c>
      <c r="J603" s="405">
        <v>0</v>
      </c>
      <c r="K603" s="405">
        <v>0</v>
      </c>
      <c r="L603" s="405">
        <v>0</v>
      </c>
      <c r="M603" s="405">
        <v>0</v>
      </c>
    </row>
    <row r="604" spans="2:13">
      <c r="B604" s="608" t="s">
        <v>890</v>
      </c>
      <c r="C604" s="609"/>
      <c r="D604" s="610"/>
      <c r="E604" s="405">
        <v>19535</v>
      </c>
      <c r="F604" s="405">
        <v>10081</v>
      </c>
      <c r="G604" s="405">
        <v>9301</v>
      </c>
      <c r="H604" s="405">
        <v>8285</v>
      </c>
      <c r="I604" s="405">
        <v>9488</v>
      </c>
      <c r="J604" s="405">
        <v>0</v>
      </c>
      <c r="K604" s="405">
        <v>17656</v>
      </c>
      <c r="L604" s="405">
        <v>13321</v>
      </c>
      <c r="M604" s="405">
        <v>14580</v>
      </c>
    </row>
    <row r="605" spans="2:13">
      <c r="B605" s="608" t="s">
        <v>891</v>
      </c>
      <c r="C605" s="609"/>
      <c r="D605" s="610"/>
      <c r="E605" s="405">
        <v>9750</v>
      </c>
      <c r="F605" s="405">
        <v>8771</v>
      </c>
      <c r="G605" s="405">
        <v>11161</v>
      </c>
      <c r="H605" s="405">
        <v>8205</v>
      </c>
      <c r="I605" s="405">
        <v>0</v>
      </c>
      <c r="J605" s="405">
        <v>0</v>
      </c>
      <c r="K605" s="405">
        <v>7210</v>
      </c>
      <c r="L605" s="405">
        <v>6413</v>
      </c>
      <c r="M605" s="405">
        <v>5947</v>
      </c>
    </row>
    <row r="606" spans="2:13">
      <c r="B606" s="608" t="s">
        <v>892</v>
      </c>
      <c r="C606" s="609"/>
      <c r="D606" s="610"/>
      <c r="E606" s="405">
        <v>0</v>
      </c>
      <c r="F606" s="405">
        <v>0</v>
      </c>
      <c r="G606" s="405">
        <v>0</v>
      </c>
      <c r="H606" s="405">
        <v>0</v>
      </c>
      <c r="I606" s="405">
        <v>0</v>
      </c>
      <c r="J606" s="405">
        <v>0</v>
      </c>
      <c r="K606" s="405">
        <v>0</v>
      </c>
      <c r="L606" s="405">
        <v>0</v>
      </c>
      <c r="M606" s="405">
        <v>0</v>
      </c>
    </row>
    <row r="607" spans="2:13">
      <c r="B607" s="608" t="s">
        <v>893</v>
      </c>
      <c r="C607" s="609"/>
      <c r="D607" s="610"/>
      <c r="E607" s="405">
        <v>0</v>
      </c>
      <c r="F607" s="405">
        <v>0</v>
      </c>
      <c r="G607" s="405">
        <v>15315</v>
      </c>
      <c r="H607" s="405">
        <v>0</v>
      </c>
      <c r="I607" s="405">
        <v>0</v>
      </c>
      <c r="J607" s="405">
        <v>0</v>
      </c>
      <c r="K607" s="405">
        <v>0</v>
      </c>
      <c r="L607" s="405">
        <v>0</v>
      </c>
      <c r="M607" s="405">
        <v>0</v>
      </c>
    </row>
    <row r="608" spans="2:13">
      <c r="B608" s="608" t="s">
        <v>894</v>
      </c>
      <c r="C608" s="609"/>
      <c r="D608" s="610"/>
      <c r="E608" s="405">
        <v>1</v>
      </c>
      <c r="F608" s="405">
        <v>2</v>
      </c>
      <c r="G608" s="405">
        <v>6</v>
      </c>
      <c r="H608" s="405">
        <v>6</v>
      </c>
      <c r="I608" s="405">
        <v>5</v>
      </c>
      <c r="J608" s="405">
        <v>7</v>
      </c>
      <c r="K608" s="405">
        <v>8</v>
      </c>
      <c r="L608" s="405">
        <v>13</v>
      </c>
      <c r="M608" s="405">
        <v>14</v>
      </c>
    </row>
    <row r="609" spans="2:13">
      <c r="B609" s="608" t="s">
        <v>895</v>
      </c>
      <c r="C609" s="609"/>
      <c r="D609" s="610"/>
      <c r="E609" s="405">
        <v>0</v>
      </c>
      <c r="F609" s="405">
        <v>1</v>
      </c>
      <c r="G609" s="405">
        <v>1</v>
      </c>
      <c r="H609" s="405">
        <v>1</v>
      </c>
      <c r="I609" s="405">
        <v>0</v>
      </c>
      <c r="J609" s="405">
        <v>1</v>
      </c>
      <c r="K609" s="405">
        <v>3</v>
      </c>
      <c r="L609" s="405">
        <v>2</v>
      </c>
      <c r="M609" s="405">
        <v>2</v>
      </c>
    </row>
    <row r="610" spans="2:13">
      <c r="B610" s="608" t="s">
        <v>896</v>
      </c>
      <c r="C610" s="609"/>
      <c r="D610" s="610"/>
      <c r="E610" s="405">
        <v>0</v>
      </c>
      <c r="F610" s="405">
        <v>0</v>
      </c>
      <c r="G610" s="405">
        <v>3</v>
      </c>
      <c r="H610" s="405">
        <v>0</v>
      </c>
      <c r="I610" s="405">
        <v>0</v>
      </c>
      <c r="J610" s="405">
        <v>0</v>
      </c>
      <c r="K610" s="405">
        <v>0</v>
      </c>
      <c r="L610" s="405">
        <v>0</v>
      </c>
      <c r="M610" s="405">
        <v>0</v>
      </c>
    </row>
    <row r="611" spans="2:13">
      <c r="B611" s="608" t="s">
        <v>897</v>
      </c>
      <c r="C611" s="609"/>
      <c r="D611" s="610"/>
      <c r="E611" s="405">
        <v>0</v>
      </c>
      <c r="F611" s="405">
        <v>0</v>
      </c>
      <c r="G611" s="405">
        <v>1</v>
      </c>
      <c r="H611" s="405">
        <v>1</v>
      </c>
      <c r="I611" s="405">
        <v>2</v>
      </c>
      <c r="J611" s="405">
        <v>1</v>
      </c>
      <c r="K611" s="405">
        <v>1</v>
      </c>
      <c r="L611" s="405">
        <v>1</v>
      </c>
      <c r="M611" s="405">
        <v>3</v>
      </c>
    </row>
    <row r="612" spans="2:13">
      <c r="B612" s="615" t="s">
        <v>898</v>
      </c>
      <c r="C612" s="609"/>
      <c r="D612" s="610"/>
      <c r="E612" s="400">
        <v>1</v>
      </c>
      <c r="F612" s="400">
        <v>3</v>
      </c>
      <c r="G612" s="400">
        <v>11</v>
      </c>
      <c r="H612" s="400">
        <v>8</v>
      </c>
      <c r="I612" s="400">
        <v>7</v>
      </c>
      <c r="J612" s="400">
        <v>9</v>
      </c>
      <c r="K612" s="400">
        <v>12</v>
      </c>
      <c r="L612" s="400">
        <v>16</v>
      </c>
      <c r="M612" s="400">
        <v>19</v>
      </c>
    </row>
    <row r="613" spans="2:13">
      <c r="B613" s="608" t="s">
        <v>899</v>
      </c>
      <c r="C613" s="609"/>
      <c r="D613" s="610"/>
      <c r="E613" s="405">
        <v>0</v>
      </c>
      <c r="F613" s="405">
        <v>14</v>
      </c>
      <c r="G613" s="405">
        <v>11</v>
      </c>
      <c r="H613" s="405">
        <v>4</v>
      </c>
      <c r="I613" s="405">
        <v>27</v>
      </c>
      <c r="J613" s="405">
        <v>10</v>
      </c>
      <c r="K613" s="405">
        <v>28</v>
      </c>
      <c r="L613" s="405">
        <v>0</v>
      </c>
      <c r="M613" s="405">
        <v>5</v>
      </c>
    </row>
    <row r="614" spans="2:13">
      <c r="B614" s="608" t="s">
        <v>900</v>
      </c>
      <c r="C614" s="609"/>
      <c r="D614" s="610"/>
      <c r="E614" s="405">
        <v>10</v>
      </c>
      <c r="F614" s="405">
        <v>8</v>
      </c>
      <c r="G614" s="405">
        <v>5</v>
      </c>
      <c r="H614" s="405">
        <v>9</v>
      </c>
      <c r="I614" s="405">
        <v>12</v>
      </c>
      <c r="J614" s="405">
        <v>9</v>
      </c>
      <c r="K614" s="405">
        <v>10</v>
      </c>
      <c r="L614" s="405">
        <v>11</v>
      </c>
      <c r="M614" s="405">
        <v>10</v>
      </c>
    </row>
    <row r="615" spans="2:13">
      <c r="B615" s="608" t="s">
        <v>901</v>
      </c>
      <c r="C615" s="609"/>
      <c r="D615" s="610"/>
      <c r="E615" s="405">
        <v>26</v>
      </c>
      <c r="F615" s="405">
        <v>21</v>
      </c>
      <c r="G615" s="405">
        <v>25</v>
      </c>
      <c r="H615" s="405">
        <v>27</v>
      </c>
      <c r="I615" s="405">
        <v>0</v>
      </c>
      <c r="J615" s="405">
        <v>29</v>
      </c>
      <c r="K615" s="405">
        <v>8</v>
      </c>
      <c r="L615" s="405">
        <v>22</v>
      </c>
      <c r="M615" s="405">
        <v>25</v>
      </c>
    </row>
    <row r="616" spans="2:13">
      <c r="B616" s="608" t="s">
        <v>902</v>
      </c>
      <c r="C616" s="609"/>
      <c r="D616" s="610"/>
      <c r="E616" s="405">
        <v>49991</v>
      </c>
      <c r="F616" s="405">
        <v>53631</v>
      </c>
      <c r="G616" s="405">
        <v>84034</v>
      </c>
      <c r="H616" s="405">
        <v>52768</v>
      </c>
      <c r="I616" s="405">
        <v>46479</v>
      </c>
      <c r="J616" s="405">
        <v>54088</v>
      </c>
      <c r="K616" s="405">
        <v>51587</v>
      </c>
      <c r="L616" s="405">
        <v>41765</v>
      </c>
      <c r="M616" s="405">
        <v>49593</v>
      </c>
    </row>
    <row r="617" spans="2:13">
      <c r="B617" s="608" t="s">
        <v>903</v>
      </c>
      <c r="C617" s="609"/>
      <c r="D617" s="610"/>
      <c r="E617" s="405">
        <v>2351</v>
      </c>
      <c r="F617" s="405">
        <v>3283</v>
      </c>
      <c r="G617" s="405">
        <v>3697</v>
      </c>
      <c r="H617" s="405">
        <v>5820</v>
      </c>
      <c r="I617" s="405">
        <v>3567</v>
      </c>
      <c r="J617" s="405">
        <v>6975</v>
      </c>
      <c r="K617" s="405">
        <v>10647</v>
      </c>
      <c r="L617" s="405">
        <v>2740</v>
      </c>
      <c r="M617" s="405">
        <v>8149</v>
      </c>
    </row>
    <row r="618" spans="2:13">
      <c r="B618" s="615" t="s">
        <v>904</v>
      </c>
      <c r="C618" s="609"/>
      <c r="D618" s="610"/>
      <c r="E618" s="400">
        <v>52342</v>
      </c>
      <c r="F618" s="400">
        <v>56914</v>
      </c>
      <c r="G618" s="400">
        <v>87731</v>
      </c>
      <c r="H618" s="400">
        <v>58588</v>
      </c>
      <c r="I618" s="400">
        <v>50046</v>
      </c>
      <c r="J618" s="400">
        <v>61063</v>
      </c>
      <c r="K618" s="400">
        <v>62234</v>
      </c>
      <c r="L618" s="400">
        <v>44505</v>
      </c>
      <c r="M618" s="400">
        <v>57742</v>
      </c>
    </row>
    <row r="619" spans="2:13">
      <c r="B619" s="608" t="s">
        <v>905</v>
      </c>
      <c r="C619" s="609"/>
      <c r="D619" s="610"/>
      <c r="E619" s="405">
        <v>16819</v>
      </c>
      <c r="F619" s="405">
        <v>17364</v>
      </c>
      <c r="G619" s="405">
        <v>14157</v>
      </c>
      <c r="H619" s="405">
        <v>10656</v>
      </c>
      <c r="I619" s="405">
        <v>0</v>
      </c>
      <c r="J619" s="405">
        <v>9589</v>
      </c>
      <c r="K619" s="405">
        <v>26078</v>
      </c>
      <c r="L619" s="405">
        <v>14595</v>
      </c>
      <c r="M619" s="405">
        <v>9470</v>
      </c>
    </row>
    <row r="620" spans="2:13">
      <c r="B620" s="608" t="s">
        <v>906</v>
      </c>
      <c r="C620" s="609"/>
      <c r="D620" s="610"/>
      <c r="E620" s="405">
        <v>0</v>
      </c>
      <c r="F620" s="405">
        <v>0</v>
      </c>
      <c r="G620" s="405">
        <v>89597</v>
      </c>
      <c r="H620" s="405">
        <v>0</v>
      </c>
      <c r="I620" s="405">
        <v>0</v>
      </c>
      <c r="J620" s="405">
        <v>0</v>
      </c>
      <c r="K620" s="405">
        <v>0</v>
      </c>
      <c r="L620" s="405">
        <v>0</v>
      </c>
      <c r="M620" s="405">
        <v>0</v>
      </c>
    </row>
    <row r="621" spans="2:13">
      <c r="B621" s="608" t="s">
        <v>907</v>
      </c>
      <c r="C621" s="609"/>
      <c r="D621" s="610"/>
      <c r="E621" s="405">
        <v>56892</v>
      </c>
      <c r="F621" s="405">
        <v>56751</v>
      </c>
      <c r="G621" s="405">
        <v>97666</v>
      </c>
      <c r="H621" s="405">
        <v>59012</v>
      </c>
      <c r="I621" s="405">
        <v>53974</v>
      </c>
      <c r="J621" s="405">
        <v>57053</v>
      </c>
      <c r="K621" s="405">
        <v>67552</v>
      </c>
      <c r="L621" s="405">
        <v>46452</v>
      </c>
      <c r="M621" s="405">
        <v>54662</v>
      </c>
    </row>
    <row r="622" spans="2:13">
      <c r="B622" s="608" t="s">
        <v>908</v>
      </c>
      <c r="C622" s="609"/>
      <c r="D622" s="610"/>
      <c r="E622" s="405">
        <v>17186</v>
      </c>
      <c r="F622" s="405">
        <v>17364</v>
      </c>
      <c r="G622" s="405">
        <v>14532</v>
      </c>
      <c r="H622" s="405">
        <v>11010</v>
      </c>
      <c r="I622" s="405">
        <v>0</v>
      </c>
      <c r="J622" s="405">
        <v>10040</v>
      </c>
      <c r="K622" s="405">
        <v>30377</v>
      </c>
      <c r="L622" s="405">
        <v>14996</v>
      </c>
      <c r="M622" s="405">
        <v>9586</v>
      </c>
    </row>
    <row r="623" spans="2:13">
      <c r="B623" s="608" t="s">
        <v>909</v>
      </c>
      <c r="C623" s="609"/>
      <c r="D623" s="610"/>
      <c r="E623" s="405">
        <v>0</v>
      </c>
      <c r="F623" s="405">
        <v>0</v>
      </c>
      <c r="G623" s="405">
        <v>93978</v>
      </c>
      <c r="H623" s="405">
        <v>0</v>
      </c>
      <c r="I623" s="405">
        <v>0</v>
      </c>
      <c r="J623" s="405">
        <v>0</v>
      </c>
      <c r="K623" s="405">
        <v>0</v>
      </c>
      <c r="L623" s="405">
        <v>0</v>
      </c>
      <c r="M623" s="405">
        <v>0</v>
      </c>
    </row>
    <row r="624" spans="2:13">
      <c r="B624" s="608" t="s">
        <v>910</v>
      </c>
      <c r="C624" s="609"/>
      <c r="D624" s="610"/>
      <c r="E624" s="405">
        <v>15383</v>
      </c>
      <c r="F624" s="405">
        <v>12735</v>
      </c>
      <c r="G624" s="405">
        <v>14560</v>
      </c>
      <c r="H624" s="405">
        <v>5209</v>
      </c>
      <c r="I624" s="405">
        <v>8737</v>
      </c>
      <c r="J624" s="405">
        <v>7138</v>
      </c>
      <c r="K624" s="405">
        <v>6119</v>
      </c>
      <c r="L624" s="405">
        <v>11457</v>
      </c>
      <c r="M624" s="405">
        <v>7354</v>
      </c>
    </row>
    <row r="625" spans="2:13">
      <c r="B625" s="608" t="s">
        <v>911</v>
      </c>
      <c r="C625" s="609"/>
      <c r="D625" s="610"/>
      <c r="E625" s="405">
        <v>0</v>
      </c>
      <c r="F625" s="405">
        <v>0</v>
      </c>
      <c r="G625" s="405">
        <v>0</v>
      </c>
      <c r="H625" s="405">
        <v>0</v>
      </c>
      <c r="I625" s="405">
        <v>0</v>
      </c>
      <c r="J625" s="405">
        <v>0</v>
      </c>
      <c r="K625" s="405">
        <v>0</v>
      </c>
      <c r="L625" s="405">
        <v>0</v>
      </c>
      <c r="M625" s="405">
        <v>5687</v>
      </c>
    </row>
    <row r="626" spans="2:13">
      <c r="B626" s="608" t="s">
        <v>912</v>
      </c>
      <c r="C626" s="609"/>
      <c r="D626" s="610"/>
      <c r="E626" s="405">
        <v>15190</v>
      </c>
      <c r="F626" s="405">
        <v>10460</v>
      </c>
      <c r="G626" s="405">
        <v>17082</v>
      </c>
      <c r="H626" s="405">
        <v>10283</v>
      </c>
      <c r="I626" s="405">
        <v>6255</v>
      </c>
      <c r="J626" s="405">
        <v>9953</v>
      </c>
      <c r="K626" s="405">
        <v>8197</v>
      </c>
      <c r="L626" s="405">
        <v>5033</v>
      </c>
      <c r="M626" s="405">
        <v>7709</v>
      </c>
    </row>
    <row r="627" spans="2:13">
      <c r="B627" s="615" t="s">
        <v>913</v>
      </c>
      <c r="C627" s="609"/>
      <c r="D627" s="610"/>
      <c r="E627" s="400">
        <v>87465</v>
      </c>
      <c r="F627" s="400">
        <v>79946</v>
      </c>
      <c r="G627" s="400">
        <v>129308</v>
      </c>
      <c r="H627" s="400">
        <v>74504</v>
      </c>
      <c r="I627" s="400">
        <v>68966</v>
      </c>
      <c r="J627" s="400">
        <v>74144</v>
      </c>
      <c r="K627" s="400">
        <v>81868</v>
      </c>
      <c r="L627" s="400">
        <v>62942</v>
      </c>
      <c r="M627" s="400">
        <v>69725</v>
      </c>
    </row>
    <row r="628" spans="2:13" s="413" customFormat="1">
      <c r="B628" s="643" t="s">
        <v>914</v>
      </c>
      <c r="C628" s="641"/>
      <c r="D628" s="642"/>
      <c r="E628" s="412"/>
      <c r="F628" s="412"/>
      <c r="G628" s="412"/>
      <c r="H628" s="412"/>
      <c r="I628" s="412"/>
      <c r="J628" s="412"/>
      <c r="K628" s="412"/>
      <c r="L628" s="412"/>
      <c r="M628" s="412"/>
    </row>
    <row r="629" spans="2:13" s="413" customFormat="1">
      <c r="B629" s="616" t="s">
        <v>915</v>
      </c>
      <c r="C629" s="641"/>
      <c r="D629" s="642"/>
      <c r="E629" s="414">
        <v>-10.4</v>
      </c>
      <c r="F629" s="414">
        <v>4.9800000000000004</v>
      </c>
      <c r="G629" s="414">
        <v>-35.590000000000003</v>
      </c>
      <c r="H629" s="414">
        <v>-1.93</v>
      </c>
      <c r="I629" s="414">
        <v>8.64</v>
      </c>
      <c r="J629" s="414">
        <v>1.87</v>
      </c>
      <c r="K629" s="414">
        <v>4.51</v>
      </c>
      <c r="L629" s="414">
        <v>5.53</v>
      </c>
      <c r="M629" s="414">
        <v>1.35</v>
      </c>
    </row>
    <row r="630" spans="2:13" s="413" customFormat="1">
      <c r="B630" s="616" t="s">
        <v>916</v>
      </c>
      <c r="C630" s="641"/>
      <c r="D630" s="642"/>
      <c r="E630" s="414">
        <v>-10.4</v>
      </c>
      <c r="F630" s="414">
        <v>4.9800000000000004</v>
      </c>
      <c r="G630" s="414">
        <v>-35.590000000000003</v>
      </c>
      <c r="H630" s="414">
        <v>-1.93</v>
      </c>
      <c r="I630" s="414">
        <v>8.64</v>
      </c>
      <c r="J630" s="414">
        <v>0.91</v>
      </c>
      <c r="K630" s="414">
        <v>4.51</v>
      </c>
      <c r="L630" s="414">
        <v>5.53</v>
      </c>
      <c r="M630" s="414">
        <v>1.35</v>
      </c>
    </row>
    <row r="631" spans="2:13" s="413" customFormat="1">
      <c r="B631" s="616" t="s">
        <v>917</v>
      </c>
      <c r="C631" s="641"/>
      <c r="D631" s="642"/>
      <c r="E631" s="414">
        <v>168.07</v>
      </c>
      <c r="F631" s="414">
        <v>118.34</v>
      </c>
      <c r="G631" s="414">
        <v>8.6300000000000008</v>
      </c>
      <c r="H631" s="414">
        <v>218.41</v>
      </c>
      <c r="I631" s="414">
        <v>348.37</v>
      </c>
      <c r="J631" s="414">
        <v>152.56</v>
      </c>
      <c r="K631" s="414">
        <v>69.8</v>
      </c>
      <c r="L631" s="414">
        <v>61.02</v>
      </c>
      <c r="M631" s="414">
        <v>67.319999999999993</v>
      </c>
    </row>
    <row r="632" spans="2:13" s="413" customFormat="1">
      <c r="B632" s="616" t="s">
        <v>918</v>
      </c>
      <c r="C632" s="641"/>
      <c r="D632" s="642"/>
      <c r="E632" s="414">
        <v>-19.16</v>
      </c>
      <c r="F632" s="414">
        <v>6.48</v>
      </c>
      <c r="G632" s="414">
        <v>-30.99</v>
      </c>
      <c r="H632" s="414">
        <v>55.98</v>
      </c>
      <c r="I632" s="414">
        <v>81.52</v>
      </c>
      <c r="J632" s="414">
        <v>34.450000000000003</v>
      </c>
      <c r="K632" s="414">
        <v>23.78</v>
      </c>
      <c r="L632" s="414">
        <v>18.079999999999998</v>
      </c>
      <c r="M632" s="414">
        <v>40.700000000000003</v>
      </c>
    </row>
    <row r="633" spans="2:13" s="413" customFormat="1">
      <c r="B633" s="616" t="s">
        <v>919</v>
      </c>
      <c r="C633" s="641"/>
      <c r="D633" s="642"/>
      <c r="E633" s="414">
        <v>1476.01</v>
      </c>
      <c r="F633" s="412"/>
      <c r="G633" s="414">
        <v>38.69</v>
      </c>
      <c r="H633" s="414">
        <v>0</v>
      </c>
      <c r="I633" s="414">
        <v>3.88</v>
      </c>
      <c r="J633" s="412"/>
      <c r="K633" s="414">
        <v>60.8</v>
      </c>
      <c r="L633" s="414">
        <v>48.81</v>
      </c>
      <c r="M633" s="414">
        <v>46</v>
      </c>
    </row>
    <row r="634" spans="2:13" ht="35.25" customHeight="1"/>
  </sheetData>
  <sheetProtection sheet="1" objects="1" scenarios="1"/>
  <mergeCells count="621">
    <mergeCell ref="B630:D630"/>
    <mergeCell ref="B631:D631"/>
    <mergeCell ref="B632:D632"/>
    <mergeCell ref="B633:D633"/>
    <mergeCell ref="B83:D83"/>
    <mergeCell ref="B624:D624"/>
    <mergeCell ref="B625:D625"/>
    <mergeCell ref="B626:D626"/>
    <mergeCell ref="B627:D627"/>
    <mergeCell ref="B628:D628"/>
    <mergeCell ref="B629:D629"/>
    <mergeCell ref="B618:D618"/>
    <mergeCell ref="B619:D619"/>
    <mergeCell ref="B620:D620"/>
    <mergeCell ref="B621:D621"/>
    <mergeCell ref="B622:D622"/>
    <mergeCell ref="B623:D623"/>
    <mergeCell ref="B612:D612"/>
    <mergeCell ref="B613:D613"/>
    <mergeCell ref="B614:D614"/>
    <mergeCell ref="B615:D615"/>
    <mergeCell ref="B616:D616"/>
    <mergeCell ref="B617:D617"/>
    <mergeCell ref="B606:D606"/>
    <mergeCell ref="B607:D607"/>
    <mergeCell ref="B608:D608"/>
    <mergeCell ref="B609:D609"/>
    <mergeCell ref="B610:D610"/>
    <mergeCell ref="B611:D611"/>
    <mergeCell ref="B600:D600"/>
    <mergeCell ref="B601:D601"/>
    <mergeCell ref="B602:D602"/>
    <mergeCell ref="B603:D603"/>
    <mergeCell ref="B604:D604"/>
    <mergeCell ref="B605:D605"/>
    <mergeCell ref="B594:D594"/>
    <mergeCell ref="B595:D595"/>
    <mergeCell ref="B596:D596"/>
    <mergeCell ref="B597:D597"/>
    <mergeCell ref="B598:D598"/>
    <mergeCell ref="B599:D599"/>
    <mergeCell ref="B588:D588"/>
    <mergeCell ref="B589:D589"/>
    <mergeCell ref="B590:D590"/>
    <mergeCell ref="B591:D591"/>
    <mergeCell ref="B592:D592"/>
    <mergeCell ref="B593:D593"/>
    <mergeCell ref="B582:D582"/>
    <mergeCell ref="B583:D583"/>
    <mergeCell ref="B584:D584"/>
    <mergeCell ref="B585:D585"/>
    <mergeCell ref="B586:D586"/>
    <mergeCell ref="B587:D587"/>
    <mergeCell ref="B576:D576"/>
    <mergeCell ref="B577:D577"/>
    <mergeCell ref="B578:D578"/>
    <mergeCell ref="B579:D579"/>
    <mergeCell ref="B580:D580"/>
    <mergeCell ref="B581:D581"/>
    <mergeCell ref="B570:D570"/>
    <mergeCell ref="B571:D571"/>
    <mergeCell ref="B572:D572"/>
    <mergeCell ref="B573:D573"/>
    <mergeCell ref="B574:D574"/>
    <mergeCell ref="B575:D575"/>
    <mergeCell ref="B564:D564"/>
    <mergeCell ref="B565:D565"/>
    <mergeCell ref="B566:D566"/>
    <mergeCell ref="B567:D567"/>
    <mergeCell ref="B568:D568"/>
    <mergeCell ref="B569:D569"/>
    <mergeCell ref="B558:D558"/>
    <mergeCell ref="B559:D559"/>
    <mergeCell ref="B560:D560"/>
    <mergeCell ref="B561:D561"/>
    <mergeCell ref="B562:D562"/>
    <mergeCell ref="B563:D563"/>
    <mergeCell ref="B552:D552"/>
    <mergeCell ref="B553:D553"/>
    <mergeCell ref="B554:D554"/>
    <mergeCell ref="B555:D555"/>
    <mergeCell ref="B556:D556"/>
    <mergeCell ref="B557:D557"/>
    <mergeCell ref="B546:D546"/>
    <mergeCell ref="B547:D547"/>
    <mergeCell ref="B548:D548"/>
    <mergeCell ref="B549:D549"/>
    <mergeCell ref="B550:D550"/>
    <mergeCell ref="B551:D551"/>
    <mergeCell ref="B540:D540"/>
    <mergeCell ref="B541:D541"/>
    <mergeCell ref="B542:D542"/>
    <mergeCell ref="B543:D543"/>
    <mergeCell ref="B544:D544"/>
    <mergeCell ref="B545:D545"/>
    <mergeCell ref="B534:D534"/>
    <mergeCell ref="B535:D535"/>
    <mergeCell ref="B536:D536"/>
    <mergeCell ref="B537:D537"/>
    <mergeCell ref="B538:D538"/>
    <mergeCell ref="B539:D539"/>
    <mergeCell ref="B528:D528"/>
    <mergeCell ref="B529:D529"/>
    <mergeCell ref="B530:D530"/>
    <mergeCell ref="B531:D531"/>
    <mergeCell ref="B532:D532"/>
    <mergeCell ref="B533:D533"/>
    <mergeCell ref="B522:D522"/>
    <mergeCell ref="B523:D523"/>
    <mergeCell ref="B524:D524"/>
    <mergeCell ref="B525:D525"/>
    <mergeCell ref="B526:D526"/>
    <mergeCell ref="B527:D527"/>
    <mergeCell ref="B516:D516"/>
    <mergeCell ref="B517:D517"/>
    <mergeCell ref="B518:D518"/>
    <mergeCell ref="B519:D519"/>
    <mergeCell ref="B520:D520"/>
    <mergeCell ref="B521:D521"/>
    <mergeCell ref="B510:D510"/>
    <mergeCell ref="B511:D511"/>
    <mergeCell ref="B512:D512"/>
    <mergeCell ref="B513:D513"/>
    <mergeCell ref="B514:D514"/>
    <mergeCell ref="B515:D515"/>
    <mergeCell ref="B504:D504"/>
    <mergeCell ref="B505:D505"/>
    <mergeCell ref="B506:D506"/>
    <mergeCell ref="B507:D507"/>
    <mergeCell ref="B508:D508"/>
    <mergeCell ref="B509:D509"/>
    <mergeCell ref="B498:D498"/>
    <mergeCell ref="B499:D499"/>
    <mergeCell ref="B500:D500"/>
    <mergeCell ref="B501:D501"/>
    <mergeCell ref="B502:D502"/>
    <mergeCell ref="B503:D503"/>
    <mergeCell ref="B492:D492"/>
    <mergeCell ref="B493:D493"/>
    <mergeCell ref="B494:D494"/>
    <mergeCell ref="B495:D495"/>
    <mergeCell ref="B496:D496"/>
    <mergeCell ref="B497:D497"/>
    <mergeCell ref="B486:D486"/>
    <mergeCell ref="B487:D487"/>
    <mergeCell ref="B488:D488"/>
    <mergeCell ref="B489:D489"/>
    <mergeCell ref="B490:D490"/>
    <mergeCell ref="B491:D491"/>
    <mergeCell ref="B480:D480"/>
    <mergeCell ref="B481:D481"/>
    <mergeCell ref="B482:D482"/>
    <mergeCell ref="B483:D483"/>
    <mergeCell ref="B484:D484"/>
    <mergeCell ref="B485:D485"/>
    <mergeCell ref="B474:D474"/>
    <mergeCell ref="B475:D475"/>
    <mergeCell ref="B476:D476"/>
    <mergeCell ref="B477:D477"/>
    <mergeCell ref="B478:D478"/>
    <mergeCell ref="B479:D479"/>
    <mergeCell ref="B468:D468"/>
    <mergeCell ref="B469:D469"/>
    <mergeCell ref="B470:D470"/>
    <mergeCell ref="B471:D471"/>
    <mergeCell ref="B472:D472"/>
    <mergeCell ref="B473:D473"/>
    <mergeCell ref="B462:D462"/>
    <mergeCell ref="B463:D463"/>
    <mergeCell ref="B464:D464"/>
    <mergeCell ref="B465:D465"/>
    <mergeCell ref="B466:D466"/>
    <mergeCell ref="B467:D467"/>
    <mergeCell ref="B456:D456"/>
    <mergeCell ref="B457:D457"/>
    <mergeCell ref="B458:D458"/>
    <mergeCell ref="B459:D459"/>
    <mergeCell ref="B460:D460"/>
    <mergeCell ref="B461:D461"/>
    <mergeCell ref="B450:D450"/>
    <mergeCell ref="B451:D451"/>
    <mergeCell ref="B452:D452"/>
    <mergeCell ref="B453:D453"/>
    <mergeCell ref="B454:D454"/>
    <mergeCell ref="B455:D455"/>
    <mergeCell ref="B444:D444"/>
    <mergeCell ref="B445:D445"/>
    <mergeCell ref="B446:D446"/>
    <mergeCell ref="B447:D447"/>
    <mergeCell ref="B448:D448"/>
    <mergeCell ref="B449:D449"/>
    <mergeCell ref="B438:D438"/>
    <mergeCell ref="B439:D439"/>
    <mergeCell ref="B440:D440"/>
    <mergeCell ref="B441:D441"/>
    <mergeCell ref="B442:D442"/>
    <mergeCell ref="B443:D443"/>
    <mergeCell ref="B432:D432"/>
    <mergeCell ref="B433:D433"/>
    <mergeCell ref="B434:D434"/>
    <mergeCell ref="B435:D435"/>
    <mergeCell ref="B436:D436"/>
    <mergeCell ref="B437:D437"/>
    <mergeCell ref="B426:D426"/>
    <mergeCell ref="B427:D427"/>
    <mergeCell ref="B428:D428"/>
    <mergeCell ref="B429:D429"/>
    <mergeCell ref="B430:D430"/>
    <mergeCell ref="B431:D431"/>
    <mergeCell ref="B420:D420"/>
    <mergeCell ref="B421:D421"/>
    <mergeCell ref="B422:D422"/>
    <mergeCell ref="B423:D423"/>
    <mergeCell ref="B424:D424"/>
    <mergeCell ref="B425:D425"/>
    <mergeCell ref="B414:D414"/>
    <mergeCell ref="B415:D415"/>
    <mergeCell ref="B416:D416"/>
    <mergeCell ref="B417:D417"/>
    <mergeCell ref="B418:D418"/>
    <mergeCell ref="B419:D419"/>
    <mergeCell ref="B408:D408"/>
    <mergeCell ref="B409:D409"/>
    <mergeCell ref="B410:D410"/>
    <mergeCell ref="B411:D411"/>
    <mergeCell ref="B412:D412"/>
    <mergeCell ref="B413:D413"/>
    <mergeCell ref="B402:D402"/>
    <mergeCell ref="B403:D403"/>
    <mergeCell ref="B404:D404"/>
    <mergeCell ref="B405:D405"/>
    <mergeCell ref="B406:D406"/>
    <mergeCell ref="B407:D407"/>
    <mergeCell ref="B396:D396"/>
    <mergeCell ref="B397:D397"/>
    <mergeCell ref="B398:D398"/>
    <mergeCell ref="B399:D399"/>
    <mergeCell ref="B400:D400"/>
    <mergeCell ref="B401:D401"/>
    <mergeCell ref="B390:D390"/>
    <mergeCell ref="B391:D391"/>
    <mergeCell ref="B392:D392"/>
    <mergeCell ref="B393:D393"/>
    <mergeCell ref="B394:D394"/>
    <mergeCell ref="B395:D395"/>
    <mergeCell ref="B384:D384"/>
    <mergeCell ref="B385:D385"/>
    <mergeCell ref="B386:D386"/>
    <mergeCell ref="B387:D387"/>
    <mergeCell ref="B388:D388"/>
    <mergeCell ref="B389:D389"/>
    <mergeCell ref="B378:D378"/>
    <mergeCell ref="B379:D379"/>
    <mergeCell ref="B380:D380"/>
    <mergeCell ref="B381:D381"/>
    <mergeCell ref="B382:D382"/>
    <mergeCell ref="B383:D383"/>
    <mergeCell ref="B372:D372"/>
    <mergeCell ref="B373:D373"/>
    <mergeCell ref="B374:D374"/>
    <mergeCell ref="B375:D375"/>
    <mergeCell ref="B376:D376"/>
    <mergeCell ref="B377:D377"/>
    <mergeCell ref="B366:D366"/>
    <mergeCell ref="B367:D367"/>
    <mergeCell ref="B368:D368"/>
    <mergeCell ref="B369:D369"/>
    <mergeCell ref="B370:D370"/>
    <mergeCell ref="B371:D371"/>
    <mergeCell ref="B360:D360"/>
    <mergeCell ref="B361:D361"/>
    <mergeCell ref="B362:D362"/>
    <mergeCell ref="B363:D363"/>
    <mergeCell ref="B364:D364"/>
    <mergeCell ref="B365:D365"/>
    <mergeCell ref="B354:D354"/>
    <mergeCell ref="B355:D355"/>
    <mergeCell ref="B356:D356"/>
    <mergeCell ref="B357:D357"/>
    <mergeCell ref="B358:D358"/>
    <mergeCell ref="B359:D359"/>
    <mergeCell ref="B348:D348"/>
    <mergeCell ref="B349:D349"/>
    <mergeCell ref="B350:D350"/>
    <mergeCell ref="B351:D351"/>
    <mergeCell ref="B352:D352"/>
    <mergeCell ref="B353:D353"/>
    <mergeCell ref="B342:D342"/>
    <mergeCell ref="B343:D343"/>
    <mergeCell ref="B344:D344"/>
    <mergeCell ref="B345:D345"/>
    <mergeCell ref="B346:D346"/>
    <mergeCell ref="B347:D347"/>
    <mergeCell ref="B336:D336"/>
    <mergeCell ref="B337:D337"/>
    <mergeCell ref="B338:D338"/>
    <mergeCell ref="B339:D339"/>
    <mergeCell ref="B340:D340"/>
    <mergeCell ref="B341:D341"/>
    <mergeCell ref="B330:D330"/>
    <mergeCell ref="B331:D331"/>
    <mergeCell ref="B332:D332"/>
    <mergeCell ref="B333:D333"/>
    <mergeCell ref="B334:D334"/>
    <mergeCell ref="B335:D335"/>
    <mergeCell ref="B324:D324"/>
    <mergeCell ref="B325:D325"/>
    <mergeCell ref="B326:D326"/>
    <mergeCell ref="B327:D327"/>
    <mergeCell ref="B328:D328"/>
    <mergeCell ref="B329:D329"/>
    <mergeCell ref="B318:D318"/>
    <mergeCell ref="B319:D319"/>
    <mergeCell ref="B320:D320"/>
    <mergeCell ref="B321:D321"/>
    <mergeCell ref="B322:D322"/>
    <mergeCell ref="B323:D323"/>
    <mergeCell ref="B311:D311"/>
    <mergeCell ref="B313:D313"/>
    <mergeCell ref="B314:D314"/>
    <mergeCell ref="B315:D315"/>
    <mergeCell ref="B316:D316"/>
    <mergeCell ref="B317:D317"/>
    <mergeCell ref="B305:D305"/>
    <mergeCell ref="B306:D306"/>
    <mergeCell ref="B307:D307"/>
    <mergeCell ref="B308:D308"/>
    <mergeCell ref="B309:D309"/>
    <mergeCell ref="B310:D310"/>
    <mergeCell ref="B299:D299"/>
    <mergeCell ref="B300:D300"/>
    <mergeCell ref="B301:D301"/>
    <mergeCell ref="B302:D302"/>
    <mergeCell ref="B303:D303"/>
    <mergeCell ref="B304:D304"/>
    <mergeCell ref="B293:D293"/>
    <mergeCell ref="B294:D294"/>
    <mergeCell ref="B295:D295"/>
    <mergeCell ref="B296:D296"/>
    <mergeCell ref="B297:D297"/>
    <mergeCell ref="B298:D298"/>
    <mergeCell ref="B287:D287"/>
    <mergeCell ref="B288:D288"/>
    <mergeCell ref="B289:D289"/>
    <mergeCell ref="B290:D290"/>
    <mergeCell ref="B291:D291"/>
    <mergeCell ref="B292:D292"/>
    <mergeCell ref="B280:D280"/>
    <mergeCell ref="B281:D281"/>
    <mergeCell ref="B283:D283"/>
    <mergeCell ref="B284:D284"/>
    <mergeCell ref="B285:D285"/>
    <mergeCell ref="B286:D286"/>
    <mergeCell ref="B274:D274"/>
    <mergeCell ref="B275:D275"/>
    <mergeCell ref="B276:D276"/>
    <mergeCell ref="B277:D277"/>
    <mergeCell ref="B278:D278"/>
    <mergeCell ref="B279:D279"/>
    <mergeCell ref="B268:D268"/>
    <mergeCell ref="B269:D269"/>
    <mergeCell ref="B270:D270"/>
    <mergeCell ref="B271:D271"/>
    <mergeCell ref="B272:D272"/>
    <mergeCell ref="B273:D273"/>
    <mergeCell ref="B262:D262"/>
    <mergeCell ref="B263:D263"/>
    <mergeCell ref="B264:D264"/>
    <mergeCell ref="B265:D265"/>
    <mergeCell ref="B266:D266"/>
    <mergeCell ref="B267:D267"/>
    <mergeCell ref="B256:D256"/>
    <mergeCell ref="B257:D257"/>
    <mergeCell ref="B258:D258"/>
    <mergeCell ref="B259:D259"/>
    <mergeCell ref="B260:D260"/>
    <mergeCell ref="B261:D261"/>
    <mergeCell ref="B249:D249"/>
    <mergeCell ref="B250:D250"/>
    <mergeCell ref="B251:D251"/>
    <mergeCell ref="B252:D252"/>
    <mergeCell ref="B253:D253"/>
    <mergeCell ref="B255:D255"/>
    <mergeCell ref="B243:D243"/>
    <mergeCell ref="B244:D244"/>
    <mergeCell ref="B245:D245"/>
    <mergeCell ref="B246:D246"/>
    <mergeCell ref="B247:D247"/>
    <mergeCell ref="B248:D248"/>
    <mergeCell ref="B237:D237"/>
    <mergeCell ref="B238:D238"/>
    <mergeCell ref="B239:D239"/>
    <mergeCell ref="B240:D240"/>
    <mergeCell ref="B241:D241"/>
    <mergeCell ref="B242:D242"/>
    <mergeCell ref="B231:D231"/>
    <mergeCell ref="B232:D232"/>
    <mergeCell ref="B233:D233"/>
    <mergeCell ref="B234:D234"/>
    <mergeCell ref="B235:D235"/>
    <mergeCell ref="B236:D236"/>
    <mergeCell ref="B225:D225"/>
    <mergeCell ref="B226:D226"/>
    <mergeCell ref="B227:D227"/>
    <mergeCell ref="B228:D228"/>
    <mergeCell ref="B229:D229"/>
    <mergeCell ref="B230:D230"/>
    <mergeCell ref="B218:D218"/>
    <mergeCell ref="B219:D219"/>
    <mergeCell ref="B220:D220"/>
    <mergeCell ref="B221:D221"/>
    <mergeCell ref="B223:D223"/>
    <mergeCell ref="B224:D224"/>
    <mergeCell ref="B212:D212"/>
    <mergeCell ref="B213:D213"/>
    <mergeCell ref="B214:D214"/>
    <mergeCell ref="B215:D215"/>
    <mergeCell ref="B216:D216"/>
    <mergeCell ref="B217:D217"/>
    <mergeCell ref="B206:D206"/>
    <mergeCell ref="B207:D207"/>
    <mergeCell ref="B208:D208"/>
    <mergeCell ref="B209:D209"/>
    <mergeCell ref="B210:D210"/>
    <mergeCell ref="B211:D211"/>
    <mergeCell ref="B200:D200"/>
    <mergeCell ref="B201:D201"/>
    <mergeCell ref="B202:D202"/>
    <mergeCell ref="B203:D203"/>
    <mergeCell ref="B204:D204"/>
    <mergeCell ref="B205:D205"/>
    <mergeCell ref="B193:D193"/>
    <mergeCell ref="B194:D194"/>
    <mergeCell ref="B195:D195"/>
    <mergeCell ref="B197:D197"/>
    <mergeCell ref="B198:D198"/>
    <mergeCell ref="B199:D199"/>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4:D144"/>
    <mergeCell ref="B146:D146"/>
    <mergeCell ref="B147:D147"/>
    <mergeCell ref="B148:D148"/>
    <mergeCell ref="B149:D149"/>
    <mergeCell ref="B150:D150"/>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5:D125"/>
    <mergeCell ref="B126:D126"/>
    <mergeCell ref="B127:D127"/>
    <mergeCell ref="B128:D128"/>
    <mergeCell ref="B130:D130"/>
    <mergeCell ref="B131:D131"/>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8:D88"/>
    <mergeCell ref="B89:D89"/>
    <mergeCell ref="B90:D90"/>
    <mergeCell ref="B91:D91"/>
    <mergeCell ref="B93:D93"/>
    <mergeCell ref="B94:D94"/>
    <mergeCell ref="B81:D81"/>
    <mergeCell ref="B82:D82"/>
    <mergeCell ref="B85:D85"/>
    <mergeCell ref="B86:D86"/>
    <mergeCell ref="B87:D87"/>
    <mergeCell ref="B75:D75"/>
    <mergeCell ref="B76:D76"/>
    <mergeCell ref="B77:D77"/>
    <mergeCell ref="B78:D78"/>
    <mergeCell ref="B79:D79"/>
    <mergeCell ref="B80:D80"/>
    <mergeCell ref="B69:D69"/>
    <mergeCell ref="B70:D70"/>
    <mergeCell ref="B71:D71"/>
    <mergeCell ref="B72:D72"/>
    <mergeCell ref="B73:D73"/>
    <mergeCell ref="B74:D74"/>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7:D37"/>
    <mergeCell ref="B38:D38"/>
    <mergeCell ref="B40:D40"/>
    <mergeCell ref="B41:D41"/>
    <mergeCell ref="B42:D42"/>
    <mergeCell ref="B43:D43"/>
    <mergeCell ref="B31:D31"/>
    <mergeCell ref="B32:D32"/>
    <mergeCell ref="B33:D33"/>
    <mergeCell ref="B34:D34"/>
    <mergeCell ref="B35:D35"/>
    <mergeCell ref="B36:D36"/>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B2:D2"/>
    <mergeCell ref="B3:D3"/>
    <mergeCell ref="B4:D4"/>
    <mergeCell ref="B5:D5"/>
    <mergeCell ref="B6:D6"/>
  </mergeCells>
  <pageMargins left="0.25" right="0.25" top="0.5" bottom="0.5" header="0.5" footer="0.5"/>
  <pageSetup paperSize="9" scale="31" fitToHeight="20" orientation="portrait" horizontalDpi="0" verticalDpi="0"/>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C040-2B04-EA4C-81F9-E64EBDF7B69A}">
  <sheetPr>
    <tabColor theme="6" tint="-0.499984740745262"/>
  </sheetPr>
  <dimension ref="A1:AA63"/>
  <sheetViews>
    <sheetView zoomScale="117" zoomScaleNormal="70" workbookViewId="0">
      <selection activeCell="A39" sqref="A39:XFD63"/>
    </sheetView>
  </sheetViews>
  <sheetFormatPr baseColWidth="10" defaultColWidth="11.5" defaultRowHeight="13"/>
  <cols>
    <col min="1" max="1" width="31.5" style="511" customWidth="1"/>
    <col min="2" max="2" width="13.5" style="511" bestFit="1" customWidth="1"/>
    <col min="3" max="4" width="17.6640625" style="511" customWidth="1"/>
    <col min="5" max="5" width="16.33203125" style="511" customWidth="1"/>
    <col min="6" max="6" width="16.6640625" style="511" customWidth="1"/>
    <col min="7" max="7" width="18.83203125" style="511" customWidth="1"/>
    <col min="8" max="8" width="16.83203125" style="511" customWidth="1"/>
    <col min="9" max="9" width="16" style="511" bestFit="1" customWidth="1"/>
    <col min="10" max="10" width="16.33203125" style="511" customWidth="1"/>
    <col min="11" max="11" width="16.83203125" style="511" customWidth="1"/>
    <col min="12" max="13" width="15.33203125" style="511" customWidth="1"/>
    <col min="14" max="14" width="14.33203125" style="511" customWidth="1"/>
    <col min="15" max="15" width="15" style="511" customWidth="1"/>
    <col min="16" max="16" width="14.83203125" style="511" customWidth="1"/>
    <col min="17" max="17" width="15.33203125" style="511" customWidth="1"/>
    <col min="18" max="18" width="15.83203125" style="511" customWidth="1"/>
    <col min="19" max="19" width="15.6640625" style="511" customWidth="1"/>
    <col min="20" max="20" width="15" style="511" bestFit="1" customWidth="1"/>
    <col min="21" max="21" width="16.1640625" style="511" customWidth="1"/>
    <col min="22" max="22" width="15.33203125" style="511" hidden="1" customWidth="1"/>
    <col min="23" max="23" width="13.5" style="511" hidden="1" customWidth="1"/>
    <col min="24" max="90" width="0" style="511" hidden="1" customWidth="1"/>
    <col min="91" max="16384" width="11.5" style="511"/>
  </cols>
  <sheetData>
    <row r="1" spans="1:27" ht="16">
      <c r="A1" s="658">
        <v>2026</v>
      </c>
      <c r="B1" s="659"/>
      <c r="C1" s="659"/>
      <c r="D1" s="659"/>
      <c r="E1" s="659"/>
      <c r="F1" s="659"/>
      <c r="G1" s="659"/>
      <c r="H1" s="665"/>
      <c r="I1" s="658">
        <f>A1+1</f>
        <v>2027</v>
      </c>
      <c r="J1" s="659"/>
      <c r="K1" s="659"/>
      <c r="L1" s="659"/>
      <c r="M1" s="659"/>
      <c r="N1" s="659"/>
      <c r="O1" s="659"/>
      <c r="P1" s="659"/>
      <c r="Q1" s="659"/>
      <c r="R1" s="659"/>
      <c r="S1" s="659"/>
      <c r="T1" s="659"/>
      <c r="U1" s="660"/>
    </row>
    <row r="2" spans="1:27" s="560" customFormat="1" ht="27" customHeight="1">
      <c r="A2" s="661"/>
      <c r="B2" s="662"/>
      <c r="C2" s="557" t="s">
        <v>420</v>
      </c>
      <c r="D2" s="557" t="s">
        <v>421</v>
      </c>
      <c r="E2" s="557" t="s">
        <v>422</v>
      </c>
      <c r="F2" s="557" t="s">
        <v>423</v>
      </c>
      <c r="G2" s="557" t="s">
        <v>424</v>
      </c>
      <c r="H2" s="558" t="s">
        <v>234</v>
      </c>
      <c r="I2" s="556" t="s">
        <v>425</v>
      </c>
      <c r="J2" s="557" t="s">
        <v>426</v>
      </c>
      <c r="K2" s="557" t="s">
        <v>427</v>
      </c>
      <c r="L2" s="557" t="s">
        <v>428</v>
      </c>
      <c r="M2" s="557" t="s">
        <v>429</v>
      </c>
      <c r="N2" s="557" t="s">
        <v>430</v>
      </c>
      <c r="O2" s="557" t="s">
        <v>431</v>
      </c>
      <c r="P2" s="557" t="s">
        <v>420</v>
      </c>
      <c r="Q2" s="557" t="s">
        <v>421</v>
      </c>
      <c r="R2" s="557" t="s">
        <v>422</v>
      </c>
      <c r="S2" s="557" t="s">
        <v>423</v>
      </c>
      <c r="T2" s="557" t="s">
        <v>424</v>
      </c>
      <c r="U2" s="559" t="s">
        <v>234</v>
      </c>
      <c r="V2" s="560" t="s">
        <v>426</v>
      </c>
      <c r="W2" s="560" t="s">
        <v>427</v>
      </c>
      <c r="X2" s="560" t="s">
        <v>428</v>
      </c>
      <c r="Y2" s="560" t="s">
        <v>429</v>
      </c>
      <c r="Z2" s="560" t="s">
        <v>430</v>
      </c>
      <c r="AA2" s="560" t="s">
        <v>431</v>
      </c>
    </row>
    <row r="3" spans="1:27">
      <c r="A3" s="650" t="s">
        <v>983</v>
      </c>
      <c r="B3" s="651"/>
      <c r="C3" s="554">
        <v>0</v>
      </c>
      <c r="D3" s="532">
        <f>C38</f>
        <v>0</v>
      </c>
      <c r="E3" s="532">
        <f t="shared" ref="E3:G3" si="0">D38</f>
        <v>0</v>
      </c>
      <c r="F3" s="532">
        <f t="shared" si="0"/>
        <v>0</v>
      </c>
      <c r="G3" s="532">
        <f t="shared" si="0"/>
        <v>0</v>
      </c>
      <c r="H3" s="539"/>
      <c r="I3" s="544">
        <f>G38</f>
        <v>11320.25</v>
      </c>
      <c r="J3" s="532">
        <f>I38</f>
        <v>22640.5</v>
      </c>
      <c r="K3" s="532">
        <f t="shared" ref="K3:T3" si="1">J38</f>
        <v>33960.75</v>
      </c>
      <c r="L3" s="532">
        <f t="shared" si="1"/>
        <v>45281</v>
      </c>
      <c r="M3" s="532">
        <f t="shared" si="1"/>
        <v>56601.25</v>
      </c>
      <c r="N3" s="532">
        <f t="shared" si="1"/>
        <v>67921.5</v>
      </c>
      <c r="O3" s="532">
        <f t="shared" si="1"/>
        <v>79241.75</v>
      </c>
      <c r="P3" s="532">
        <f t="shared" si="1"/>
        <v>90562</v>
      </c>
      <c r="Q3" s="532">
        <f t="shared" si="1"/>
        <v>101882.25</v>
      </c>
      <c r="R3" s="532">
        <f t="shared" si="1"/>
        <v>113202.5</v>
      </c>
      <c r="S3" s="532">
        <f t="shared" si="1"/>
        <v>124522.75</v>
      </c>
      <c r="T3" s="532">
        <f t="shared" si="1"/>
        <v>135843</v>
      </c>
      <c r="U3" s="545"/>
    </row>
    <row r="4" spans="1:27">
      <c r="A4" s="650"/>
      <c r="B4" s="651"/>
      <c r="C4" s="532"/>
      <c r="D4" s="532"/>
      <c r="E4" s="532"/>
      <c r="F4" s="532"/>
      <c r="G4" s="532"/>
      <c r="H4" s="539"/>
      <c r="I4" s="544"/>
      <c r="J4" s="532"/>
      <c r="K4" s="532"/>
      <c r="L4" s="532"/>
      <c r="M4" s="532"/>
      <c r="N4" s="532"/>
      <c r="O4" s="532"/>
      <c r="P4" s="532"/>
      <c r="Q4" s="532"/>
      <c r="R4" s="532"/>
      <c r="S4" s="532"/>
      <c r="T4" s="532"/>
      <c r="U4" s="545"/>
    </row>
    <row r="5" spans="1:27" s="513" customFormat="1" ht="14">
      <c r="A5" s="644" t="s">
        <v>419</v>
      </c>
      <c r="B5" s="645"/>
      <c r="C5" s="533"/>
      <c r="D5" s="533"/>
      <c r="E5" s="533">
        <f>'1.Driftstilskud'!B9/5*4</f>
        <v>0</v>
      </c>
      <c r="F5" s="533">
        <f>'1.Driftstilskud'!B9/5</f>
        <v>0</v>
      </c>
      <c r="G5" s="534">
        <f>'1.Driftstilskud'!C29/7</f>
        <v>0</v>
      </c>
      <c r="H5" s="540">
        <f>SUM(B5:G5)</f>
        <v>0</v>
      </c>
      <c r="I5" s="546">
        <f>G5</f>
        <v>0</v>
      </c>
      <c r="J5" s="533">
        <f>I5</f>
        <v>0</v>
      </c>
      <c r="K5" s="533">
        <f t="shared" ref="K5:S5" si="2">J5</f>
        <v>0</v>
      </c>
      <c r="L5" s="533">
        <f t="shared" si="2"/>
        <v>0</v>
      </c>
      <c r="M5" s="533">
        <f t="shared" si="2"/>
        <v>0</v>
      </c>
      <c r="N5" s="533">
        <f t="shared" si="2"/>
        <v>0</v>
      </c>
      <c r="O5" s="533">
        <f t="shared" si="2"/>
        <v>0</v>
      </c>
      <c r="P5" s="533">
        <f>O5</f>
        <v>0</v>
      </c>
      <c r="Q5" s="533">
        <f t="shared" si="2"/>
        <v>0</v>
      </c>
      <c r="R5" s="533">
        <f t="shared" si="2"/>
        <v>0</v>
      </c>
      <c r="S5" s="533">
        <f t="shared" si="2"/>
        <v>0</v>
      </c>
      <c r="T5" s="533">
        <f>'1.Driftstilskud'!C47/5</f>
        <v>0</v>
      </c>
      <c r="U5" s="547">
        <f>SUM(I5:T5)</f>
        <v>0</v>
      </c>
      <c r="V5" s="524">
        <f>Budget!F6</f>
        <v>0</v>
      </c>
    </row>
    <row r="6" spans="1:27" s="513" customFormat="1" ht="14">
      <c r="A6" s="644" t="s">
        <v>977</v>
      </c>
      <c r="B6" s="645"/>
      <c r="C6" s="533"/>
      <c r="D6" s="533"/>
      <c r="E6" s="533"/>
      <c r="F6" s="533"/>
      <c r="G6" s="534"/>
      <c r="H6" s="540"/>
      <c r="I6" s="546"/>
      <c r="J6" s="533"/>
      <c r="K6" s="533"/>
      <c r="L6" s="533"/>
      <c r="M6" s="533"/>
      <c r="N6" s="533"/>
      <c r="O6" s="533"/>
      <c r="P6" s="533"/>
      <c r="Q6" s="533"/>
      <c r="R6" s="533"/>
      <c r="S6" s="533"/>
      <c r="T6" s="533">
        <f>'1.Driftstilskud'!C49-Likviditet.1!I5-Likviditet.1!J5-Likviditet.1!K5-Likviditet.1!L5-Likviditet.1!M5-Likviditet.1!N5-Likviditet.1!O5-Likviditet.1!P5-Likviditet.1!Q5-Likviditet.1!R5-Likviditet.1!S5</f>
        <v>0</v>
      </c>
      <c r="U6" s="547">
        <f>SUM(I6:T6)</f>
        <v>0</v>
      </c>
      <c r="V6" s="514">
        <f>U5+U6</f>
        <v>0</v>
      </c>
    </row>
    <row r="7" spans="1:27" s="513" customFormat="1" ht="14">
      <c r="A7" s="644" t="s">
        <v>443</v>
      </c>
      <c r="B7" s="645"/>
      <c r="C7" s="533"/>
      <c r="D7" s="533"/>
      <c r="E7" s="533">
        <f>'2.Oevrige Statstilskud'!B11/5*4</f>
        <v>0</v>
      </c>
      <c r="F7" s="533">
        <f>E7/4</f>
        <v>0</v>
      </c>
      <c r="G7" s="534">
        <f>F7</f>
        <v>0</v>
      </c>
      <c r="H7" s="540">
        <f>SUM(B7:G7)</f>
        <v>0</v>
      </c>
      <c r="I7" s="546">
        <f>G7</f>
        <v>0</v>
      </c>
      <c r="J7" s="533">
        <f>I7</f>
        <v>0</v>
      </c>
      <c r="K7" s="533">
        <f t="shared" ref="K7:S7" si="3">I7</f>
        <v>0</v>
      </c>
      <c r="L7" s="533">
        <f t="shared" si="3"/>
        <v>0</v>
      </c>
      <c r="M7" s="533">
        <f t="shared" si="3"/>
        <v>0</v>
      </c>
      <c r="N7" s="533">
        <f t="shared" si="3"/>
        <v>0</v>
      </c>
      <c r="O7" s="533">
        <f t="shared" si="3"/>
        <v>0</v>
      </c>
      <c r="P7" s="533">
        <f t="shared" si="3"/>
        <v>0</v>
      </c>
      <c r="Q7" s="533">
        <f t="shared" si="3"/>
        <v>0</v>
      </c>
      <c r="R7" s="533">
        <f t="shared" si="3"/>
        <v>0</v>
      </c>
      <c r="S7" s="533">
        <f t="shared" si="3"/>
        <v>0</v>
      </c>
      <c r="T7" s="533">
        <f>'2.Oevrige Statstilskud'!B13/5</f>
        <v>0</v>
      </c>
      <c r="U7" s="547">
        <f>SUM(I7:T7)</f>
        <v>0</v>
      </c>
      <c r="V7" s="514">
        <f>V6-V5</f>
        <v>0</v>
      </c>
      <c r="W7" s="524">
        <f>Budget!F7</f>
        <v>135843</v>
      </c>
    </row>
    <row r="8" spans="1:27" s="513" customFormat="1" ht="14">
      <c r="A8" s="644" t="s">
        <v>978</v>
      </c>
      <c r="B8" s="645"/>
      <c r="C8" s="533"/>
      <c r="D8" s="533"/>
      <c r="E8" s="533"/>
      <c r="F8" s="533"/>
      <c r="G8" s="534"/>
      <c r="H8" s="540"/>
      <c r="I8" s="546"/>
      <c r="J8" s="533"/>
      <c r="K8" s="533"/>
      <c r="L8" s="533"/>
      <c r="M8" s="533"/>
      <c r="N8" s="533"/>
      <c r="O8" s="533"/>
      <c r="P8" s="533"/>
      <c r="Q8" s="533"/>
      <c r="R8" s="533"/>
      <c r="S8" s="533"/>
      <c r="T8" s="533">
        <f>'2.Oevrige Statstilskud'!B13+'2.Oevrige Statstilskud'!B12-Likviditet.1!I7-Likviditet.1!J7-Likviditet.1!K7-Likviditet.1!L7-Likviditet.1!M7-Likviditet.1!N7-Likviditet.1!O7-Likviditet.1!P7-Likviditet.1!Q7-Likviditet.1!R7-Likviditet.1!S7</f>
        <v>0</v>
      </c>
      <c r="U8" s="547">
        <f>SUM(I8:T8)</f>
        <v>0</v>
      </c>
      <c r="W8" s="514">
        <f>U7+U8+U9+U10</f>
        <v>135843</v>
      </c>
    </row>
    <row r="9" spans="1:27" s="513" customFormat="1" ht="14">
      <c r="A9" s="644" t="s">
        <v>444</v>
      </c>
      <c r="B9" s="645"/>
      <c r="C9" s="533"/>
      <c r="D9" s="533"/>
      <c r="E9" s="533"/>
      <c r="F9" s="533"/>
      <c r="G9" s="534">
        <f>'2.Oevrige Statstilskud'!B20/7</f>
        <v>0</v>
      </c>
      <c r="H9" s="540">
        <f t="shared" ref="H9:H37" si="4">SUM(B9:G9)</f>
        <v>0</v>
      </c>
      <c r="I9" s="546">
        <f>G9</f>
        <v>0</v>
      </c>
      <c r="J9" s="533">
        <f>I9</f>
        <v>0</v>
      </c>
      <c r="K9" s="533">
        <f t="shared" ref="K9:T16" si="5">J9</f>
        <v>0</v>
      </c>
      <c r="L9" s="533">
        <f t="shared" si="5"/>
        <v>0</v>
      </c>
      <c r="M9" s="533">
        <f t="shared" si="5"/>
        <v>0</v>
      </c>
      <c r="N9" s="533">
        <f t="shared" si="5"/>
        <v>0</v>
      </c>
      <c r="O9" s="533">
        <f t="shared" si="5"/>
        <v>0</v>
      </c>
      <c r="P9" s="533">
        <f t="shared" si="5"/>
        <v>0</v>
      </c>
      <c r="Q9" s="533">
        <f t="shared" si="5"/>
        <v>0</v>
      </c>
      <c r="R9" s="533">
        <f t="shared" si="5"/>
        <v>0</v>
      </c>
      <c r="S9" s="533">
        <f t="shared" si="5"/>
        <v>0</v>
      </c>
      <c r="T9" s="533">
        <f>'2.Oevrige Statstilskud'!B21/5+'2.Oevrige Statstilskud'!B21-Likviditet.1!S9-Likviditet.1!R9-Likviditet.1!Q9-Likviditet.1!P9-Likviditet.1!O9</f>
        <v>0</v>
      </c>
      <c r="U9" s="547">
        <f>SUM(I9:T9)</f>
        <v>0</v>
      </c>
      <c r="W9" s="514">
        <f>W8-W7</f>
        <v>0</v>
      </c>
    </row>
    <row r="10" spans="1:27" s="513" customFormat="1" ht="14">
      <c r="A10" s="644" t="s">
        <v>445</v>
      </c>
      <c r="B10" s="645"/>
      <c r="C10" s="533"/>
      <c r="D10" s="533"/>
      <c r="E10" s="533"/>
      <c r="F10" s="533"/>
      <c r="G10" s="534">
        <f>'2.Oevrige Statstilskud'!B39/7</f>
        <v>11320.25</v>
      </c>
      <c r="H10" s="540">
        <f t="shared" si="4"/>
        <v>11320.25</v>
      </c>
      <c r="I10" s="546">
        <f>G10</f>
        <v>11320.25</v>
      </c>
      <c r="J10" s="533">
        <f>G10</f>
        <v>11320.25</v>
      </c>
      <c r="K10" s="533">
        <f>J10</f>
        <v>11320.25</v>
      </c>
      <c r="L10" s="533">
        <f t="shared" ref="L10:O10" si="6">I10</f>
        <v>11320.25</v>
      </c>
      <c r="M10" s="533">
        <f t="shared" si="6"/>
        <v>11320.25</v>
      </c>
      <c r="N10" s="533">
        <f t="shared" si="6"/>
        <v>11320.25</v>
      </c>
      <c r="O10" s="533">
        <f t="shared" si="6"/>
        <v>11320.25</v>
      </c>
      <c r="P10" s="533">
        <f>O10</f>
        <v>11320.25</v>
      </c>
      <c r="Q10" s="533">
        <f t="shared" si="5"/>
        <v>11320.25</v>
      </c>
      <c r="R10" s="533">
        <f t="shared" si="5"/>
        <v>11320.25</v>
      </c>
      <c r="S10" s="533">
        <f t="shared" si="5"/>
        <v>11320.25</v>
      </c>
      <c r="T10" s="533">
        <f t="shared" si="5"/>
        <v>11320.25</v>
      </c>
      <c r="U10" s="547">
        <f t="shared" ref="U10:U61" si="7">SUM(I10:T10)</f>
        <v>135843</v>
      </c>
      <c r="V10" s="514">
        <f>U7+U9+U10</f>
        <v>135843</v>
      </c>
    </row>
    <row r="11" spans="1:27" s="513" customFormat="1" ht="14">
      <c r="A11" s="644" t="s">
        <v>968</v>
      </c>
      <c r="B11" s="645"/>
      <c r="C11" s="533"/>
      <c r="D11" s="533"/>
      <c r="E11" s="533">
        <f>'2.Oevrige Statstilskud'!B33/5*4</f>
        <v>0</v>
      </c>
      <c r="F11" s="533">
        <f>'2.Oevrige Statstilskud'!B33/5</f>
        <v>0</v>
      </c>
      <c r="G11" s="534">
        <f>'2.Oevrige Statstilskud'!B34/12</f>
        <v>0</v>
      </c>
      <c r="H11" s="540">
        <f>SUM(B11:G11)</f>
        <v>0</v>
      </c>
      <c r="I11" s="546">
        <f>G11</f>
        <v>0</v>
      </c>
      <c r="J11" s="533">
        <f t="shared" ref="J11:J16" si="8">I11</f>
        <v>0</v>
      </c>
      <c r="K11" s="533">
        <f t="shared" ref="K11:T11" si="9">J11</f>
        <v>0</v>
      </c>
      <c r="L11" s="533">
        <f t="shared" si="9"/>
        <v>0</v>
      </c>
      <c r="M11" s="533">
        <f t="shared" si="9"/>
        <v>0</v>
      </c>
      <c r="N11" s="533">
        <f t="shared" si="9"/>
        <v>0</v>
      </c>
      <c r="O11" s="533">
        <f t="shared" si="9"/>
        <v>0</v>
      </c>
      <c r="P11" s="533">
        <f t="shared" si="9"/>
        <v>0</v>
      </c>
      <c r="Q11" s="533">
        <f>P11</f>
        <v>0</v>
      </c>
      <c r="R11" s="533">
        <f t="shared" si="9"/>
        <v>0</v>
      </c>
      <c r="S11" s="533">
        <f t="shared" si="9"/>
        <v>0</v>
      </c>
      <c r="T11" s="533">
        <f t="shared" si="9"/>
        <v>0</v>
      </c>
      <c r="U11" s="547">
        <f t="shared" si="7"/>
        <v>0</v>
      </c>
      <c r="V11" s="514"/>
    </row>
    <row r="12" spans="1:27" s="513" customFormat="1" ht="14">
      <c r="A12" s="644" t="s">
        <v>286</v>
      </c>
      <c r="B12" s="645"/>
      <c r="C12" s="533">
        <f>IF('3.Skolepenge'!B5&gt;0,'3.Skolepenge'!G8/'3.Skolepenge'!F5,0)</f>
        <v>0</v>
      </c>
      <c r="D12" s="533">
        <f>C12</f>
        <v>0</v>
      </c>
      <c r="E12" s="533">
        <f t="shared" ref="E12:G16" si="10">D12</f>
        <v>0</v>
      </c>
      <c r="F12" s="533">
        <f>E12</f>
        <v>0</v>
      </c>
      <c r="G12" s="533">
        <f t="shared" si="10"/>
        <v>0</v>
      </c>
      <c r="H12" s="540">
        <f>SUM(B12:G12)</f>
        <v>0</v>
      </c>
      <c r="I12" s="546">
        <f>IF('3.Skolepenge'!B13&gt;0,'3.Skolepenge'!G16/'3.Skolepenge'!F13,0)</f>
        <v>0</v>
      </c>
      <c r="J12" s="533">
        <f t="shared" si="8"/>
        <v>0</v>
      </c>
      <c r="K12" s="533">
        <f t="shared" ref="K12:N16" si="11">J12</f>
        <v>0</v>
      </c>
      <c r="L12" s="533">
        <f t="shared" si="11"/>
        <v>0</v>
      </c>
      <c r="M12" s="533">
        <f t="shared" si="11"/>
        <v>0</v>
      </c>
      <c r="N12" s="533">
        <f t="shared" si="11"/>
        <v>0</v>
      </c>
      <c r="O12" s="533">
        <f>IF('3.Skolepenge'!F13&gt;6,'3.Skolepenge'!G16/'3.Skolepenge'!F13,0)</f>
        <v>0</v>
      </c>
      <c r="P12" s="533">
        <f>'3.Skolepenge'!G24/5</f>
        <v>0</v>
      </c>
      <c r="Q12" s="533">
        <f>P12</f>
        <v>0</v>
      </c>
      <c r="R12" s="533">
        <f t="shared" si="5"/>
        <v>0</v>
      </c>
      <c r="S12" s="533">
        <f t="shared" si="5"/>
        <v>0</v>
      </c>
      <c r="T12" s="533">
        <f t="shared" si="5"/>
        <v>0</v>
      </c>
      <c r="U12" s="547">
        <f>SUM(I12:T12)</f>
        <v>0</v>
      </c>
    </row>
    <row r="13" spans="1:27" s="513" customFormat="1" ht="14">
      <c r="A13" s="644" t="s">
        <v>432</v>
      </c>
      <c r="B13" s="645"/>
      <c r="C13" s="533">
        <f>IF('4.Foraeldrebetaling,SFO'!B6&gt;0,'4.Foraeldrebetaling,SFO'!G8/'4.Foraeldrebetaling,SFO'!F6,0)</f>
        <v>0</v>
      </c>
      <c r="D13" s="533">
        <f>C13</f>
        <v>0</v>
      </c>
      <c r="E13" s="533">
        <f t="shared" si="10"/>
        <v>0</v>
      </c>
      <c r="F13" s="533">
        <f t="shared" si="10"/>
        <v>0</v>
      </c>
      <c r="G13" s="533">
        <f t="shared" si="10"/>
        <v>0</v>
      </c>
      <c r="H13" s="540">
        <f>SUM(B13:G13)</f>
        <v>0</v>
      </c>
      <c r="I13" s="546">
        <f>IF('4.Foraeldrebetaling,SFO'!B13&gt;0,'4.Foraeldrebetaling,SFO'!G15/'4.Foraeldrebetaling,SFO'!F13,0)</f>
        <v>0</v>
      </c>
      <c r="J13" s="533">
        <f t="shared" si="8"/>
        <v>0</v>
      </c>
      <c r="K13" s="533">
        <f t="shared" si="11"/>
        <v>0</v>
      </c>
      <c r="L13" s="533">
        <f t="shared" si="11"/>
        <v>0</v>
      </c>
      <c r="M13" s="533">
        <f t="shared" si="11"/>
        <v>0</v>
      </c>
      <c r="N13" s="533">
        <f t="shared" si="11"/>
        <v>0</v>
      </c>
      <c r="O13" s="533">
        <f>IF('4.Foraeldrebetaling,SFO'!F13&gt;6,'4.Foraeldrebetaling,SFO'!G15/'4.Foraeldrebetaling,SFO'!F13,0)</f>
        <v>0</v>
      </c>
      <c r="P13" s="533">
        <f>IF('3.Skolepenge'!B21&gt;0,'4.Foraeldrebetaling,SFO'!G22/'4.Foraeldrebetaling,SFO'!F20,0)</f>
        <v>0</v>
      </c>
      <c r="Q13" s="533">
        <f>P13</f>
        <v>0</v>
      </c>
      <c r="R13" s="533">
        <f t="shared" si="5"/>
        <v>0</v>
      </c>
      <c r="S13" s="533">
        <f t="shared" si="5"/>
        <v>0</v>
      </c>
      <c r="T13" s="533">
        <f t="shared" si="5"/>
        <v>0</v>
      </c>
      <c r="U13" s="547">
        <f t="shared" si="7"/>
        <v>0</v>
      </c>
    </row>
    <row r="14" spans="1:27" s="513" customFormat="1" ht="14">
      <c r="A14" s="644" t="s">
        <v>177</v>
      </c>
      <c r="B14" s="645"/>
      <c r="C14" s="533">
        <f>'5.Andre_Indt'!C18/5</f>
        <v>0</v>
      </c>
      <c r="D14" s="533">
        <f>C14</f>
        <v>0</v>
      </c>
      <c r="E14" s="533">
        <f t="shared" si="10"/>
        <v>0</v>
      </c>
      <c r="F14" s="533">
        <f t="shared" si="10"/>
        <v>0</v>
      </c>
      <c r="G14" s="533">
        <f t="shared" si="10"/>
        <v>0</v>
      </c>
      <c r="H14" s="540">
        <f t="shared" ref="H14:H17" si="12">SUM(B14:G14)</f>
        <v>0</v>
      </c>
      <c r="I14" s="546">
        <f>'5.Andre_Indt'!D18/12</f>
        <v>0</v>
      </c>
      <c r="J14" s="533">
        <f t="shared" si="8"/>
        <v>0</v>
      </c>
      <c r="K14" s="533">
        <f t="shared" si="11"/>
        <v>0</v>
      </c>
      <c r="L14" s="533">
        <f t="shared" si="11"/>
        <v>0</v>
      </c>
      <c r="M14" s="533">
        <f t="shared" si="11"/>
        <v>0</v>
      </c>
      <c r="N14" s="533">
        <f t="shared" si="11"/>
        <v>0</v>
      </c>
      <c r="O14" s="533">
        <f t="shared" ref="O14:P16" si="13">N14</f>
        <v>0</v>
      </c>
      <c r="P14" s="533">
        <f>O14</f>
        <v>0</v>
      </c>
      <c r="Q14" s="533">
        <f t="shared" ref="Q14" si="14">P14</f>
        <v>0</v>
      </c>
      <c r="R14" s="533">
        <f t="shared" si="5"/>
        <v>0</v>
      </c>
      <c r="S14" s="533">
        <f t="shared" si="5"/>
        <v>0</v>
      </c>
      <c r="T14" s="533">
        <f t="shared" si="5"/>
        <v>0</v>
      </c>
      <c r="U14" s="547">
        <f t="shared" si="7"/>
        <v>0</v>
      </c>
    </row>
    <row r="15" spans="1:27" s="513" customFormat="1" ht="14">
      <c r="A15" s="644" t="s">
        <v>973</v>
      </c>
      <c r="B15" s="645"/>
      <c r="C15" s="533">
        <f>IF(Budget!C35&gt;0,Budget!C35/5,0)</f>
        <v>0</v>
      </c>
      <c r="D15" s="533">
        <f>C15</f>
        <v>0</v>
      </c>
      <c r="E15" s="533">
        <f t="shared" si="10"/>
        <v>0</v>
      </c>
      <c r="F15" s="533">
        <f t="shared" si="10"/>
        <v>0</v>
      </c>
      <c r="G15" s="533">
        <f t="shared" si="10"/>
        <v>0</v>
      </c>
      <c r="H15" s="540">
        <f t="shared" si="12"/>
        <v>0</v>
      </c>
      <c r="I15" s="546">
        <f>IF(Budget!F35&gt;0,Budget!F35/12,0)</f>
        <v>0</v>
      </c>
      <c r="J15" s="533">
        <f t="shared" si="8"/>
        <v>0</v>
      </c>
      <c r="K15" s="533">
        <f t="shared" si="11"/>
        <v>0</v>
      </c>
      <c r="L15" s="533">
        <f t="shared" si="11"/>
        <v>0</v>
      </c>
      <c r="M15" s="533">
        <f t="shared" si="11"/>
        <v>0</v>
      </c>
      <c r="N15" s="533">
        <f t="shared" si="11"/>
        <v>0</v>
      </c>
      <c r="O15" s="533">
        <f t="shared" si="13"/>
        <v>0</v>
      </c>
      <c r="P15" s="533">
        <f t="shared" si="13"/>
        <v>0</v>
      </c>
      <c r="Q15" s="533">
        <f>P15</f>
        <v>0</v>
      </c>
      <c r="R15" s="533">
        <f t="shared" si="5"/>
        <v>0</v>
      </c>
      <c r="S15" s="533">
        <f t="shared" si="5"/>
        <v>0</v>
      </c>
      <c r="T15" s="533">
        <f t="shared" si="5"/>
        <v>0</v>
      </c>
      <c r="U15" s="547">
        <f t="shared" si="7"/>
        <v>0</v>
      </c>
    </row>
    <row r="16" spans="1:27" ht="14">
      <c r="A16" s="644" t="s">
        <v>959</v>
      </c>
      <c r="B16" s="645"/>
      <c r="C16" s="532">
        <f>IF(Budget!C38&gt;0,Budget!C38/5,0)</f>
        <v>0</v>
      </c>
      <c r="D16" s="532">
        <f>C16</f>
        <v>0</v>
      </c>
      <c r="E16" s="532">
        <f t="shared" si="10"/>
        <v>0</v>
      </c>
      <c r="F16" s="532">
        <f t="shared" si="10"/>
        <v>0</v>
      </c>
      <c r="G16" s="532">
        <f t="shared" si="10"/>
        <v>0</v>
      </c>
      <c r="H16" s="539">
        <f>SUM(B16:G16)</f>
        <v>0</v>
      </c>
      <c r="I16" s="544">
        <f>IF(Budget!F38&gt;0,Budget!F38/12,0)</f>
        <v>0</v>
      </c>
      <c r="J16" s="532">
        <f t="shared" si="8"/>
        <v>0</v>
      </c>
      <c r="K16" s="532">
        <f t="shared" si="11"/>
        <v>0</v>
      </c>
      <c r="L16" s="532">
        <f t="shared" si="11"/>
        <v>0</v>
      </c>
      <c r="M16" s="532">
        <f t="shared" si="11"/>
        <v>0</v>
      </c>
      <c r="N16" s="532">
        <f t="shared" si="11"/>
        <v>0</v>
      </c>
      <c r="O16" s="532">
        <f t="shared" si="13"/>
        <v>0</v>
      </c>
      <c r="P16" s="532">
        <f t="shared" si="13"/>
        <v>0</v>
      </c>
      <c r="Q16" s="532">
        <f t="shared" ref="Q16" si="15">P16</f>
        <v>0</v>
      </c>
      <c r="R16" s="532">
        <f t="shared" si="5"/>
        <v>0</v>
      </c>
      <c r="S16" s="532">
        <f t="shared" si="5"/>
        <v>0</v>
      </c>
      <c r="T16" s="532">
        <f t="shared" si="5"/>
        <v>0</v>
      </c>
      <c r="U16" s="547">
        <f t="shared" ref="U16" si="16">SUM(I16:T16)</f>
        <v>0</v>
      </c>
    </row>
    <row r="17" spans="1:22" ht="29" customHeight="1">
      <c r="A17" s="646" t="s">
        <v>969</v>
      </c>
      <c r="B17" s="647"/>
      <c r="C17" s="554"/>
      <c r="D17" s="554"/>
      <c r="E17" s="554">
        <v>0</v>
      </c>
      <c r="F17" s="554"/>
      <c r="G17" s="554"/>
      <c r="H17" s="540">
        <f t="shared" si="12"/>
        <v>0</v>
      </c>
      <c r="I17" s="555"/>
      <c r="J17" s="554"/>
      <c r="K17" s="554"/>
      <c r="L17" s="554"/>
      <c r="M17" s="554"/>
      <c r="N17" s="554"/>
      <c r="O17" s="554"/>
      <c r="P17" s="554"/>
      <c r="Q17" s="554"/>
      <c r="R17" s="554"/>
      <c r="S17" s="554"/>
      <c r="T17" s="554"/>
      <c r="U17" s="547">
        <f t="shared" si="7"/>
        <v>0</v>
      </c>
    </row>
    <row r="18" spans="1:22" s="515" customFormat="1">
      <c r="A18" s="648" t="s">
        <v>326</v>
      </c>
      <c r="B18" s="649"/>
      <c r="C18" s="535">
        <f t="shared" ref="C18:T18" si="17">SUM(C5:C17)</f>
        <v>0</v>
      </c>
      <c r="D18" s="535">
        <f t="shared" si="17"/>
        <v>0</v>
      </c>
      <c r="E18" s="535">
        <f t="shared" si="17"/>
        <v>0</v>
      </c>
      <c r="F18" s="535">
        <f t="shared" si="17"/>
        <v>0</v>
      </c>
      <c r="G18" s="535">
        <f t="shared" si="17"/>
        <v>11320.25</v>
      </c>
      <c r="H18" s="541">
        <f>SUM(H5:H17)</f>
        <v>11320.25</v>
      </c>
      <c r="I18" s="548">
        <f t="shared" si="17"/>
        <v>11320.25</v>
      </c>
      <c r="J18" s="535">
        <f t="shared" si="17"/>
        <v>11320.25</v>
      </c>
      <c r="K18" s="535">
        <f t="shared" si="17"/>
        <v>11320.25</v>
      </c>
      <c r="L18" s="535">
        <f t="shared" si="17"/>
        <v>11320.25</v>
      </c>
      <c r="M18" s="535">
        <f t="shared" si="17"/>
        <v>11320.25</v>
      </c>
      <c r="N18" s="535">
        <f t="shared" si="17"/>
        <v>11320.25</v>
      </c>
      <c r="O18" s="535">
        <f t="shared" si="17"/>
        <v>11320.25</v>
      </c>
      <c r="P18" s="535">
        <f t="shared" si="17"/>
        <v>11320.25</v>
      </c>
      <c r="Q18" s="535">
        <f t="shared" si="17"/>
        <v>11320.25</v>
      </c>
      <c r="R18" s="535">
        <f t="shared" si="17"/>
        <v>11320.25</v>
      </c>
      <c r="S18" s="535">
        <f t="shared" si="17"/>
        <v>11320.25</v>
      </c>
      <c r="T18" s="535">
        <f t="shared" si="17"/>
        <v>11320.25</v>
      </c>
      <c r="U18" s="549">
        <f>SUM(U5:U17)</f>
        <v>135843</v>
      </c>
    </row>
    <row r="19" spans="1:22">
      <c r="A19" s="656"/>
      <c r="B19" s="657"/>
      <c r="C19" s="532"/>
      <c r="D19" s="532"/>
      <c r="E19" s="532"/>
      <c r="F19" s="532"/>
      <c r="G19" s="532"/>
      <c r="H19" s="539">
        <f t="shared" si="4"/>
        <v>0</v>
      </c>
      <c r="I19" s="544"/>
      <c r="J19" s="532"/>
      <c r="K19" s="532"/>
      <c r="L19" s="532"/>
      <c r="M19" s="532"/>
      <c r="N19" s="532"/>
      <c r="O19" s="532"/>
      <c r="P19" s="532"/>
      <c r="Q19" s="532"/>
      <c r="R19" s="532"/>
      <c r="S19" s="532"/>
      <c r="T19" s="532"/>
      <c r="U19" s="545">
        <f t="shared" si="7"/>
        <v>0</v>
      </c>
    </row>
    <row r="20" spans="1:22">
      <c r="A20" s="656"/>
      <c r="B20" s="657"/>
      <c r="C20" s="532"/>
      <c r="D20" s="532"/>
      <c r="E20" s="532"/>
      <c r="F20" s="532"/>
      <c r="G20" s="532"/>
      <c r="H20" s="539">
        <f t="shared" si="4"/>
        <v>0</v>
      </c>
      <c r="I20" s="544"/>
      <c r="J20" s="532"/>
      <c r="K20" s="532"/>
      <c r="L20" s="532"/>
      <c r="M20" s="532"/>
      <c r="N20" s="532"/>
      <c r="O20" s="532"/>
      <c r="P20" s="532"/>
      <c r="Q20" s="532"/>
      <c r="R20" s="532"/>
      <c r="S20" s="532"/>
      <c r="T20" s="532"/>
      <c r="U20" s="545">
        <f t="shared" si="7"/>
        <v>0</v>
      </c>
    </row>
    <row r="21" spans="1:22" s="513" customFormat="1" ht="14">
      <c r="A21" s="644" t="s">
        <v>435</v>
      </c>
      <c r="B21" s="645"/>
      <c r="C21" s="533">
        <f>'7.Loen,Uv'!F14/5</f>
        <v>0</v>
      </c>
      <c r="D21" s="533">
        <f t="shared" ref="D21:G33" si="18">C21</f>
        <v>0</v>
      </c>
      <c r="E21" s="533">
        <f t="shared" si="18"/>
        <v>0</v>
      </c>
      <c r="F21" s="533">
        <f t="shared" si="18"/>
        <v>0</v>
      </c>
      <c r="G21" s="533">
        <f t="shared" si="18"/>
        <v>0</v>
      </c>
      <c r="H21" s="540">
        <f t="shared" si="4"/>
        <v>0</v>
      </c>
      <c r="I21" s="546">
        <f>'7.Loen,Uv'!F15/7</f>
        <v>0</v>
      </c>
      <c r="J21" s="533">
        <f t="shared" ref="J21:T33" si="19">I21</f>
        <v>0</v>
      </c>
      <c r="K21" s="533">
        <f t="shared" ref="K21:O22" si="20">I21</f>
        <v>0</v>
      </c>
      <c r="L21" s="533">
        <f t="shared" si="20"/>
        <v>0</v>
      </c>
      <c r="M21" s="533">
        <f t="shared" si="20"/>
        <v>0</v>
      </c>
      <c r="N21" s="533">
        <f t="shared" si="20"/>
        <v>0</v>
      </c>
      <c r="O21" s="533">
        <f t="shared" si="20"/>
        <v>0</v>
      </c>
      <c r="P21" s="533">
        <f>'7.Loen,Uv'!F16/5</f>
        <v>0</v>
      </c>
      <c r="Q21" s="533">
        <f>P21</f>
        <v>0</v>
      </c>
      <c r="R21" s="533">
        <f t="shared" ref="R21:T22" si="21">Q21</f>
        <v>0</v>
      </c>
      <c r="S21" s="533">
        <f t="shared" si="21"/>
        <v>0</v>
      </c>
      <c r="T21" s="533">
        <f>S21</f>
        <v>0</v>
      </c>
      <c r="U21" s="547">
        <f>SUM(I21:T21)</f>
        <v>0</v>
      </c>
      <c r="V21" s="524">
        <f>Budget!F12</f>
        <v>0</v>
      </c>
    </row>
    <row r="22" spans="1:22" s="513" customFormat="1" ht="14">
      <c r="A22" s="644" t="s">
        <v>436</v>
      </c>
      <c r="B22" s="645"/>
      <c r="C22" s="533">
        <f>'8.Loen,SFO'!D34/5</f>
        <v>0</v>
      </c>
      <c r="D22" s="533">
        <f t="shared" si="18"/>
        <v>0</v>
      </c>
      <c r="E22" s="533">
        <f t="shared" si="18"/>
        <v>0</v>
      </c>
      <c r="F22" s="533">
        <f t="shared" si="18"/>
        <v>0</v>
      </c>
      <c r="G22" s="533">
        <f t="shared" si="18"/>
        <v>0</v>
      </c>
      <c r="H22" s="540">
        <f>SUM(B22:G22)</f>
        <v>0</v>
      </c>
      <c r="I22" s="546">
        <f>'8.Loen,SFO'!D35/7</f>
        <v>0</v>
      </c>
      <c r="J22" s="533">
        <f t="shared" si="19"/>
        <v>0</v>
      </c>
      <c r="K22" s="533">
        <f t="shared" si="20"/>
        <v>0</v>
      </c>
      <c r="L22" s="533">
        <f t="shared" si="20"/>
        <v>0</v>
      </c>
      <c r="M22" s="533">
        <f t="shared" si="20"/>
        <v>0</v>
      </c>
      <c r="N22" s="533">
        <f t="shared" si="20"/>
        <v>0</v>
      </c>
      <c r="O22" s="533">
        <f t="shared" si="20"/>
        <v>0</v>
      </c>
      <c r="P22" s="533">
        <f>IF('8.Loen,SFO'!D10&gt;0,'8.Loen,SFO'!D36/5,0)</f>
        <v>0</v>
      </c>
      <c r="Q22" s="533">
        <f>P22</f>
        <v>0</v>
      </c>
      <c r="R22" s="533">
        <f t="shared" si="21"/>
        <v>0</v>
      </c>
      <c r="S22" s="533">
        <f t="shared" si="21"/>
        <v>0</v>
      </c>
      <c r="T22" s="533">
        <f t="shared" si="21"/>
        <v>0</v>
      </c>
      <c r="U22" s="547">
        <f t="shared" si="7"/>
        <v>0</v>
      </c>
      <c r="V22" s="514" t="e">
        <f>Budget!F13</f>
        <v>#DIV/0!</v>
      </c>
    </row>
    <row r="23" spans="1:22" s="513" customFormat="1" ht="14">
      <c r="A23" s="644" t="s">
        <v>437</v>
      </c>
      <c r="B23" s="645"/>
      <c r="C23" s="533">
        <f>IF('20.Adm.loen'!B5&gt;0,'20.Adm.loen'!B5/5,0)</f>
        <v>0</v>
      </c>
      <c r="D23" s="533">
        <f>C23</f>
        <v>0</v>
      </c>
      <c r="E23" s="533">
        <f t="shared" si="18"/>
        <v>0</v>
      </c>
      <c r="F23" s="533">
        <f t="shared" si="18"/>
        <v>0</v>
      </c>
      <c r="G23" s="533">
        <f t="shared" si="18"/>
        <v>0</v>
      </c>
      <c r="H23" s="540">
        <f t="shared" si="4"/>
        <v>0</v>
      </c>
      <c r="I23" s="546">
        <f>IF('20.Adm.loen'!C5&gt;0,'20.Adm.loen'!C5/7,0)</f>
        <v>0</v>
      </c>
      <c r="J23" s="533">
        <f>I23</f>
        <v>0</v>
      </c>
      <c r="K23" s="533">
        <f t="shared" ref="K23:N23" si="22">J23</f>
        <v>0</v>
      </c>
      <c r="L23" s="533">
        <f t="shared" si="22"/>
        <v>0</v>
      </c>
      <c r="M23" s="533">
        <f t="shared" si="22"/>
        <v>0</v>
      </c>
      <c r="N23" s="533">
        <f t="shared" si="22"/>
        <v>0</v>
      </c>
      <c r="O23" s="533">
        <f>N23</f>
        <v>0</v>
      </c>
      <c r="P23" s="533">
        <f>IF('20.Adm.loen'!D5&gt;0,'20.Adm.loen'!D5/5,0)</f>
        <v>0</v>
      </c>
      <c r="Q23" s="533">
        <f t="shared" si="19"/>
        <v>0</v>
      </c>
      <c r="R23" s="533">
        <f t="shared" si="19"/>
        <v>0</v>
      </c>
      <c r="S23" s="533">
        <f t="shared" si="19"/>
        <v>0</v>
      </c>
      <c r="T23" s="533">
        <f t="shared" si="19"/>
        <v>0</v>
      </c>
      <c r="U23" s="547">
        <f t="shared" si="7"/>
        <v>0</v>
      </c>
      <c r="V23" s="524">
        <f>Budget!F25</f>
        <v>0</v>
      </c>
    </row>
    <row r="24" spans="1:22" s="513" customFormat="1" ht="14">
      <c r="A24" s="644" t="s">
        <v>967</v>
      </c>
      <c r="B24" s="645"/>
      <c r="C24" s="533">
        <f>IF('12.Ejd.loen'!B6&gt;0,'12.Ejd.loen'!B6/5,0)</f>
        <v>0</v>
      </c>
      <c r="D24" s="533">
        <f t="shared" si="18"/>
        <v>0</v>
      </c>
      <c r="E24" s="533">
        <f t="shared" si="18"/>
        <v>0</v>
      </c>
      <c r="F24" s="533">
        <f t="shared" si="18"/>
        <v>0</v>
      </c>
      <c r="G24" s="533">
        <f t="shared" si="18"/>
        <v>0</v>
      </c>
      <c r="H24" s="540">
        <f t="shared" si="4"/>
        <v>0</v>
      </c>
      <c r="I24" s="546">
        <f>IF('13.Lokaleleje'!C5&gt;0,'12.Ejd.loen'!C6/7,0)</f>
        <v>0</v>
      </c>
      <c r="J24" s="533">
        <f t="shared" si="19"/>
        <v>0</v>
      </c>
      <c r="K24" s="533">
        <f t="shared" si="19"/>
        <v>0</v>
      </c>
      <c r="L24" s="533">
        <f t="shared" si="19"/>
        <v>0</v>
      </c>
      <c r="M24" s="533">
        <f t="shared" si="19"/>
        <v>0</v>
      </c>
      <c r="N24" s="533">
        <f t="shared" si="19"/>
        <v>0</v>
      </c>
      <c r="O24" s="533">
        <f t="shared" si="19"/>
        <v>0</v>
      </c>
      <c r="P24" s="533">
        <f>IF('12.Ejd.loen'!D6&gt;0,'12.Ejd.loen'!D6/5,0)</f>
        <v>0</v>
      </c>
      <c r="Q24" s="533">
        <f>P24</f>
        <v>0</v>
      </c>
      <c r="R24" s="533">
        <f t="shared" si="19"/>
        <v>0</v>
      </c>
      <c r="S24" s="533">
        <f t="shared" si="19"/>
        <v>0</v>
      </c>
      <c r="T24" s="533">
        <f t="shared" si="19"/>
        <v>0</v>
      </c>
      <c r="U24" s="547">
        <f t="shared" si="7"/>
        <v>0</v>
      </c>
      <c r="V24" s="524">
        <f>Budget!F17</f>
        <v>0</v>
      </c>
    </row>
    <row r="25" spans="1:22" s="513" customFormat="1" ht="14">
      <c r="A25" s="644" t="s">
        <v>438</v>
      </c>
      <c r="B25" s="645"/>
      <c r="C25" s="533">
        <f>Budget!C14/5</f>
        <v>0</v>
      </c>
      <c r="D25" s="533">
        <f t="shared" si="18"/>
        <v>0</v>
      </c>
      <c r="E25" s="533">
        <f t="shared" si="18"/>
        <v>0</v>
      </c>
      <c r="F25" s="533">
        <f t="shared" si="18"/>
        <v>0</v>
      </c>
      <c r="G25" s="533">
        <f t="shared" si="18"/>
        <v>0</v>
      </c>
      <c r="H25" s="540">
        <f t="shared" si="4"/>
        <v>0</v>
      </c>
      <c r="I25" s="546">
        <f>Budget!D14/7</f>
        <v>0</v>
      </c>
      <c r="J25" s="533">
        <f t="shared" si="19"/>
        <v>0</v>
      </c>
      <c r="K25" s="533">
        <f t="shared" si="19"/>
        <v>0</v>
      </c>
      <c r="L25" s="533">
        <f t="shared" si="19"/>
        <v>0</v>
      </c>
      <c r="M25" s="533">
        <f t="shared" si="19"/>
        <v>0</v>
      </c>
      <c r="N25" s="533">
        <f t="shared" si="19"/>
        <v>0</v>
      </c>
      <c r="O25" s="533">
        <f t="shared" si="19"/>
        <v>0</v>
      </c>
      <c r="P25" s="533">
        <f>Budget!E14/5</f>
        <v>0</v>
      </c>
      <c r="Q25" s="533">
        <f t="shared" si="19"/>
        <v>0</v>
      </c>
      <c r="R25" s="533">
        <f>Q25</f>
        <v>0</v>
      </c>
      <c r="S25" s="533">
        <f t="shared" si="19"/>
        <v>0</v>
      </c>
      <c r="T25" s="533">
        <f t="shared" si="19"/>
        <v>0</v>
      </c>
      <c r="U25" s="547">
        <f t="shared" si="7"/>
        <v>0</v>
      </c>
      <c r="V25" s="524">
        <f>Budget!F14</f>
        <v>0</v>
      </c>
    </row>
    <row r="26" spans="1:22" s="513" customFormat="1" ht="14">
      <c r="A26" s="644" t="s">
        <v>456</v>
      </c>
      <c r="B26" s="645"/>
      <c r="C26" s="533">
        <f>Budget!C15/5</f>
        <v>0</v>
      </c>
      <c r="D26" s="533">
        <f t="shared" si="18"/>
        <v>0</v>
      </c>
      <c r="E26" s="533">
        <f t="shared" ref="E26" si="23">D26</f>
        <v>0</v>
      </c>
      <c r="F26" s="533">
        <f t="shared" ref="F26" si="24">E26</f>
        <v>0</v>
      </c>
      <c r="G26" s="533">
        <f t="shared" ref="G26" si="25">F26</f>
        <v>0</v>
      </c>
      <c r="H26" s="540">
        <f t="shared" si="4"/>
        <v>0</v>
      </c>
      <c r="I26" s="546">
        <f>Budget!D15/7</f>
        <v>0</v>
      </c>
      <c r="J26" s="533">
        <f t="shared" si="19"/>
        <v>0</v>
      </c>
      <c r="K26" s="533">
        <f t="shared" ref="K26" si="26">J26</f>
        <v>0</v>
      </c>
      <c r="L26" s="533">
        <f t="shared" ref="L26" si="27">K26</f>
        <v>0</v>
      </c>
      <c r="M26" s="533">
        <f t="shared" ref="M26" si="28">L26</f>
        <v>0</v>
      </c>
      <c r="N26" s="533">
        <f t="shared" ref="N26" si="29">M26</f>
        <v>0</v>
      </c>
      <c r="O26" s="533">
        <f t="shared" ref="O26" si="30">N26</f>
        <v>0</v>
      </c>
      <c r="P26" s="533">
        <f>Budget!E15/5</f>
        <v>0</v>
      </c>
      <c r="Q26" s="533">
        <f>P26</f>
        <v>0</v>
      </c>
      <c r="R26" s="533">
        <f>Q26</f>
        <v>0</v>
      </c>
      <c r="S26" s="533">
        <f>R26</f>
        <v>0</v>
      </c>
      <c r="T26" s="533">
        <f>S26</f>
        <v>0</v>
      </c>
      <c r="U26" s="547">
        <f t="shared" si="7"/>
        <v>0</v>
      </c>
      <c r="V26" s="524">
        <f>Budget!F15</f>
        <v>0</v>
      </c>
    </row>
    <row r="27" spans="1:22" s="513" customFormat="1" ht="14">
      <c r="A27" s="644" t="s">
        <v>439</v>
      </c>
      <c r="B27" s="645"/>
      <c r="C27" s="533">
        <f>('14.Ejendom'!C7+'14.Ejendom'!C11+'14.Ejendom'!C20+'14.Ejendom'!C27-'14.Ejendom'!C24)/5</f>
        <v>0</v>
      </c>
      <c r="D27" s="533">
        <f>C27</f>
        <v>0</v>
      </c>
      <c r="E27" s="533">
        <f t="shared" si="18"/>
        <v>0</v>
      </c>
      <c r="F27" s="533">
        <f t="shared" si="18"/>
        <v>0</v>
      </c>
      <c r="G27" s="533">
        <f t="shared" si="18"/>
        <v>0</v>
      </c>
      <c r="H27" s="540">
        <f t="shared" si="4"/>
        <v>0</v>
      </c>
      <c r="I27" s="546">
        <f>('14.Ejendom'!D7+'14.Ejendom'!D11+'14.Ejendom'!D20+'14.Ejendom'!D27-'14.Ejendom'!D24)/12</f>
        <v>0</v>
      </c>
      <c r="J27" s="533">
        <f t="shared" si="19"/>
        <v>0</v>
      </c>
      <c r="K27" s="533">
        <f t="shared" si="19"/>
        <v>0</v>
      </c>
      <c r="L27" s="533">
        <f t="shared" si="19"/>
        <v>0</v>
      </c>
      <c r="M27" s="533">
        <f t="shared" si="19"/>
        <v>0</v>
      </c>
      <c r="N27" s="533">
        <f t="shared" si="19"/>
        <v>0</v>
      </c>
      <c r="O27" s="533">
        <f t="shared" si="19"/>
        <v>0</v>
      </c>
      <c r="P27" s="533">
        <f>O27</f>
        <v>0</v>
      </c>
      <c r="Q27" s="533">
        <f t="shared" si="19"/>
        <v>0</v>
      </c>
      <c r="R27" s="533">
        <f t="shared" si="19"/>
        <v>0</v>
      </c>
      <c r="S27" s="533">
        <f t="shared" si="19"/>
        <v>0</v>
      </c>
      <c r="T27" s="533">
        <f t="shared" si="19"/>
        <v>0</v>
      </c>
      <c r="U27" s="547">
        <f t="shared" si="7"/>
        <v>0</v>
      </c>
      <c r="V27" s="513" t="s">
        <v>31</v>
      </c>
    </row>
    <row r="28" spans="1:22" s="513" customFormat="1" ht="14">
      <c r="A28" s="644" t="s">
        <v>287</v>
      </c>
      <c r="B28" s="645"/>
      <c r="C28" s="533">
        <f>IF('13.Lokaleleje'!B5&gt;0,'13.Lokaleleje'!B5/5,0)</f>
        <v>0</v>
      </c>
      <c r="D28" s="533">
        <f t="shared" si="18"/>
        <v>0</v>
      </c>
      <c r="E28" s="533">
        <f t="shared" si="18"/>
        <v>0</v>
      </c>
      <c r="F28" s="533">
        <f t="shared" si="18"/>
        <v>0</v>
      </c>
      <c r="G28" s="533">
        <f t="shared" si="18"/>
        <v>0</v>
      </c>
      <c r="H28" s="540">
        <f t="shared" si="4"/>
        <v>0</v>
      </c>
      <c r="I28" s="546">
        <f>IF('13.Lokaleleje'!C5&gt;0,'13.Lokaleleje'!C5/7,0)</f>
        <v>0</v>
      </c>
      <c r="J28" s="533">
        <f t="shared" si="19"/>
        <v>0</v>
      </c>
      <c r="K28" s="533">
        <f t="shared" si="19"/>
        <v>0</v>
      </c>
      <c r="L28" s="533">
        <f t="shared" si="19"/>
        <v>0</v>
      </c>
      <c r="M28" s="533">
        <f t="shared" si="19"/>
        <v>0</v>
      </c>
      <c r="N28" s="533">
        <f t="shared" si="19"/>
        <v>0</v>
      </c>
      <c r="O28" s="533">
        <f t="shared" si="19"/>
        <v>0</v>
      </c>
      <c r="P28" s="533">
        <f>IF('13.Lokaleleje'!D5&gt;0,'13.Lokaleleje'!D5/5,0)</f>
        <v>0</v>
      </c>
      <c r="Q28" s="533">
        <f>P28</f>
        <v>0</v>
      </c>
      <c r="R28" s="533">
        <f t="shared" si="19"/>
        <v>0</v>
      </c>
      <c r="S28" s="533">
        <f t="shared" si="19"/>
        <v>0</v>
      </c>
      <c r="T28" s="533">
        <f t="shared" si="19"/>
        <v>0</v>
      </c>
      <c r="U28" s="547">
        <f t="shared" si="7"/>
        <v>0</v>
      </c>
      <c r="V28" s="513" t="s">
        <v>31</v>
      </c>
    </row>
    <row r="29" spans="1:22" s="513" customFormat="1" ht="14">
      <c r="A29" s="644" t="s">
        <v>440</v>
      </c>
      <c r="B29" s="645"/>
      <c r="C29" s="533">
        <f>Budget!C26/5</f>
        <v>0</v>
      </c>
      <c r="D29" s="533">
        <f t="shared" si="18"/>
        <v>0</v>
      </c>
      <c r="E29" s="533">
        <f t="shared" si="18"/>
        <v>0</v>
      </c>
      <c r="F29" s="533">
        <f t="shared" si="18"/>
        <v>0</v>
      </c>
      <c r="G29" s="533">
        <f t="shared" si="18"/>
        <v>0</v>
      </c>
      <c r="H29" s="540">
        <f t="shared" ref="H29:H35" si="31">SUM(B29:G29)</f>
        <v>0</v>
      </c>
      <c r="I29" s="546">
        <f>Budget!F26/12</f>
        <v>0</v>
      </c>
      <c r="J29" s="533">
        <f t="shared" si="19"/>
        <v>0</v>
      </c>
      <c r="K29" s="533">
        <f t="shared" si="19"/>
        <v>0</v>
      </c>
      <c r="L29" s="533">
        <f t="shared" si="19"/>
        <v>0</v>
      </c>
      <c r="M29" s="533">
        <f t="shared" si="19"/>
        <v>0</v>
      </c>
      <c r="N29" s="533">
        <f t="shared" si="19"/>
        <v>0</v>
      </c>
      <c r="O29" s="533">
        <f t="shared" si="19"/>
        <v>0</v>
      </c>
      <c r="P29" s="533">
        <f t="shared" si="19"/>
        <v>0</v>
      </c>
      <c r="Q29" s="533">
        <f>P29</f>
        <v>0</v>
      </c>
      <c r="R29" s="533">
        <f t="shared" si="19"/>
        <v>0</v>
      </c>
      <c r="S29" s="533">
        <f t="shared" si="19"/>
        <v>0</v>
      </c>
      <c r="T29" s="533">
        <f t="shared" si="19"/>
        <v>0</v>
      </c>
      <c r="U29" s="547">
        <f t="shared" si="7"/>
        <v>0</v>
      </c>
      <c r="V29" s="513" t="s">
        <v>31</v>
      </c>
    </row>
    <row r="30" spans="1:22" s="513" customFormat="1" ht="14">
      <c r="A30" s="644" t="s">
        <v>971</v>
      </c>
      <c r="B30" s="645"/>
      <c r="C30" s="533">
        <f>IF(Budget!C24&gt;0,Budget!C24/5,0)</f>
        <v>0</v>
      </c>
      <c r="D30" s="533">
        <f>C30</f>
        <v>0</v>
      </c>
      <c r="E30" s="533">
        <f t="shared" si="18"/>
        <v>0</v>
      </c>
      <c r="F30" s="533">
        <f t="shared" si="18"/>
        <v>0</v>
      </c>
      <c r="G30" s="533">
        <f t="shared" si="18"/>
        <v>0</v>
      </c>
      <c r="H30" s="540">
        <f t="shared" si="31"/>
        <v>0</v>
      </c>
      <c r="I30" s="546">
        <f>IF(Budget!F24&gt;0,Budget!F24/12,0)</f>
        <v>0</v>
      </c>
      <c r="J30" s="533">
        <f>I30</f>
        <v>0</v>
      </c>
      <c r="K30" s="533">
        <f t="shared" si="19"/>
        <v>0</v>
      </c>
      <c r="L30" s="533">
        <f t="shared" si="19"/>
        <v>0</v>
      </c>
      <c r="M30" s="533">
        <f t="shared" si="19"/>
        <v>0</v>
      </c>
      <c r="N30" s="533">
        <f t="shared" si="19"/>
        <v>0</v>
      </c>
      <c r="O30" s="533">
        <f t="shared" si="19"/>
        <v>0</v>
      </c>
      <c r="P30" s="533">
        <f>O30</f>
        <v>0</v>
      </c>
      <c r="Q30" s="533">
        <f t="shared" ref="Q30" si="32">P30</f>
        <v>0</v>
      </c>
      <c r="R30" s="533">
        <f t="shared" ref="R30" si="33">Q30</f>
        <v>0</v>
      </c>
      <c r="S30" s="533">
        <f t="shared" ref="S30" si="34">R30</f>
        <v>0</v>
      </c>
      <c r="T30" s="533">
        <f t="shared" ref="T30" si="35">S30</f>
        <v>0</v>
      </c>
      <c r="U30" s="547">
        <f t="shared" si="7"/>
        <v>0</v>
      </c>
    </row>
    <row r="31" spans="1:22" ht="14">
      <c r="A31" s="644" t="s">
        <v>970</v>
      </c>
      <c r="B31" s="645"/>
      <c r="C31" s="532">
        <f>Budget!C33/5</f>
        <v>0</v>
      </c>
      <c r="D31" s="532">
        <f t="shared" si="18"/>
        <v>0</v>
      </c>
      <c r="E31" s="532">
        <f t="shared" si="18"/>
        <v>0</v>
      </c>
      <c r="F31" s="532">
        <f t="shared" si="18"/>
        <v>0</v>
      </c>
      <c r="G31" s="532">
        <f t="shared" si="18"/>
        <v>0</v>
      </c>
      <c r="H31" s="539">
        <f t="shared" si="31"/>
        <v>0</v>
      </c>
      <c r="I31" s="544">
        <f>Budget!F33/12</f>
        <v>0</v>
      </c>
      <c r="J31" s="532">
        <f t="shared" si="19"/>
        <v>0</v>
      </c>
      <c r="K31" s="532">
        <f t="shared" si="19"/>
        <v>0</v>
      </c>
      <c r="L31" s="532">
        <f t="shared" si="19"/>
        <v>0</v>
      </c>
      <c r="M31" s="532">
        <f t="shared" si="19"/>
        <v>0</v>
      </c>
      <c r="N31" s="532">
        <f t="shared" si="19"/>
        <v>0</v>
      </c>
      <c r="O31" s="532">
        <f t="shared" si="19"/>
        <v>0</v>
      </c>
      <c r="P31" s="532">
        <f t="shared" ref="P31:P33" si="36">O31</f>
        <v>0</v>
      </c>
      <c r="Q31" s="532">
        <f t="shared" ref="Q31:Q33" si="37">P31</f>
        <v>0</v>
      </c>
      <c r="R31" s="532">
        <f t="shared" ref="R31:R33" si="38">Q31</f>
        <v>0</v>
      </c>
      <c r="S31" s="532">
        <f t="shared" si="19"/>
        <v>0</v>
      </c>
      <c r="T31" s="532">
        <f t="shared" si="19"/>
        <v>0</v>
      </c>
      <c r="U31" s="547">
        <f t="shared" si="7"/>
        <v>0</v>
      </c>
    </row>
    <row r="32" spans="1:22" ht="14">
      <c r="A32" s="644" t="s">
        <v>974</v>
      </c>
      <c r="B32" s="645"/>
      <c r="C32" s="532">
        <f>IF(Budget!C36&gt;0,Budget!C36/5,0)</f>
        <v>0</v>
      </c>
      <c r="D32" s="532">
        <f>C32</f>
        <v>0</v>
      </c>
      <c r="E32" s="532">
        <f t="shared" si="18"/>
        <v>0</v>
      </c>
      <c r="F32" s="532">
        <f t="shared" si="18"/>
        <v>0</v>
      </c>
      <c r="G32" s="532">
        <f t="shared" si="18"/>
        <v>0</v>
      </c>
      <c r="H32" s="539">
        <f t="shared" si="31"/>
        <v>0</v>
      </c>
      <c r="I32" s="544">
        <f>IF(Budget!F36&gt;0,Budget!F36/12,0)</f>
        <v>0</v>
      </c>
      <c r="J32" s="532">
        <f>I32</f>
        <v>0</v>
      </c>
      <c r="K32" s="532">
        <f t="shared" si="19"/>
        <v>0</v>
      </c>
      <c r="L32" s="532">
        <f t="shared" si="19"/>
        <v>0</v>
      </c>
      <c r="M32" s="532">
        <f t="shared" si="19"/>
        <v>0</v>
      </c>
      <c r="N32" s="532">
        <f t="shared" si="19"/>
        <v>0</v>
      </c>
      <c r="O32" s="532">
        <f t="shared" si="19"/>
        <v>0</v>
      </c>
      <c r="P32" s="532">
        <f t="shared" si="36"/>
        <v>0</v>
      </c>
      <c r="Q32" s="532">
        <f t="shared" si="37"/>
        <v>0</v>
      </c>
      <c r="R32" s="532">
        <f t="shared" si="38"/>
        <v>0</v>
      </c>
      <c r="S32" s="532">
        <f t="shared" si="19"/>
        <v>0</v>
      </c>
      <c r="T32" s="532">
        <f t="shared" si="19"/>
        <v>0</v>
      </c>
      <c r="U32" s="547">
        <f t="shared" si="7"/>
        <v>0</v>
      </c>
    </row>
    <row r="33" spans="1:21" ht="14">
      <c r="A33" s="644" t="s">
        <v>959</v>
      </c>
      <c r="B33" s="645"/>
      <c r="C33" s="536">
        <f>IF(Budget!C39&gt;0,Budget!C39/5,0)</f>
        <v>0</v>
      </c>
      <c r="D33" s="536">
        <f>C33</f>
        <v>0</v>
      </c>
      <c r="E33" s="536">
        <f t="shared" si="18"/>
        <v>0</v>
      </c>
      <c r="F33" s="536">
        <f t="shared" si="18"/>
        <v>0</v>
      </c>
      <c r="G33" s="536">
        <f t="shared" si="18"/>
        <v>0</v>
      </c>
      <c r="H33" s="539">
        <f t="shared" si="31"/>
        <v>0</v>
      </c>
      <c r="I33" s="544">
        <f>IF(Budget!F39&gt;0,Budget!F39/12,0)</f>
        <v>0</v>
      </c>
      <c r="J33" s="532">
        <f>I33</f>
        <v>0</v>
      </c>
      <c r="K33" s="532">
        <f t="shared" si="19"/>
        <v>0</v>
      </c>
      <c r="L33" s="532">
        <f t="shared" si="19"/>
        <v>0</v>
      </c>
      <c r="M33" s="532">
        <f t="shared" si="19"/>
        <v>0</v>
      </c>
      <c r="N33" s="532">
        <f t="shared" si="19"/>
        <v>0</v>
      </c>
      <c r="O33" s="532">
        <f t="shared" si="19"/>
        <v>0</v>
      </c>
      <c r="P33" s="532">
        <f t="shared" si="36"/>
        <v>0</v>
      </c>
      <c r="Q33" s="532">
        <f t="shared" si="37"/>
        <v>0</v>
      </c>
      <c r="R33" s="532">
        <f t="shared" si="38"/>
        <v>0</v>
      </c>
      <c r="S33" s="532">
        <f t="shared" si="19"/>
        <v>0</v>
      </c>
      <c r="T33" s="532">
        <f t="shared" si="19"/>
        <v>0</v>
      </c>
      <c r="U33" s="547">
        <f t="shared" si="7"/>
        <v>0</v>
      </c>
    </row>
    <row r="34" spans="1:21" ht="27" customHeight="1">
      <c r="A34" s="646" t="s">
        <v>972</v>
      </c>
      <c r="B34" s="647"/>
      <c r="C34" s="554"/>
      <c r="D34" s="554"/>
      <c r="E34" s="554"/>
      <c r="F34" s="554"/>
      <c r="G34" s="554"/>
      <c r="H34" s="539">
        <f t="shared" si="31"/>
        <v>0</v>
      </c>
      <c r="I34" s="555"/>
      <c r="J34" s="554"/>
      <c r="K34" s="554"/>
      <c r="L34" s="554"/>
      <c r="M34" s="554"/>
      <c r="N34" s="554"/>
      <c r="O34" s="554"/>
      <c r="P34" s="554"/>
      <c r="Q34" s="554"/>
      <c r="R34" s="554"/>
      <c r="S34" s="554"/>
      <c r="T34" s="554"/>
      <c r="U34" s="547">
        <f t="shared" si="7"/>
        <v>0</v>
      </c>
    </row>
    <row r="35" spans="1:21" ht="14" customHeight="1">
      <c r="A35" s="646" t="s">
        <v>975</v>
      </c>
      <c r="B35" s="647"/>
      <c r="C35" s="554"/>
      <c r="D35" s="554"/>
      <c r="E35" s="554"/>
      <c r="F35" s="554"/>
      <c r="G35" s="554"/>
      <c r="H35" s="539">
        <f t="shared" si="31"/>
        <v>0</v>
      </c>
      <c r="I35" s="555"/>
      <c r="J35" s="554"/>
      <c r="K35" s="554"/>
      <c r="L35" s="554"/>
      <c r="M35" s="554"/>
      <c r="N35" s="554"/>
      <c r="O35" s="554"/>
      <c r="P35" s="554"/>
      <c r="Q35" s="554"/>
      <c r="R35" s="554"/>
      <c r="S35" s="554"/>
      <c r="T35" s="554"/>
      <c r="U35" s="547">
        <f t="shared" si="7"/>
        <v>0</v>
      </c>
    </row>
    <row r="36" spans="1:21" s="516" customFormat="1">
      <c r="A36" s="654" t="s">
        <v>387</v>
      </c>
      <c r="B36" s="655"/>
      <c r="C36" s="537">
        <f>SUM(C20:C35)</f>
        <v>0</v>
      </c>
      <c r="D36" s="537">
        <f>SUM(D20:D35)</f>
        <v>0</v>
      </c>
      <c r="E36" s="537">
        <f>SUM(E20:E35)</f>
        <v>0</v>
      </c>
      <c r="F36" s="537">
        <f t="shared" ref="F36:G36" si="39">SUM(F20:F35)</f>
        <v>0</v>
      </c>
      <c r="G36" s="537">
        <f t="shared" si="39"/>
        <v>0</v>
      </c>
      <c r="H36" s="542">
        <f>SUM(H20:H34)</f>
        <v>0</v>
      </c>
      <c r="I36" s="550">
        <f>SUM(I20:I35)</f>
        <v>0</v>
      </c>
      <c r="J36" s="537">
        <f t="shared" ref="J36:S36" si="40">SUM(J20:J35)</f>
        <v>0</v>
      </c>
      <c r="K36" s="537">
        <f t="shared" si="40"/>
        <v>0</v>
      </c>
      <c r="L36" s="537">
        <f t="shared" si="40"/>
        <v>0</v>
      </c>
      <c r="M36" s="537">
        <f t="shared" si="40"/>
        <v>0</v>
      </c>
      <c r="N36" s="537">
        <f t="shared" si="40"/>
        <v>0</v>
      </c>
      <c r="O36" s="537">
        <f t="shared" si="40"/>
        <v>0</v>
      </c>
      <c r="P36" s="537">
        <f t="shared" si="40"/>
        <v>0</v>
      </c>
      <c r="Q36" s="537">
        <f t="shared" si="40"/>
        <v>0</v>
      </c>
      <c r="R36" s="537">
        <f t="shared" si="40"/>
        <v>0</v>
      </c>
      <c r="S36" s="537">
        <f t="shared" si="40"/>
        <v>0</v>
      </c>
      <c r="T36" s="537">
        <f>SUM(T20:T35)</f>
        <v>0</v>
      </c>
      <c r="U36" s="551">
        <f>SUM(U20:U34)</f>
        <v>0</v>
      </c>
    </row>
    <row r="37" spans="1:21">
      <c r="A37" s="663"/>
      <c r="B37" s="664"/>
      <c r="C37" s="532"/>
      <c r="D37" s="532"/>
      <c r="E37" s="532"/>
      <c r="F37" s="532"/>
      <c r="G37" s="532"/>
      <c r="H37" s="539">
        <f t="shared" si="4"/>
        <v>0</v>
      </c>
      <c r="I37" s="544"/>
      <c r="J37" s="532"/>
      <c r="K37" s="532"/>
      <c r="L37" s="532"/>
      <c r="M37" s="532"/>
      <c r="N37" s="532"/>
      <c r="O37" s="532"/>
      <c r="P37" s="532"/>
      <c r="Q37" s="532"/>
      <c r="R37" s="532"/>
      <c r="S37" s="532"/>
      <c r="T37" s="532"/>
      <c r="U37" s="545">
        <f t="shared" si="7"/>
        <v>0</v>
      </c>
    </row>
    <row r="38" spans="1:21" s="517" customFormat="1" ht="14" thickBot="1">
      <c r="A38" s="652" t="s">
        <v>447</v>
      </c>
      <c r="B38" s="653"/>
      <c r="C38" s="538">
        <f t="shared" ref="C38:T38" si="41">C3+C18-C36</f>
        <v>0</v>
      </c>
      <c r="D38" s="538">
        <f t="shared" si="41"/>
        <v>0</v>
      </c>
      <c r="E38" s="538">
        <f t="shared" si="41"/>
        <v>0</v>
      </c>
      <c r="F38" s="538">
        <f t="shared" si="41"/>
        <v>0</v>
      </c>
      <c r="G38" s="538">
        <f t="shared" si="41"/>
        <v>11320.25</v>
      </c>
      <c r="H38" s="543">
        <f t="shared" si="41"/>
        <v>11320.25</v>
      </c>
      <c r="I38" s="552">
        <f t="shared" si="41"/>
        <v>22640.5</v>
      </c>
      <c r="J38" s="538">
        <f t="shared" si="41"/>
        <v>33960.75</v>
      </c>
      <c r="K38" s="538">
        <f t="shared" si="41"/>
        <v>45281</v>
      </c>
      <c r="L38" s="538">
        <f t="shared" si="41"/>
        <v>56601.25</v>
      </c>
      <c r="M38" s="538">
        <f t="shared" si="41"/>
        <v>67921.5</v>
      </c>
      <c r="N38" s="538">
        <f t="shared" si="41"/>
        <v>79241.75</v>
      </c>
      <c r="O38" s="538">
        <f t="shared" si="41"/>
        <v>90562</v>
      </c>
      <c r="P38" s="538">
        <f t="shared" si="41"/>
        <v>101882.25</v>
      </c>
      <c r="Q38" s="538">
        <f t="shared" si="41"/>
        <v>113202.5</v>
      </c>
      <c r="R38" s="538">
        <f t="shared" si="41"/>
        <v>124522.75</v>
      </c>
      <c r="S38" s="538">
        <f t="shared" si="41"/>
        <v>135843</v>
      </c>
      <c r="T38" s="538">
        <f t="shared" si="41"/>
        <v>147163.25</v>
      </c>
      <c r="U38" s="553">
        <f>U18-U36</f>
        <v>135843</v>
      </c>
    </row>
    <row r="39" spans="1:21" s="517" customFormat="1" hidden="1">
      <c r="B39" s="518"/>
      <c r="C39" s="518"/>
      <c r="D39" s="518"/>
      <c r="E39" s="518"/>
      <c r="F39" s="518"/>
      <c r="G39" s="518"/>
      <c r="H39" s="562"/>
      <c r="I39" s="518"/>
      <c r="J39" s="518"/>
      <c r="K39" s="518"/>
      <c r="L39" s="518"/>
      <c r="M39" s="518"/>
      <c r="N39" s="518"/>
      <c r="O39" s="518"/>
      <c r="P39" s="518"/>
      <c r="Q39" s="518"/>
      <c r="R39" s="518"/>
      <c r="S39" s="518"/>
      <c r="T39" s="518"/>
      <c r="U39" s="518"/>
    </row>
    <row r="40" spans="1:21" s="517" customFormat="1" hidden="1">
      <c r="B40" s="518"/>
      <c r="C40" s="518"/>
      <c r="D40" s="518"/>
      <c r="E40" s="518"/>
      <c r="F40" s="518"/>
      <c r="G40" s="518"/>
      <c r="H40" s="519"/>
      <c r="I40" s="518"/>
      <c r="J40" s="518"/>
      <c r="K40" s="518"/>
      <c r="L40" s="518"/>
      <c r="M40" s="518"/>
      <c r="N40" s="518"/>
      <c r="O40" s="518"/>
      <c r="P40" s="518"/>
      <c r="Q40" s="518"/>
      <c r="R40" s="518"/>
      <c r="S40" s="518"/>
      <c r="T40" s="518"/>
      <c r="U40" s="518"/>
    </row>
    <row r="41" spans="1:21" hidden="1">
      <c r="B41" s="512">
        <v>2024</v>
      </c>
      <c r="C41" s="512"/>
      <c r="D41" s="512">
        <v>2025</v>
      </c>
      <c r="E41" s="512"/>
      <c r="F41" s="512"/>
      <c r="G41" s="512"/>
      <c r="H41" s="512"/>
      <c r="I41" s="512"/>
      <c r="J41" s="512"/>
      <c r="K41" s="512"/>
      <c r="L41" s="512"/>
      <c r="M41" s="512"/>
      <c r="N41" s="512"/>
      <c r="O41" s="512"/>
      <c r="P41" s="512"/>
      <c r="Q41" s="512"/>
      <c r="R41" s="512"/>
      <c r="S41" s="512"/>
      <c r="T41" s="512"/>
      <c r="U41" s="512">
        <f t="shared" si="7"/>
        <v>0</v>
      </c>
    </row>
    <row r="42" spans="1:21" hidden="1">
      <c r="B42" s="512"/>
      <c r="C42" s="512"/>
      <c r="D42" s="512"/>
      <c r="E42" s="512"/>
      <c r="F42" s="512"/>
      <c r="G42" s="512"/>
      <c r="H42" s="512"/>
      <c r="I42" s="512"/>
      <c r="J42" s="512"/>
      <c r="K42" s="512"/>
      <c r="L42" s="512"/>
      <c r="M42" s="512"/>
      <c r="N42" s="512"/>
      <c r="O42" s="512"/>
      <c r="P42" s="512"/>
      <c r="Q42" s="512"/>
      <c r="R42" s="512"/>
      <c r="S42" s="512"/>
      <c r="T42" s="512"/>
      <c r="U42" s="512">
        <f t="shared" si="7"/>
        <v>0</v>
      </c>
    </row>
    <row r="43" spans="1:21" hidden="1">
      <c r="A43" s="511" t="s">
        <v>457</v>
      </c>
      <c r="C43" s="512">
        <f>Budget!C41</f>
        <v>0</v>
      </c>
      <c r="D43" s="520">
        <f>H38</f>
        <v>11320.25</v>
      </c>
      <c r="H43" s="521"/>
      <c r="I43" s="511" t="s">
        <v>457</v>
      </c>
      <c r="K43" s="512" t="e">
        <f>Budget!F41</f>
        <v>#DIV/0!</v>
      </c>
      <c r="U43" s="512"/>
    </row>
    <row r="44" spans="1:21" hidden="1">
      <c r="A44" s="511" t="s">
        <v>458</v>
      </c>
      <c r="C44" s="512"/>
      <c r="H44" s="522"/>
      <c r="I44" s="511" t="s">
        <v>458</v>
      </c>
      <c r="K44" s="512"/>
      <c r="U44" s="512"/>
    </row>
    <row r="45" spans="1:21" hidden="1">
      <c r="A45" s="511" t="str">
        <f>A5</f>
        <v>Statstilskud</v>
      </c>
      <c r="C45" s="512">
        <f>G5</f>
        <v>0</v>
      </c>
      <c r="D45" s="521">
        <f>C45*-1</f>
        <v>0</v>
      </c>
      <c r="I45" s="511" t="str">
        <f>A5</f>
        <v>Statstilskud</v>
      </c>
      <c r="K45" s="512">
        <f>T5</f>
        <v>0</v>
      </c>
      <c r="U45" s="512"/>
    </row>
    <row r="46" spans="1:21" hidden="1">
      <c r="A46" s="511" t="str">
        <f>A7</f>
        <v>SFO tilskud</v>
      </c>
      <c r="C46" s="512">
        <f>G7</f>
        <v>0</v>
      </c>
      <c r="D46" s="521">
        <f t="shared" ref="D46:D50" si="42">C46*-1</f>
        <v>0</v>
      </c>
      <c r="H46" s="521"/>
      <c r="I46" s="511" t="str">
        <f>A7</f>
        <v>SFO tilskud</v>
      </c>
      <c r="K46" s="512">
        <f>T7</f>
        <v>0</v>
      </c>
      <c r="U46" s="512"/>
    </row>
    <row r="47" spans="1:21" hidden="1">
      <c r="A47" s="511" t="str">
        <f>A9</f>
        <v>Bygningstilskud</v>
      </c>
      <c r="C47" s="512">
        <f>G9</f>
        <v>0</v>
      </c>
      <c r="D47" s="521">
        <f t="shared" si="42"/>
        <v>0</v>
      </c>
      <c r="I47" s="511" t="str">
        <f>A9</f>
        <v>Bygningstilskud</v>
      </c>
      <c r="K47" s="512"/>
      <c r="U47" s="512"/>
    </row>
    <row r="48" spans="1:21" hidden="1">
      <c r="A48" s="511" t="str">
        <f>A10</f>
        <v>Inklustionstilskud</v>
      </c>
      <c r="C48" s="512">
        <f>G10</f>
        <v>11320.25</v>
      </c>
      <c r="D48" s="521">
        <f t="shared" si="42"/>
        <v>-11320.25</v>
      </c>
      <c r="I48" s="511" t="str">
        <f>A10</f>
        <v>Inklustionstilskud</v>
      </c>
      <c r="K48" s="512"/>
      <c r="U48" s="512"/>
    </row>
    <row r="49" spans="1:21" hidden="1">
      <c r="A49" s="511" t="s">
        <v>968</v>
      </c>
      <c r="C49" s="512">
        <f>G11</f>
        <v>0</v>
      </c>
      <c r="D49" s="521">
        <f t="shared" si="42"/>
        <v>0</v>
      </c>
      <c r="I49" s="511" t="s">
        <v>968</v>
      </c>
      <c r="K49" s="512"/>
      <c r="U49" s="512"/>
    </row>
    <row r="50" spans="1:21" hidden="1">
      <c r="A50" s="511" t="s">
        <v>433</v>
      </c>
      <c r="C50" s="512"/>
      <c r="D50" s="521">
        <f t="shared" si="42"/>
        <v>0</v>
      </c>
      <c r="I50" s="511" t="s">
        <v>433</v>
      </c>
      <c r="K50" s="512"/>
      <c r="U50" s="512"/>
    </row>
    <row r="51" spans="1:21" hidden="1">
      <c r="A51" s="511" t="s">
        <v>459</v>
      </c>
      <c r="C51" s="512">
        <f>'7.Loen,Uv'!H14</f>
        <v>0</v>
      </c>
      <c r="D51" s="520">
        <f>C51</f>
        <v>0</v>
      </c>
      <c r="I51" s="511" t="s">
        <v>459</v>
      </c>
      <c r="K51" s="512">
        <f>'7.Loen,Uv'!H16-'7.Loen,Uv'!H14</f>
        <v>0</v>
      </c>
      <c r="U51" s="512"/>
    </row>
    <row r="52" spans="1:21" hidden="1">
      <c r="A52" s="511" t="s">
        <v>460</v>
      </c>
      <c r="C52" s="512">
        <f>'8.Loen,SFO'!F34</f>
        <v>0</v>
      </c>
      <c r="D52" s="520">
        <f>C52</f>
        <v>0</v>
      </c>
      <c r="I52" s="511" t="s">
        <v>460</v>
      </c>
      <c r="K52" s="512" t="e">
        <f>'8.Loen,SFO'!F36-'8.Loen,SFO'!F34</f>
        <v>#DIV/0!</v>
      </c>
      <c r="U52" s="512"/>
    </row>
    <row r="53" spans="1:21" ht="14" hidden="1" thickBot="1">
      <c r="A53" s="523" t="s">
        <v>1000</v>
      </c>
      <c r="B53" s="523"/>
      <c r="C53" s="576">
        <f>SUM(C43:C52)</f>
        <v>11320.25</v>
      </c>
      <c r="D53" s="520">
        <f>SUM(D43:D52)</f>
        <v>0</v>
      </c>
      <c r="I53" s="577" t="s">
        <v>999</v>
      </c>
      <c r="J53" s="577"/>
      <c r="K53" s="576" t="e">
        <f>SUM(K43:K52)</f>
        <v>#DIV/0!</v>
      </c>
      <c r="U53" s="512"/>
    </row>
    <row r="54" spans="1:21" hidden="1">
      <c r="U54" s="512"/>
    </row>
    <row r="55" spans="1:21" hidden="1">
      <c r="C55" s="521">
        <f>H38-C53</f>
        <v>0</v>
      </c>
      <c r="U55" s="512">
        <f t="shared" si="7"/>
        <v>0</v>
      </c>
    </row>
    <row r="56" spans="1:21" hidden="1">
      <c r="K56" s="521" t="e">
        <f>K53-U38</f>
        <v>#DIV/0!</v>
      </c>
      <c r="U56" s="512" t="e">
        <f t="shared" si="7"/>
        <v>#DIV/0!</v>
      </c>
    </row>
    <row r="57" spans="1:21" hidden="1">
      <c r="A57" s="530" t="s">
        <v>976</v>
      </c>
      <c r="B57" s="531">
        <f>Budget!C41</f>
        <v>0</v>
      </c>
      <c r="C57" s="530" t="s">
        <v>976</v>
      </c>
      <c r="D57" s="531" t="e">
        <f>Budget!F41</f>
        <v>#DIV/0!</v>
      </c>
      <c r="U57" s="512">
        <f t="shared" si="7"/>
        <v>0</v>
      </c>
    </row>
    <row r="58" spans="1:21" hidden="1">
      <c r="A58" s="511" t="s">
        <v>415</v>
      </c>
      <c r="B58" s="522">
        <f>'7.Loen,Uv'!H14+'8.Loen,SFO'!F34</f>
        <v>0</v>
      </c>
      <c r="C58" s="511" t="s">
        <v>979</v>
      </c>
      <c r="D58" s="522" t="e">
        <f>'7.Loen,Uv'!H16-'7.Loen,Uv'!H14+'8.Loen,SFO'!F36-'8.Loen,SFO'!F34</f>
        <v>#DIV/0!</v>
      </c>
      <c r="U58" s="512">
        <f t="shared" si="7"/>
        <v>0</v>
      </c>
    </row>
    <row r="59" spans="1:21" hidden="1">
      <c r="A59" s="511" t="s">
        <v>938</v>
      </c>
      <c r="B59" s="522">
        <f>'14.Ejendom'!C24</f>
        <v>0</v>
      </c>
      <c r="U59" s="512">
        <f t="shared" si="7"/>
        <v>0</v>
      </c>
    </row>
    <row r="60" spans="1:21" hidden="1">
      <c r="A60" s="511" t="s">
        <v>446</v>
      </c>
      <c r="B60" s="520"/>
      <c r="U60" s="512">
        <f t="shared" si="7"/>
        <v>0</v>
      </c>
    </row>
    <row r="61" spans="1:21" hidden="1">
      <c r="A61" s="527" t="s">
        <v>980</v>
      </c>
      <c r="B61" s="528">
        <f>I5</f>
        <v>0</v>
      </c>
      <c r="C61" s="527"/>
      <c r="D61" s="528">
        <f>T5</f>
        <v>0</v>
      </c>
      <c r="U61" s="512">
        <f t="shared" si="7"/>
        <v>0</v>
      </c>
    </row>
    <row r="62" spans="1:21" hidden="1">
      <c r="A62" s="527" t="s">
        <v>980</v>
      </c>
      <c r="B62" s="529">
        <f>G7+G9+G10+G11</f>
        <v>11320.25</v>
      </c>
      <c r="C62" s="511" t="s">
        <v>982</v>
      </c>
      <c r="D62" s="528">
        <f>T7</f>
        <v>0</v>
      </c>
    </row>
    <row r="63" spans="1:21" hidden="1">
      <c r="A63" s="511" t="s">
        <v>981</v>
      </c>
      <c r="B63" s="525">
        <f>SUM(B57:B62)</f>
        <v>11320.25</v>
      </c>
      <c r="C63" s="526">
        <f>G38-C3</f>
        <v>11320.25</v>
      </c>
      <c r="D63" s="525" t="e">
        <f>D57+D58+D61+D62</f>
        <v>#DIV/0!</v>
      </c>
      <c r="E63" s="526">
        <f>U38</f>
        <v>135843</v>
      </c>
      <c r="F63" s="521" t="e">
        <f>D63-E63</f>
        <v>#DIV/0!</v>
      </c>
    </row>
  </sheetData>
  <sheetProtection sheet="1" objects="1" scenarios="1"/>
  <mergeCells count="38">
    <mergeCell ref="A30:B30"/>
    <mergeCell ref="A19:B20"/>
    <mergeCell ref="I1:U1"/>
    <mergeCell ref="A2:B2"/>
    <mergeCell ref="A37:B37"/>
    <mergeCell ref="A1:H1"/>
    <mergeCell ref="A25:B25"/>
    <mergeCell ref="A26:B26"/>
    <mergeCell ref="A27:B27"/>
    <mergeCell ref="A28:B28"/>
    <mergeCell ref="A29:B29"/>
    <mergeCell ref="A3:B3"/>
    <mergeCell ref="A8:B8"/>
    <mergeCell ref="A9:B9"/>
    <mergeCell ref="A10:B10"/>
    <mergeCell ref="A11:B11"/>
    <mergeCell ref="A38:B38"/>
    <mergeCell ref="A31:B31"/>
    <mergeCell ref="A32:B32"/>
    <mergeCell ref="A33:B33"/>
    <mergeCell ref="A35:B35"/>
    <mergeCell ref="A36:B36"/>
    <mergeCell ref="A34:B34"/>
    <mergeCell ref="A5:B5"/>
    <mergeCell ref="A6:B6"/>
    <mergeCell ref="A7:B7"/>
    <mergeCell ref="A4:B4"/>
    <mergeCell ref="A13:B13"/>
    <mergeCell ref="A14:B14"/>
    <mergeCell ref="A15:B15"/>
    <mergeCell ref="A16:B16"/>
    <mergeCell ref="A24:B24"/>
    <mergeCell ref="A12:B12"/>
    <mergeCell ref="A17:B17"/>
    <mergeCell ref="A18:B18"/>
    <mergeCell ref="A21:B21"/>
    <mergeCell ref="A22:B22"/>
    <mergeCell ref="A23:B23"/>
  </mergeCells>
  <conditionalFormatting sqref="C38:T40">
    <cfRule type="cellIs" dxfId="1"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A1:F42"/>
  <sheetViews>
    <sheetView tabSelected="1" zoomScale="125" zoomScaleNormal="150" zoomScalePageLayoutView="150" workbookViewId="0"/>
  </sheetViews>
  <sheetFormatPr baseColWidth="10" defaultColWidth="10.83203125" defaultRowHeight="13"/>
  <cols>
    <col min="1" max="1" width="5.33203125" customWidth="1"/>
    <col min="2" max="2" width="45.1640625" customWidth="1"/>
    <col min="3" max="6" width="15" customWidth="1"/>
  </cols>
  <sheetData>
    <row r="1" spans="1:6">
      <c r="A1" t="s">
        <v>269</v>
      </c>
    </row>
    <row r="2" spans="1:6">
      <c r="A2" t="s">
        <v>267</v>
      </c>
    </row>
    <row r="3" spans="1:6" ht="14" thickBot="1"/>
    <row r="4" spans="1:6">
      <c r="A4" s="462"/>
      <c r="B4" s="463"/>
      <c r="C4" s="469">
        <f>aarstal</f>
        <v>2026</v>
      </c>
      <c r="D4" s="470">
        <f>C4+1</f>
        <v>2027</v>
      </c>
      <c r="E4" s="471">
        <f>C4+1</f>
        <v>2027</v>
      </c>
      <c r="F4" s="469">
        <f>D4</f>
        <v>2027</v>
      </c>
    </row>
    <row r="5" spans="1:6" ht="14" thickBot="1">
      <c r="A5" s="464" t="s">
        <v>19</v>
      </c>
      <c r="B5" s="4"/>
      <c r="C5" s="472" t="s">
        <v>239</v>
      </c>
      <c r="D5" s="473" t="s">
        <v>943</v>
      </c>
      <c r="E5" s="474" t="s">
        <v>239</v>
      </c>
      <c r="F5" s="472" t="s">
        <v>944</v>
      </c>
    </row>
    <row r="6" spans="1:6">
      <c r="A6" s="465">
        <v>1</v>
      </c>
      <c r="B6" s="6" t="s">
        <v>18</v>
      </c>
      <c r="C6" s="496">
        <f>IF('1.Driftstilskud'!B9&gt;0,'1.Driftstilskud'!B9,0)</f>
        <v>0</v>
      </c>
      <c r="D6" s="457">
        <f>IF('1.Driftstilskud'!C29&lt;&gt;0,'1.Driftstilskud'!C29,0)</f>
        <v>0</v>
      </c>
      <c r="E6" s="458">
        <f>IF('1.Driftstilskud'!C47&lt;&gt;0,'1.Driftstilskud'!C47,0)</f>
        <v>0</v>
      </c>
      <c r="F6" s="496">
        <f>D6+E6</f>
        <v>0</v>
      </c>
    </row>
    <row r="7" spans="1:6">
      <c r="A7" s="465">
        <v>2</v>
      </c>
      <c r="B7" s="6" t="s">
        <v>17</v>
      </c>
      <c r="C7" s="497">
        <f>IF(('2.Oevrige Statstilskud'!B11+'2.Oevrige Statstilskud'!B38)&lt;&gt;0,'2.Oevrige Statstilskud'!B11+'2.Oevrige Statstilskud'!B38)+'2.Oevrige Statstilskud'!B33</f>
        <v>0</v>
      </c>
      <c r="D7" s="454">
        <f>IF(('2.Oevrige Statstilskud'!B12+'2.Oevrige Statstilskud'!B20+'2.Oevrige Statstilskud'!B39)&lt;&gt;0,('2.Oevrige Statstilskud'!B12+'2.Oevrige Statstilskud'!B20+'2.Oevrige Statstilskud'!B39))+'2.Oevrige Statstilskud'!B34/12*7</f>
        <v>79241.75</v>
      </c>
      <c r="E7" s="455">
        <f>IF(('2.Oevrige Statstilskud'!B13+'2.Oevrige Statstilskud'!B21+'2.Oevrige Statstilskud'!B40)&lt;&gt;0,'2.Oevrige Statstilskud'!B13+'2.Oevrige Statstilskud'!B21+'2.Oevrige Statstilskud'!B40)+'2.Oevrige Statstilskud'!B34/12*5</f>
        <v>56601.25</v>
      </c>
      <c r="F7" s="497">
        <f t="shared" ref="F7:F22" si="0">D7+E7</f>
        <v>135843</v>
      </c>
    </row>
    <row r="8" spans="1:6">
      <c r="A8" s="465">
        <v>3</v>
      </c>
      <c r="B8" s="6" t="s">
        <v>303</v>
      </c>
      <c r="C8" s="497">
        <f>IF('3.Skolepenge'!G8&gt;0,'3.Skolepenge'!G8,0)</f>
        <v>0</v>
      </c>
      <c r="D8" s="454">
        <f>IF('3.Skolepenge'!G16&gt;0,'3.Skolepenge'!G16,0)</f>
        <v>0</v>
      </c>
      <c r="E8" s="455">
        <f>IF('3.Skolepenge'!G24&gt;0,'3.Skolepenge'!G24,0)</f>
        <v>0</v>
      </c>
      <c r="F8" s="497">
        <f t="shared" si="0"/>
        <v>0</v>
      </c>
    </row>
    <row r="9" spans="1:6">
      <c r="A9" s="465">
        <v>4</v>
      </c>
      <c r="B9" s="6" t="s">
        <v>16</v>
      </c>
      <c r="C9" s="497">
        <f>IF('4.Foraeldrebetaling,SFO'!G8&gt;0,'4.Foraeldrebetaling,SFO'!G8,0)</f>
        <v>0</v>
      </c>
      <c r="D9" s="454">
        <f>IF('4.Foraeldrebetaling,SFO'!G15&gt;0,'4.Foraeldrebetaling,SFO'!G15,0)</f>
        <v>0</v>
      </c>
      <c r="E9" s="455">
        <f>IF('4.Foraeldrebetaling,SFO'!G22&gt;0,'4.Foraeldrebetaling,SFO'!G22,0)</f>
        <v>0</v>
      </c>
      <c r="F9" s="497">
        <f t="shared" si="0"/>
        <v>0</v>
      </c>
    </row>
    <row r="10" spans="1:6" ht="14" thickBot="1">
      <c r="A10" s="475">
        <v>5</v>
      </c>
      <c r="B10" s="6" t="s">
        <v>291</v>
      </c>
      <c r="C10" s="498">
        <f>IF('5.Andre_Indt'!C18&gt;0,'5.Andre_Indt'!C18,0)</f>
        <v>0</v>
      </c>
      <c r="D10" s="476">
        <f>IF('5.Andre_Indt'!D18&gt;0,'5.Andre_Indt'!D18/12*7,0)</f>
        <v>0</v>
      </c>
      <c r="E10" s="477">
        <f>IF('5.Andre_Indt'!D18&gt;0,'5.Andre_Indt'!D18/12*5,0)</f>
        <v>0</v>
      </c>
      <c r="F10" s="498">
        <f t="shared" si="0"/>
        <v>0</v>
      </c>
    </row>
    <row r="11" spans="1:6" s="445" customFormat="1" ht="14" thickBot="1">
      <c r="A11" s="478">
        <v>6</v>
      </c>
      <c r="B11" s="479" t="s">
        <v>292</v>
      </c>
      <c r="C11" s="499">
        <f>SUM(C6:C10)</f>
        <v>0</v>
      </c>
      <c r="D11" s="480">
        <f>SUM(D6:D10)</f>
        <v>79241.75</v>
      </c>
      <c r="E11" s="481">
        <f>SUM(E6:E10)</f>
        <v>56601.25</v>
      </c>
      <c r="F11" s="499">
        <f>SUM(F6:F10)</f>
        <v>135843</v>
      </c>
    </row>
    <row r="12" spans="1:6">
      <c r="A12" s="466">
        <v>7</v>
      </c>
      <c r="B12" s="6" t="s">
        <v>293</v>
      </c>
      <c r="C12" s="496">
        <f>IF('7.Loen,Uv'!$F$14&lt;&gt;0,'7.Loen,Uv'!$H$14+'7.Loen,Uv'!F14,0)</f>
        <v>0</v>
      </c>
      <c r="D12" s="456">
        <f>IF('7.Loen,Uv'!$F$15&lt;&gt;0,'7.Loen,Uv'!$F$15,0)</f>
        <v>0</v>
      </c>
      <c r="E12" s="456">
        <f>IF('7.Loen,Uv'!$F$16&lt;&gt;0,'7.Loen,Uv'!$H$16+'7.Loen,Uv'!F16,0)-'7.Loen,Uv'!H14</f>
        <v>0</v>
      </c>
      <c r="F12" s="496">
        <f t="shared" si="0"/>
        <v>0</v>
      </c>
    </row>
    <row r="13" spans="1:6">
      <c r="A13" s="465">
        <v>8</v>
      </c>
      <c r="B13" s="6" t="s">
        <v>15</v>
      </c>
      <c r="C13" s="497">
        <f>IF('8.Loen,SFO'!D34&lt;&gt;0,'8.Loen,SFO'!F34+'8.Loen,SFO'!D34,0)*(Start!A18&lt;&gt;"x")</f>
        <v>0</v>
      </c>
      <c r="D13" s="454">
        <f>IF('8.Loen,SFO'!D35&lt;&gt;0,'8.Loen,SFO'!F35+'8.Loen,SFO'!D35,0)*(Start!A21&lt;&gt;"x")</f>
        <v>0</v>
      </c>
      <c r="E13" s="455" t="e">
        <f>IF('8.Loen,SFO'!D36&gt;0,'8.Loen,SFO'!F36+'8.Loen,SFO'!D36-'8.Loen,SFO'!F34,0)</f>
        <v>#DIV/0!</v>
      </c>
      <c r="F13" s="497" t="e">
        <f t="shared" si="0"/>
        <v>#DIV/0!</v>
      </c>
    </row>
    <row r="14" spans="1:6">
      <c r="A14" s="465">
        <v>9</v>
      </c>
      <c r="B14" s="6" t="s">
        <v>14</v>
      </c>
      <c r="C14" s="497">
        <f>IF('9.Uv.'!C19&gt;0,'9.Uv.'!C19,0)</f>
        <v>0</v>
      </c>
      <c r="D14" s="454">
        <f>IF('9.Uv.'!D19&gt;0,'9.Uv.'!D19/12*7,0)</f>
        <v>0</v>
      </c>
      <c r="E14" s="455">
        <f>IF('9.Uv.'!D19&gt;0,'9.Uv.'!D19/12*5,0)</f>
        <v>0</v>
      </c>
      <c r="F14" s="497">
        <f t="shared" si="0"/>
        <v>0</v>
      </c>
    </row>
    <row r="15" spans="1:6" ht="14" thickBot="1">
      <c r="A15" s="475">
        <v>10</v>
      </c>
      <c r="B15" s="6" t="s">
        <v>984</v>
      </c>
      <c r="C15" s="498">
        <f>IF('10.SFOudg.'!C19&gt;0,'10.SFOudg.'!C19,0)</f>
        <v>0</v>
      </c>
      <c r="D15" s="476">
        <f>IF('10.SFOudg.'!D19&gt;0,'10.SFOudg.'!D19/12*7,0)</f>
        <v>0</v>
      </c>
      <c r="E15" s="477">
        <f>IF('10.SFOudg.'!D19&gt;0,'10.SFOudg.'!D19/12*5,0)</f>
        <v>0</v>
      </c>
      <c r="F15" s="498">
        <f t="shared" si="0"/>
        <v>0</v>
      </c>
    </row>
    <row r="16" spans="1:6" s="445" customFormat="1" ht="14" thickBot="1">
      <c r="A16" s="478">
        <v>11</v>
      </c>
      <c r="B16" s="479" t="s">
        <v>294</v>
      </c>
      <c r="C16" s="499">
        <f>SUM(C12:C15)</f>
        <v>0</v>
      </c>
      <c r="D16" s="480">
        <f>SUM(D12:D15)</f>
        <v>0</v>
      </c>
      <c r="E16" s="481" t="e">
        <f>SUM(E12:E15)</f>
        <v>#DIV/0!</v>
      </c>
      <c r="F16" s="499" t="e">
        <f>SUM(F12:F15)</f>
        <v>#DIV/0!</v>
      </c>
    </row>
    <row r="17" spans="1:6">
      <c r="A17" s="466">
        <v>12</v>
      </c>
      <c r="B17" s="6" t="s">
        <v>231</v>
      </c>
      <c r="C17" s="496">
        <f>IF('12.Ejd.loen'!B6&gt;0,'12.Ejd.loen'!B6,0)</f>
        <v>0</v>
      </c>
      <c r="D17" s="457">
        <f>IF('12.Ejd.loen'!C6&gt;0,'12.Ejd.loen'!C6,0)</f>
        <v>0</v>
      </c>
      <c r="E17" s="458">
        <f>IF('12.Ejd.loen'!D6&gt;0,'12.Ejd.loen'!D6,0)</f>
        <v>0</v>
      </c>
      <c r="F17" s="496">
        <f t="shared" si="0"/>
        <v>0</v>
      </c>
    </row>
    <row r="18" spans="1:6">
      <c r="A18" s="465">
        <v>13</v>
      </c>
      <c r="B18" s="6" t="s">
        <v>295</v>
      </c>
      <c r="C18" s="497">
        <f>IF('13.Lokaleleje'!B5&gt;0,'13.Lokaleleje'!B5,0)</f>
        <v>0</v>
      </c>
      <c r="D18" s="454">
        <f>IF('13.Lokaleleje'!C5&gt;0,'13.Lokaleleje'!C5,0)</f>
        <v>0</v>
      </c>
      <c r="E18" s="455">
        <f>IF('13.Lokaleleje'!D5&gt;0,'13.Lokaleleje'!D5,0)</f>
        <v>0</v>
      </c>
      <c r="F18" s="497">
        <f t="shared" si="0"/>
        <v>0</v>
      </c>
    </row>
    <row r="19" spans="1:6">
      <c r="A19" s="465">
        <v>14</v>
      </c>
      <c r="B19" s="6" t="s">
        <v>13</v>
      </c>
      <c r="C19" s="497">
        <f>IF('14.Ejendom'!C7&gt;0,'14.Ejendom'!C7,0)</f>
        <v>0</v>
      </c>
      <c r="D19" s="454">
        <f>IF('14.Ejendom'!$D$7&gt;0,'14.Ejendom'!$D$7/12*7,0)</f>
        <v>0</v>
      </c>
      <c r="E19" s="454">
        <f>IF('14.Ejendom'!$D$7&gt;0,'14.Ejendom'!$D$7/12*5,0)</f>
        <v>0</v>
      </c>
      <c r="F19" s="497">
        <f t="shared" si="0"/>
        <v>0</v>
      </c>
    </row>
    <row r="20" spans="1:6">
      <c r="A20" s="465">
        <v>15</v>
      </c>
      <c r="B20" s="6" t="s">
        <v>12</v>
      </c>
      <c r="C20" s="497">
        <f>IF('14.Ejendom'!C11&gt;0,'14.Ejendom'!C11,0)</f>
        <v>0</v>
      </c>
      <c r="D20" s="454">
        <f>IF('14.Ejendom'!$D$11&gt;0,'14.Ejendom'!$D$11/12*7,0)</f>
        <v>0</v>
      </c>
      <c r="E20" s="454">
        <f>IF('14.Ejendom'!$D$11&gt;0,'14.Ejendom'!$D$11/12*5,0)</f>
        <v>0</v>
      </c>
      <c r="F20" s="497">
        <f t="shared" si="0"/>
        <v>0</v>
      </c>
    </row>
    <row r="21" spans="1:6">
      <c r="A21" s="465">
        <v>16</v>
      </c>
      <c r="B21" s="6" t="s">
        <v>11</v>
      </c>
      <c r="C21" s="497">
        <f>IF('14.Ejendom'!C20&gt;0,'14.Ejendom'!C20,0)</f>
        <v>0</v>
      </c>
      <c r="D21" s="454">
        <f>IF('14.Ejendom'!D20&gt;0,'14.Ejendom'!D20/12*7,0)</f>
        <v>0</v>
      </c>
      <c r="E21" s="455">
        <f>IF('14.Ejendom'!D20&gt;0,'14.Ejendom'!D20/12*5,0)</f>
        <v>0</v>
      </c>
      <c r="F21" s="497">
        <f t="shared" si="0"/>
        <v>0</v>
      </c>
    </row>
    <row r="22" spans="1:6" ht="14" thickBot="1">
      <c r="A22" s="475">
        <v>17</v>
      </c>
      <c r="B22" s="6" t="s">
        <v>296</v>
      </c>
      <c r="C22" s="498">
        <f>IF('14.Ejendom'!C27&gt;0,'14.Ejendom'!C27,0)</f>
        <v>0</v>
      </c>
      <c r="D22" s="476">
        <f>IF('14.Ejendom'!$D$27&gt;0,'14.Ejendom'!$D$27/12*7,0)</f>
        <v>0</v>
      </c>
      <c r="E22" s="476">
        <f>IF('14.Ejendom'!$D$27&gt;0,'14.Ejendom'!$D$27/12*5,0)</f>
        <v>0</v>
      </c>
      <c r="F22" s="498">
        <f t="shared" si="0"/>
        <v>0</v>
      </c>
    </row>
    <row r="23" spans="1:6" s="445" customFormat="1" ht="14" thickBot="1">
      <c r="A23" s="478">
        <v>18</v>
      </c>
      <c r="B23" s="479" t="s">
        <v>297</v>
      </c>
      <c r="C23" s="499">
        <f>SUM(C17:C22)</f>
        <v>0</v>
      </c>
      <c r="D23" s="480">
        <f>SUM(D17:D22)</f>
        <v>0</v>
      </c>
      <c r="E23" s="480">
        <f>SUM(E17:E22)</f>
        <v>0</v>
      </c>
      <c r="F23" s="499">
        <f>SUM(F17:F22)</f>
        <v>0</v>
      </c>
    </row>
    <row r="24" spans="1:6" ht="14" thickBot="1">
      <c r="A24" s="482">
        <v>19</v>
      </c>
      <c r="B24" s="483" t="s">
        <v>10</v>
      </c>
      <c r="C24" s="484"/>
      <c r="D24" s="485"/>
      <c r="E24" s="486"/>
      <c r="F24" s="499">
        <f>D24+E24</f>
        <v>0</v>
      </c>
    </row>
    <row r="25" spans="1:6">
      <c r="A25" s="466">
        <v>20</v>
      </c>
      <c r="B25" s="6" t="s">
        <v>9</v>
      </c>
      <c r="C25" s="496">
        <f>IF('20.Adm.loen'!B5&gt;0,'20.Adm.loen'!B5,0)</f>
        <v>0</v>
      </c>
      <c r="D25" s="457">
        <f>IF('20.Adm.loen'!C5&gt;0,'20.Adm.loen'!C5,0)</f>
        <v>0</v>
      </c>
      <c r="E25" s="458">
        <f>IF('20.Adm.loen'!D5&gt;0,'20.Adm.loen'!D5,0)</f>
        <v>0</v>
      </c>
      <c r="F25" s="496">
        <f>D25+E25</f>
        <v>0</v>
      </c>
    </row>
    <row r="26" spans="1:6">
      <c r="A26" s="465">
        <v>21</v>
      </c>
      <c r="B26" s="6" t="s">
        <v>298</v>
      </c>
      <c r="C26" s="497">
        <f>IF('21.Adm'!C25&gt;0,'21.Adm'!C25,0)</f>
        <v>0</v>
      </c>
      <c r="D26" s="454">
        <f>IF('21.Adm'!$D$25&gt;0,'21.Adm'!$D$25/12*7,0)</f>
        <v>0</v>
      </c>
      <c r="E26" s="454">
        <f>IF('21.Adm'!$D$25&gt;0,'21.Adm'!$D$25/12*5,0)</f>
        <v>0</v>
      </c>
      <c r="F26" s="497">
        <f>D26+E26</f>
        <v>0</v>
      </c>
    </row>
    <row r="27" spans="1:6" ht="14" thickBot="1">
      <c r="A27" s="464">
        <v>22</v>
      </c>
      <c r="B27" s="6" t="s">
        <v>299</v>
      </c>
      <c r="C27" s="500">
        <f>C25+C26</f>
        <v>0</v>
      </c>
      <c r="D27" s="487">
        <f>D25+D26</f>
        <v>0</v>
      </c>
      <c r="E27" s="488">
        <f>E25+E26</f>
        <v>0</v>
      </c>
      <c r="F27" s="500">
        <f>F25+F26</f>
        <v>0</v>
      </c>
    </row>
    <row r="28" spans="1:6" ht="14" thickBot="1">
      <c r="A28" s="482">
        <v>23</v>
      </c>
      <c r="B28" s="483" t="s">
        <v>300</v>
      </c>
      <c r="C28" s="499">
        <f>C16+C23+C27+C24</f>
        <v>0</v>
      </c>
      <c r="D28" s="480">
        <f>D16+D23+D27+D24</f>
        <v>0</v>
      </c>
      <c r="E28" s="481" t="e">
        <f>E16+E23+E27+E24</f>
        <v>#DIV/0!</v>
      </c>
      <c r="F28" s="499" t="e">
        <f>F16+F23+F27+F24</f>
        <v>#DIV/0!</v>
      </c>
    </row>
    <row r="29" spans="1:6" ht="14" thickBot="1">
      <c r="A29" s="482">
        <v>24</v>
      </c>
      <c r="B29" s="483" t="s">
        <v>301</v>
      </c>
      <c r="C29" s="499">
        <f>C11-C28</f>
        <v>0</v>
      </c>
      <c r="D29" s="480">
        <f>D11-D28</f>
        <v>79241.75</v>
      </c>
      <c r="E29" s="481" t="e">
        <f>E11-E28</f>
        <v>#DIV/0!</v>
      </c>
      <c r="F29" s="499" t="e">
        <f>F11-F28</f>
        <v>#DIV/0!</v>
      </c>
    </row>
    <row r="30" spans="1:6">
      <c r="A30" s="467">
        <v>25</v>
      </c>
      <c r="B30" s="6" t="s">
        <v>8</v>
      </c>
      <c r="C30" s="446"/>
      <c r="D30" s="447"/>
      <c r="E30" s="448"/>
      <c r="F30" s="496">
        <f>D30+E30</f>
        <v>0</v>
      </c>
    </row>
    <row r="31" spans="1:6">
      <c r="A31" s="468">
        <v>26</v>
      </c>
      <c r="B31" s="6" t="s">
        <v>402</v>
      </c>
      <c r="C31" s="459"/>
      <c r="D31" s="460"/>
      <c r="E31" s="461"/>
      <c r="F31" s="497">
        <f>D31+E31</f>
        <v>0</v>
      </c>
    </row>
    <row r="32" spans="1:6">
      <c r="A32" s="468">
        <v>27</v>
      </c>
      <c r="B32" s="6" t="s">
        <v>403</v>
      </c>
      <c r="C32" s="459"/>
      <c r="D32" s="460"/>
      <c r="E32" s="461"/>
      <c r="F32" s="497">
        <f>D32+E32</f>
        <v>0</v>
      </c>
    </row>
    <row r="33" spans="1:6" ht="14" thickBot="1">
      <c r="A33" s="489">
        <v>28</v>
      </c>
      <c r="B33" s="6" t="s">
        <v>6</v>
      </c>
      <c r="C33" s="501">
        <f>C31+C32+C30</f>
        <v>0</v>
      </c>
      <c r="D33" s="490">
        <f>D31+D32+D30</f>
        <v>0</v>
      </c>
      <c r="E33" s="490">
        <f>E31+E32+E30</f>
        <v>0</v>
      </c>
      <c r="F33" s="501">
        <f>SUM(F30:F32)</f>
        <v>0</v>
      </c>
    </row>
    <row r="34" spans="1:6" ht="14" thickBot="1">
      <c r="A34" s="482">
        <v>29</v>
      </c>
      <c r="B34" s="483" t="s">
        <v>5</v>
      </c>
      <c r="C34" s="499">
        <f>C29+C33</f>
        <v>0</v>
      </c>
      <c r="D34" s="480">
        <f>D29+D33</f>
        <v>79241.75</v>
      </c>
      <c r="E34" s="481" t="e">
        <f>E29+E33</f>
        <v>#DIV/0!</v>
      </c>
      <c r="F34" s="499" t="e">
        <f>F29+F33</f>
        <v>#DIV/0!</v>
      </c>
    </row>
    <row r="35" spans="1:6">
      <c r="A35" s="467">
        <v>30</v>
      </c>
      <c r="B35" s="6" t="s">
        <v>4</v>
      </c>
      <c r="C35" s="446"/>
      <c r="D35" s="447"/>
      <c r="E35" s="448"/>
      <c r="F35" s="496">
        <f>D35+E35</f>
        <v>0</v>
      </c>
    </row>
    <row r="36" spans="1:6" ht="14" thickBot="1">
      <c r="A36" s="464">
        <v>31</v>
      </c>
      <c r="B36" s="6" t="s">
        <v>3</v>
      </c>
      <c r="C36" s="449"/>
      <c r="D36" s="450"/>
      <c r="E36" s="451"/>
      <c r="F36" s="502">
        <f>D36+E36</f>
        <v>0</v>
      </c>
    </row>
    <row r="37" spans="1:6" ht="14" thickBot="1">
      <c r="A37" s="482">
        <v>32</v>
      </c>
      <c r="B37" s="483" t="s">
        <v>302</v>
      </c>
      <c r="C37" s="499">
        <f>C34+C35-C36</f>
        <v>0</v>
      </c>
      <c r="D37" s="480">
        <f>D34+D35-D36</f>
        <v>79241.75</v>
      </c>
      <c r="E37" s="481" t="e">
        <f>E34+E35-E36</f>
        <v>#DIV/0!</v>
      </c>
      <c r="F37" s="499" t="e">
        <f>F34+F35-F36</f>
        <v>#DIV/0!</v>
      </c>
    </row>
    <row r="38" spans="1:6">
      <c r="A38" s="467">
        <v>52</v>
      </c>
      <c r="B38" s="6" t="s">
        <v>941</v>
      </c>
      <c r="C38" s="503">
        <f>IF('22.Dagtilbud'!D14&gt;0,'22.Dagtilbud'!D14+'22.Dagtilbud'!D29,0)</f>
        <v>0</v>
      </c>
      <c r="D38" s="452">
        <f>IF('22.Dagtilbud'!$E$14+'22.Dagtilbud'!$E$29&gt;0,('22.Dagtilbud'!$E$14+'22.Dagtilbud'!$E$29)/12*7,0)</f>
        <v>0</v>
      </c>
      <c r="E38" s="452">
        <f>IF('22.Dagtilbud'!$E$14+'22.Dagtilbud'!$E$29&gt;0,('22.Dagtilbud'!$E$14+'22.Dagtilbud'!$E$29)/12*5,0)</f>
        <v>0</v>
      </c>
      <c r="F38" s="496">
        <f>D38+E38</f>
        <v>0</v>
      </c>
    </row>
    <row r="39" spans="1:6">
      <c r="A39" s="464">
        <v>53</v>
      </c>
      <c r="B39" s="6" t="s">
        <v>942</v>
      </c>
      <c r="C39" s="504">
        <f>IF('22.Dagtilbud'!D101&gt;0,'22.Dagtilbud'!D101,0)</f>
        <v>0</v>
      </c>
      <c r="D39" s="453">
        <f>IF('22.Dagtilbud'!$E$101&gt;0,'22.Dagtilbud'!$E$101/12*7,0)</f>
        <v>0</v>
      </c>
      <c r="E39" s="453">
        <f>IF('22.Dagtilbud'!$E$101&gt;0,'22.Dagtilbud'!$E$101/12*5,0)</f>
        <v>0</v>
      </c>
      <c r="F39" s="502">
        <f>D39+E39</f>
        <v>0</v>
      </c>
    </row>
    <row r="40" spans="1:6" ht="14" thickBot="1">
      <c r="A40" s="489">
        <v>54</v>
      </c>
      <c r="B40" s="3" t="s">
        <v>0</v>
      </c>
      <c r="C40" s="501">
        <f>C38-C39</f>
        <v>0</v>
      </c>
      <c r="D40" s="490">
        <f t="shared" ref="D40:F40" si="1">D38-D39</f>
        <v>0</v>
      </c>
      <c r="E40" s="490">
        <f t="shared" si="1"/>
        <v>0</v>
      </c>
      <c r="F40" s="501">
        <f t="shared" si="1"/>
        <v>0</v>
      </c>
    </row>
    <row r="41" spans="1:6" ht="14" thickBot="1">
      <c r="A41" s="491">
        <v>55</v>
      </c>
      <c r="B41" s="492" t="s">
        <v>32</v>
      </c>
      <c r="C41" s="493">
        <f>C37+C40</f>
        <v>0</v>
      </c>
      <c r="D41" s="494">
        <f>D37+D40</f>
        <v>79241.75</v>
      </c>
      <c r="E41" s="495" t="e">
        <f>E37+E40</f>
        <v>#DIV/0!</v>
      </c>
      <c r="F41" s="493" t="e">
        <f>F37+F40</f>
        <v>#DIV/0!</v>
      </c>
    </row>
    <row r="42" spans="1:6">
      <c r="B42" s="32" t="s">
        <v>268</v>
      </c>
    </row>
  </sheetData>
  <sheetProtection sheet="1" formatCells="0" formatColumns="0" formatRows="0"/>
  <hyperlinks>
    <hyperlink ref="A6" location="'1.Driftstilskud'!A1" display="'1.Driftstilskud'!A1" xr:uid="{00000000-0004-0000-0300-000000000000}"/>
    <hyperlink ref="A7" location="'2.Øvrige Statstilskud'!A1" display="'2.Øvrige Statstilskud'!A1" xr:uid="{00000000-0004-0000-0300-000001000000}"/>
    <hyperlink ref="A8" location="'3.Skolepenge'!A1" display="'3.Skolepenge'!A1" xr:uid="{00000000-0004-0000-0300-000002000000}"/>
    <hyperlink ref="A9" location="'4.Forældrebetaling,SFO'!A1" display="'4.Forældrebetaling,SFO'!A1" xr:uid="{00000000-0004-0000-0300-000003000000}"/>
    <hyperlink ref="A10" location="'5.Andre_Indt'!A1" display="'5.Andre_Indt'!A1" xr:uid="{00000000-0004-0000-0300-000004000000}"/>
    <hyperlink ref="A12" location="'7.Løn,Uv'!A1" display="'7.Løn,Uv'!A1" xr:uid="{00000000-0004-0000-0300-000005000000}"/>
    <hyperlink ref="A13" location="'8.Løn,SFO'!A1" display="'8.Løn,SFO'!A1" xr:uid="{00000000-0004-0000-0300-000006000000}"/>
    <hyperlink ref="A14" location="'9.Uv.'!A1" display="'9.Uv.'!A1" xr:uid="{00000000-0004-0000-0300-000007000000}"/>
    <hyperlink ref="A15" location="'10.SFOudg.'!A1" display="'10.SFOudg.'!A1" xr:uid="{00000000-0004-0000-0300-000008000000}"/>
    <hyperlink ref="A17" location="'12.Ejd.løn'!A1" display="'12.Ejd.løn'!A1" xr:uid="{00000000-0004-0000-0300-000009000000}"/>
    <hyperlink ref="A18" location="'13.Lokaleleje'!A1" display="'13.Lokaleleje'!A1" xr:uid="{00000000-0004-0000-0300-00000A000000}"/>
    <hyperlink ref="A19" location="'14.Ejendom'!A1" display="'14.Ejendom'!A1" xr:uid="{00000000-0004-0000-0300-00000B000000}"/>
    <hyperlink ref="A20" location="'14.Ejendom'!A1" display="'14.Ejendom'!A1" xr:uid="{00000000-0004-0000-0300-00000C000000}"/>
    <hyperlink ref="A21" location="'14.Ejendom'!A1" display="'14.Ejendom'!A1" xr:uid="{00000000-0004-0000-0300-00000D000000}"/>
    <hyperlink ref="A22" location="'14.Ejendom'!A1" display="'14.Ejendom'!A1" xr:uid="{00000000-0004-0000-0300-00000E000000}"/>
    <hyperlink ref="A25" location="'20.Adm.løn'!A1" display="'20.Adm.løn'!A1" xr:uid="{00000000-0004-0000-0300-00000F000000}"/>
    <hyperlink ref="A26" location="'21.Adm'!A1" display="'21.Adm'!A1" xr:uid="{00000000-0004-0000-0300-000010000000}"/>
  </hyperlinks>
  <pageMargins left="0.27" right="0.13" top="0.21" bottom="0.35" header="0.2" footer="0.27"/>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6"/>
  <sheetViews>
    <sheetView topLeftCell="A10" zoomScale="111" zoomScaleNormal="90" zoomScalePageLayoutView="150" workbookViewId="0">
      <selection activeCell="B44" sqref="B44"/>
    </sheetView>
  </sheetViews>
  <sheetFormatPr baseColWidth="10" defaultColWidth="10.83203125" defaultRowHeight="13"/>
  <cols>
    <col min="1" max="1" width="44.5" style="1" customWidth="1"/>
    <col min="2" max="2" width="12.5" style="1" customWidth="1"/>
    <col min="3" max="4" width="10.83203125" style="1"/>
    <col min="5" max="5" width="22.5" style="1" customWidth="1"/>
    <col min="6" max="6" width="10.83203125" style="4"/>
    <col min="7" max="16384" width="10.83203125" style="1"/>
  </cols>
  <sheetData>
    <row r="1" spans="1:5">
      <c r="A1" s="10" t="s">
        <v>33</v>
      </c>
      <c r="D1" s="341" t="s">
        <v>399</v>
      </c>
    </row>
    <row r="2" spans="1:5" ht="25">
      <c r="A2" s="17">
        <f>aarstal</f>
        <v>2026</v>
      </c>
    </row>
    <row r="3" spans="1:5">
      <c r="A3" s="1" t="str">
        <f>"I "&amp;aarstal&amp;", fra august til december, får nyoprettede skoler Finanslovstaksten x 5 /12 pr. elev pr. 5. sep."</f>
        <v>I 2026, fra august til december, får nyoprettede skoler Finanslovstaksten x 5 /12 pr. elev pr. 5. sep.</v>
      </c>
    </row>
    <row r="5" spans="1:5">
      <c r="A5" s="1" t="str">
        <f>"Skønnet antal elever pr. 5. sep "&amp;aarstal</f>
        <v>Skønnet antal elever pr. 5. sep 2026</v>
      </c>
      <c r="B5" s="7"/>
    </row>
    <row r="7" spans="1:5">
      <c r="A7" s="1" t="str">
        <f>"Finanslovstaksten for "&amp;aarstal&amp;":"</f>
        <v>Finanslovstaksten for 2026:</v>
      </c>
      <c r="B7" s="14">
        <v>63058</v>
      </c>
    </row>
    <row r="8" spans="1:5">
      <c r="A8" s="1" t="s">
        <v>34</v>
      </c>
      <c r="B8" s="14">
        <f>B7*5/12</f>
        <v>26274.166666666668</v>
      </c>
      <c r="E8" s="143"/>
    </row>
    <row r="9" spans="1:5">
      <c r="A9" s="1" t="str">
        <f>"Driftstilskud i "&amp;aarstal</f>
        <v>Driftstilskud i 2026</v>
      </c>
      <c r="B9" s="15">
        <f>B5*B8</f>
        <v>0</v>
      </c>
      <c r="C9" s="1" t="s">
        <v>922</v>
      </c>
    </row>
    <row r="11" spans="1:5" ht="25">
      <c r="A11" s="17">
        <f>aarstal+1</f>
        <v>2027</v>
      </c>
    </row>
    <row r="12" spans="1:5" ht="39" customHeight="1">
      <c r="A12" s="666" t="str">
        <f>"Fra "&amp;aarstal+1&amp;" indgår skolen i en fordeling mellem alle de frie grundskoler, hvor driftstilskuddet er opdelt i 3-5 dele afhængig af geografi og elevtal pr. 5. sep. opdelt i 13-årige og derover og elever under 13 år."</f>
        <v>Fra 2027 indgår skolen i en fordeling mellem alle de frie grundskoler, hvor driftstilskuddet er opdelt i 3-5 dele afhængig af geografi og elevtal pr. 5. sep. opdelt i 13-årige og derover og elever under 13 år.</v>
      </c>
      <c r="B12" s="666"/>
      <c r="C12" s="666"/>
    </row>
    <row r="13" spans="1:5">
      <c r="A13" s="1" t="str">
        <f>"Skønnet antal elever under 13 år pr. 5. sep "&amp;aarstal</f>
        <v>Skønnet antal elever under 13 år pr. 5. sep 2026</v>
      </c>
      <c r="B13" s="7"/>
    </row>
    <row r="14" spans="1:5">
      <c r="A14" s="1" t="str">
        <f>"Skønnet antal elever på 13 år og derover pr. 5. sep "&amp;aarstal</f>
        <v>Skønnet antal elever på 13 år og derover pr. 5. sep 2026</v>
      </c>
      <c r="B14" s="7"/>
    </row>
    <row r="15" spans="1:5">
      <c r="A15" s="1" t="str">
        <f>"Skønnet antal elever i 10. kl. pr. 5. sep. "&amp;aarstal</f>
        <v>Skønnet antal elever i 10. kl. pr. 5. sep. 2026</v>
      </c>
      <c r="B15" s="7"/>
    </row>
    <row r="16" spans="1:5">
      <c r="A16" s="1" t="s">
        <v>35</v>
      </c>
      <c r="B16" s="2">
        <f>B13+B14+B15</f>
        <v>0</v>
      </c>
      <c r="C16" s="32" t="str">
        <f>"På arket 'Start' er elevtalllet sat til: "&amp;elevtal&amp; " elever"</f>
        <v>På arket 'Start' er elevtalllet sat til: 0 elever</v>
      </c>
    </row>
    <row r="17" spans="1:6" ht="14" thickBot="1"/>
    <row r="18" spans="1:6" ht="37" customHeight="1" thickTop="1">
      <c r="A18" s="11" t="s">
        <v>143</v>
      </c>
      <c r="B18" s="7"/>
      <c r="E18" s="20" t="s">
        <v>36</v>
      </c>
      <c r="F18" s="21" t="s">
        <v>37</v>
      </c>
    </row>
    <row r="19" spans="1:6" ht="16">
      <c r="A19" s="1" t="s">
        <v>409</v>
      </c>
      <c r="B19" s="563">
        <f>IF(B18&gt;=4,1.02,1)</f>
        <v>1</v>
      </c>
      <c r="E19" s="22" t="s">
        <v>101</v>
      </c>
      <c r="F19" s="24">
        <v>2</v>
      </c>
    </row>
    <row r="20" spans="1:6" ht="16">
      <c r="B20" s="4" t="s">
        <v>141</v>
      </c>
      <c r="C20" s="4" t="s">
        <v>142</v>
      </c>
      <c r="E20" s="22" t="s">
        <v>47</v>
      </c>
      <c r="F20" s="24">
        <v>6</v>
      </c>
    </row>
    <row r="21" spans="1:6" ht="16">
      <c r="A21" s="1" t="s">
        <v>136</v>
      </c>
      <c r="B21" s="16">
        <v>10000</v>
      </c>
      <c r="C21" s="16">
        <f>MIN(400000,B16*B21)*B19</f>
        <v>0</v>
      </c>
      <c r="E21" s="22" t="s">
        <v>56</v>
      </c>
      <c r="F21" s="24">
        <v>5</v>
      </c>
    </row>
    <row r="22" spans="1:6" ht="16">
      <c r="A22" s="1" t="s">
        <v>137</v>
      </c>
      <c r="B22" s="16">
        <v>8330</v>
      </c>
      <c r="C22" s="16">
        <f>MIN(220,B16*1)*B22*B19</f>
        <v>0</v>
      </c>
      <c r="E22" s="22" t="s">
        <v>85</v>
      </c>
      <c r="F22" s="24">
        <v>2</v>
      </c>
    </row>
    <row r="23" spans="1:6" ht="16">
      <c r="A23" s="1" t="s">
        <v>138</v>
      </c>
      <c r="B23" s="16">
        <v>3332</v>
      </c>
      <c r="C23" s="16">
        <f>MAX(0,B16-220)*B23*B19</f>
        <v>0</v>
      </c>
      <c r="E23" s="22" t="s">
        <v>40</v>
      </c>
      <c r="F23" s="24">
        <v>6</v>
      </c>
    </row>
    <row r="24" spans="1:6" ht="16">
      <c r="A24" s="1" t="s">
        <v>135</v>
      </c>
      <c r="B24" s="16">
        <v>43734</v>
      </c>
      <c r="C24" s="16">
        <f>B13*B24*B19</f>
        <v>0</v>
      </c>
      <c r="E24" s="22" t="s">
        <v>94</v>
      </c>
      <c r="F24" s="24">
        <v>2</v>
      </c>
    </row>
    <row r="25" spans="1:6" ht="16">
      <c r="A25" s="1" t="s">
        <v>139</v>
      </c>
      <c r="B25" s="16">
        <v>57729</v>
      </c>
      <c r="C25" s="16">
        <f>B14*B25*B19</f>
        <v>0</v>
      </c>
      <c r="E25" s="22" t="s">
        <v>90</v>
      </c>
      <c r="F25" s="24">
        <v>2</v>
      </c>
    </row>
    <row r="26" spans="1:6" ht="16">
      <c r="A26" s="9" t="s">
        <v>140</v>
      </c>
      <c r="B26" s="372">
        <v>56624</v>
      </c>
      <c r="C26" s="18">
        <f>B15*B26*B19</f>
        <v>0</v>
      </c>
      <c r="E26" s="22" t="s">
        <v>83</v>
      </c>
      <c r="F26" s="24">
        <v>2</v>
      </c>
    </row>
    <row r="27" spans="1:6" ht="16">
      <c r="A27" s="9" t="str">
        <f>"Tilskud i alt 12 måneder i "&amp;aarstal+1&amp;" (egl skoleåret "&amp;aarstal&amp;"/"&amp;aarstal+1-2000&amp;")"</f>
        <v>Tilskud i alt 12 måneder i 2027 (egl skoleåret 2026/27)</v>
      </c>
      <c r="B27" s="9"/>
      <c r="C27" s="19">
        <f>SUM(C21:C26)</f>
        <v>0</v>
      </c>
      <c r="E27" s="22" t="s">
        <v>41</v>
      </c>
      <c r="F27" s="24">
        <v>6</v>
      </c>
    </row>
    <row r="28" spans="1:6" ht="16">
      <c r="E28" s="22" t="s">
        <v>126</v>
      </c>
      <c r="F28" s="24">
        <v>2</v>
      </c>
    </row>
    <row r="29" spans="1:6" ht="16">
      <c r="A29" s="13" t="str">
        <f>"Tilskud jan -juli "&amp;aarstal+1</f>
        <v>Tilskud jan -juli 2027</v>
      </c>
      <c r="B29" s="27"/>
      <c r="C29" s="8">
        <f>C27/12*7</f>
        <v>0</v>
      </c>
      <c r="D29" s="1" t="s">
        <v>144</v>
      </c>
      <c r="E29" s="22" t="s">
        <v>42</v>
      </c>
      <c r="F29" s="24">
        <v>6</v>
      </c>
    </row>
    <row r="30" spans="1:6" ht="12" customHeight="1">
      <c r="B30" s="16"/>
      <c r="C30" s="16"/>
      <c r="E30" s="22" t="s">
        <v>62</v>
      </c>
      <c r="F30" s="24">
        <v>6</v>
      </c>
    </row>
    <row r="31" spans="1:6" ht="31" customHeight="1">
      <c r="A31" s="666" t="str">
        <f>"For de sidste 5 måneder af "&amp;aarstal+1&amp;" foretages en regulering efter antallet af elever pr. 5. sep, "&amp;aarstal+1</f>
        <v>For de sidste 5 måneder af 2027 foretages en regulering efter antallet af elever pr. 5. sep, 2027</v>
      </c>
      <c r="B31" s="666"/>
      <c r="C31" s="666"/>
      <c r="E31" s="22" t="s">
        <v>97</v>
      </c>
      <c r="F31" s="24">
        <v>3</v>
      </c>
    </row>
    <row r="32" spans="1:6" ht="16">
      <c r="B32" s="16"/>
      <c r="C32" s="16"/>
      <c r="E32" s="22" t="s">
        <v>86</v>
      </c>
      <c r="F32" s="24">
        <v>3</v>
      </c>
    </row>
    <row r="33" spans="1:6" ht="16">
      <c r="A33" s="1" t="str">
        <f>"Skønnet antal elever under 13 år pr. 5. sep "&amp;aarstal+1</f>
        <v>Skønnet antal elever under 13 år pr. 5. sep 2027</v>
      </c>
      <c r="B33" s="7"/>
      <c r="C33" s="16"/>
      <c r="E33" s="22" t="s">
        <v>98</v>
      </c>
      <c r="F33" s="24">
        <v>2</v>
      </c>
    </row>
    <row r="34" spans="1:6" ht="16">
      <c r="A34" s="1" t="str">
        <f>"Skønnet antal elever på 13 år og derover pr. 5. sep "&amp;aarstal+1</f>
        <v>Skønnet antal elever på 13 år og derover pr. 5. sep 2027</v>
      </c>
      <c r="B34" s="7"/>
      <c r="C34" s="16"/>
      <c r="E34" s="22" t="s">
        <v>112</v>
      </c>
      <c r="F34" s="24">
        <v>2</v>
      </c>
    </row>
    <row r="35" spans="1:6" ht="16">
      <c r="A35" s="1" t="str">
        <f>"Skønnet antal elever i 10. kl. pr. 5. sep. "&amp;aarstal+1</f>
        <v>Skønnet antal elever i 10. kl. pr. 5. sep. 2027</v>
      </c>
      <c r="B35" s="7"/>
      <c r="C35" s="16"/>
      <c r="E35" s="22" t="s">
        <v>72</v>
      </c>
      <c r="F35" s="24">
        <v>2</v>
      </c>
    </row>
    <row r="36" spans="1:6" ht="16">
      <c r="A36" s="1" t="s">
        <v>35</v>
      </c>
      <c r="B36" s="2">
        <f>B33+B34+B35</f>
        <v>0</v>
      </c>
      <c r="C36" s="16"/>
      <c r="E36" s="22" t="s">
        <v>57</v>
      </c>
      <c r="F36" s="24">
        <v>5</v>
      </c>
    </row>
    <row r="37" spans="1:6" ht="16">
      <c r="B37" s="16"/>
      <c r="C37" s="16"/>
      <c r="E37" s="22" t="s">
        <v>102</v>
      </c>
      <c r="F37" s="24">
        <v>2</v>
      </c>
    </row>
    <row r="38" spans="1:6" ht="16">
      <c r="A38" s="10" t="str">
        <f>"Vi budgetterer foreløbig med samme takster som i "&amp;aarstal&amp;"."</f>
        <v>Vi budgetterer foreløbig med samme takster som i 2026.</v>
      </c>
      <c r="B38" s="4" t="s">
        <v>141</v>
      </c>
      <c r="C38" s="4" t="s">
        <v>142</v>
      </c>
      <c r="E38" s="22" t="s">
        <v>39</v>
      </c>
      <c r="F38" s="24">
        <v>6</v>
      </c>
    </row>
    <row r="39" spans="1:6" ht="16">
      <c r="A39" s="1" t="s">
        <v>136</v>
      </c>
      <c r="B39" s="16">
        <v>10000</v>
      </c>
      <c r="C39" s="16">
        <f>MIN(400000,B36*B39)*B19</f>
        <v>0</v>
      </c>
      <c r="E39" s="22" t="s">
        <v>127</v>
      </c>
      <c r="F39" s="24">
        <v>3</v>
      </c>
    </row>
    <row r="40" spans="1:6" ht="16">
      <c r="A40" s="1" t="s">
        <v>137</v>
      </c>
      <c r="B40" s="16">
        <f>B22</f>
        <v>8330</v>
      </c>
      <c r="C40" s="16">
        <f>MIN(220,B36*1)*B40*B19</f>
        <v>0</v>
      </c>
      <c r="E40" s="22" t="s">
        <v>63</v>
      </c>
      <c r="F40" s="24">
        <v>5</v>
      </c>
    </row>
    <row r="41" spans="1:6" ht="16">
      <c r="A41" s="1" t="s">
        <v>138</v>
      </c>
      <c r="B41" s="16">
        <f>B23</f>
        <v>3332</v>
      </c>
      <c r="C41" s="16">
        <f>MAX(0,B36-220)*B41*B19</f>
        <v>0</v>
      </c>
      <c r="E41" s="22" t="s">
        <v>66</v>
      </c>
      <c r="F41" s="24">
        <v>5</v>
      </c>
    </row>
    <row r="42" spans="1:6" ht="16">
      <c r="A42" s="1" t="s">
        <v>135</v>
      </c>
      <c r="B42" s="16">
        <f>B24</f>
        <v>43734</v>
      </c>
      <c r="C42" s="16">
        <f>B33*B42*B19</f>
        <v>0</v>
      </c>
      <c r="E42" s="22" t="s">
        <v>55</v>
      </c>
      <c r="F42" s="24">
        <v>6</v>
      </c>
    </row>
    <row r="43" spans="1:6" ht="16">
      <c r="A43" s="1" t="s">
        <v>139</v>
      </c>
      <c r="B43" s="16">
        <f>B25</f>
        <v>57729</v>
      </c>
      <c r="C43" s="16">
        <f>B34*B43*B19</f>
        <v>0</v>
      </c>
      <c r="E43" s="22" t="s">
        <v>43</v>
      </c>
      <c r="F43" s="24">
        <v>6</v>
      </c>
    </row>
    <row r="44" spans="1:6" ht="16">
      <c r="A44" s="9" t="s">
        <v>140</v>
      </c>
      <c r="B44" s="18">
        <f>B26</f>
        <v>56624</v>
      </c>
      <c r="C44" s="18">
        <f>B35*B44*B19</f>
        <v>0</v>
      </c>
      <c r="E44" s="22" t="s">
        <v>44</v>
      </c>
      <c r="F44" s="24">
        <v>6</v>
      </c>
    </row>
    <row r="45" spans="1:6" ht="16">
      <c r="A45" s="9" t="str">
        <f>"Tilskud i alt 12 måneder i "&amp;aarstal+1&amp;"/"&amp;aarstal+2-2000</f>
        <v>Tilskud i alt 12 måneder i 2027/28</v>
      </c>
      <c r="B45" s="9"/>
      <c r="C45" s="19">
        <f>SUM(C39:C44)</f>
        <v>0</v>
      </c>
      <c r="E45" s="22" t="s">
        <v>45</v>
      </c>
      <c r="F45" s="24">
        <v>6</v>
      </c>
    </row>
    <row r="46" spans="1:6" ht="16">
      <c r="E46" s="22" t="s">
        <v>64</v>
      </c>
      <c r="F46" s="24">
        <v>6</v>
      </c>
    </row>
    <row r="47" spans="1:6" ht="16">
      <c r="A47" s="13" t="str">
        <f>"Tilskud aug - dec "&amp;aarstal+1</f>
        <v>Tilskud aug - dec 2027</v>
      </c>
      <c r="B47" s="27"/>
      <c r="C47" s="8">
        <f>C45/12*5</f>
        <v>0</v>
      </c>
      <c r="D47" s="1" t="s">
        <v>144</v>
      </c>
      <c r="E47" s="22" t="s">
        <v>69</v>
      </c>
      <c r="F47" s="24">
        <v>5</v>
      </c>
    </row>
    <row r="48" spans="1:6" ht="16">
      <c r="E48" s="22" t="s">
        <v>81</v>
      </c>
      <c r="F48" s="24">
        <v>2</v>
      </c>
    </row>
    <row r="49" spans="1:6" ht="16">
      <c r="A49" s="1" t="str">
        <f>"Driftstilskud hele "&amp;aarstal+1</f>
        <v>Driftstilskud hele 2027</v>
      </c>
      <c r="C49" s="26">
        <f>C29+C47</f>
        <v>0</v>
      </c>
      <c r="E49" s="22" t="s">
        <v>93</v>
      </c>
      <c r="F49" s="24">
        <v>2</v>
      </c>
    </row>
    <row r="50" spans="1:6" ht="16">
      <c r="E50" s="22" t="s">
        <v>121</v>
      </c>
      <c r="F50" s="24">
        <v>2</v>
      </c>
    </row>
    <row r="51" spans="1:6" ht="16">
      <c r="E51" s="22" t="s">
        <v>58</v>
      </c>
      <c r="F51" s="24">
        <v>5</v>
      </c>
    </row>
    <row r="52" spans="1:6" ht="16">
      <c r="E52" s="22" t="s">
        <v>46</v>
      </c>
      <c r="F52" s="24">
        <v>6</v>
      </c>
    </row>
    <row r="53" spans="1:6" ht="16">
      <c r="E53" s="22" t="s">
        <v>106</v>
      </c>
      <c r="F53" s="24">
        <v>2</v>
      </c>
    </row>
    <row r="54" spans="1:6" ht="16">
      <c r="E54" s="22" t="s">
        <v>59</v>
      </c>
      <c r="F54" s="24">
        <v>5</v>
      </c>
    </row>
    <row r="55" spans="1:6" ht="16">
      <c r="E55" s="22" t="s">
        <v>134</v>
      </c>
      <c r="F55" s="24">
        <v>2</v>
      </c>
    </row>
    <row r="56" spans="1:6" ht="16">
      <c r="E56" s="22" t="s">
        <v>71</v>
      </c>
      <c r="F56" s="24">
        <v>2</v>
      </c>
    </row>
    <row r="57" spans="1:6" ht="16">
      <c r="E57" s="22" t="s">
        <v>107</v>
      </c>
      <c r="F57" s="24">
        <v>2</v>
      </c>
    </row>
    <row r="58" spans="1:6" ht="16">
      <c r="E58" s="22" t="s">
        <v>103</v>
      </c>
      <c r="F58" s="24">
        <v>2</v>
      </c>
    </row>
    <row r="59" spans="1:6" ht="16">
      <c r="E59" s="22" t="s">
        <v>48</v>
      </c>
      <c r="F59" s="24">
        <v>6</v>
      </c>
    </row>
    <row r="60" spans="1:6" ht="16">
      <c r="E60" s="22" t="s">
        <v>49</v>
      </c>
      <c r="F60" s="24">
        <v>6</v>
      </c>
    </row>
    <row r="61" spans="1:6" ht="16">
      <c r="E61" s="22" t="s">
        <v>60</v>
      </c>
      <c r="F61" s="24">
        <v>5</v>
      </c>
    </row>
    <row r="62" spans="1:6" ht="16">
      <c r="E62" s="22" t="s">
        <v>119</v>
      </c>
      <c r="F62" s="24">
        <v>2</v>
      </c>
    </row>
    <row r="63" spans="1:6" ht="16">
      <c r="E63" s="22" t="s">
        <v>52</v>
      </c>
      <c r="F63" s="24">
        <v>6</v>
      </c>
    </row>
    <row r="64" spans="1:6" ht="16">
      <c r="E64" s="22" t="s">
        <v>132</v>
      </c>
      <c r="F64" s="24">
        <v>2</v>
      </c>
    </row>
    <row r="65" spans="5:6" ht="16">
      <c r="E65" s="22" t="s">
        <v>73</v>
      </c>
      <c r="F65" s="24">
        <v>3</v>
      </c>
    </row>
    <row r="66" spans="5:6" ht="16">
      <c r="E66" s="22" t="s">
        <v>87</v>
      </c>
      <c r="F66" s="24">
        <v>3</v>
      </c>
    </row>
    <row r="67" spans="5:6" ht="16">
      <c r="E67" s="22" t="s">
        <v>104</v>
      </c>
      <c r="F67" s="24">
        <v>2</v>
      </c>
    </row>
    <row r="68" spans="5:6" ht="16">
      <c r="E68" s="22" t="s">
        <v>38</v>
      </c>
      <c r="F68" s="24">
        <v>6</v>
      </c>
    </row>
    <row r="69" spans="5:6" ht="16">
      <c r="E69" s="22" t="s">
        <v>65</v>
      </c>
      <c r="F69" s="24">
        <v>4</v>
      </c>
    </row>
    <row r="70" spans="5:6" ht="16">
      <c r="E70" s="22" t="s">
        <v>91</v>
      </c>
      <c r="F70" s="24">
        <v>2</v>
      </c>
    </row>
    <row r="71" spans="5:6" ht="16">
      <c r="E71" s="22" t="s">
        <v>78</v>
      </c>
      <c r="F71" s="24">
        <v>4</v>
      </c>
    </row>
    <row r="72" spans="5:6" ht="16">
      <c r="E72" s="22" t="s">
        <v>108</v>
      </c>
      <c r="F72" s="24">
        <v>2</v>
      </c>
    </row>
    <row r="73" spans="5:6" ht="16">
      <c r="E73" s="22" t="s">
        <v>79</v>
      </c>
      <c r="F73" s="24">
        <v>2</v>
      </c>
    </row>
    <row r="74" spans="5:6" ht="16">
      <c r="E74" s="22" t="s">
        <v>50</v>
      </c>
      <c r="F74" s="24">
        <v>6</v>
      </c>
    </row>
    <row r="75" spans="5:6" ht="16">
      <c r="E75" s="22" t="s">
        <v>129</v>
      </c>
      <c r="F75" s="24">
        <v>2</v>
      </c>
    </row>
    <row r="76" spans="5:6" ht="16">
      <c r="E76" s="22" t="s">
        <v>131</v>
      </c>
      <c r="F76" s="24">
        <v>2</v>
      </c>
    </row>
    <row r="77" spans="5:6" ht="16">
      <c r="E77" s="22" t="s">
        <v>84</v>
      </c>
      <c r="F77" s="24">
        <v>2</v>
      </c>
    </row>
    <row r="78" spans="5:6" ht="16">
      <c r="E78" s="22" t="s">
        <v>122</v>
      </c>
      <c r="F78" s="24">
        <v>2</v>
      </c>
    </row>
    <row r="79" spans="5:6" ht="16">
      <c r="E79" s="22" t="s">
        <v>111</v>
      </c>
      <c r="F79" s="24">
        <v>2</v>
      </c>
    </row>
    <row r="80" spans="5:6" ht="16">
      <c r="E80" s="22" t="s">
        <v>88</v>
      </c>
      <c r="F80" s="24">
        <v>2</v>
      </c>
    </row>
    <row r="81" spans="5:6" ht="16">
      <c r="E81" s="22" t="s">
        <v>80</v>
      </c>
      <c r="F81" s="24">
        <v>3</v>
      </c>
    </row>
    <row r="82" spans="5:6" ht="16">
      <c r="E82" s="22" t="s">
        <v>113</v>
      </c>
      <c r="F82" s="24">
        <v>2</v>
      </c>
    </row>
    <row r="83" spans="5:6" ht="16">
      <c r="E83" s="22" t="s">
        <v>70</v>
      </c>
      <c r="F83" s="24">
        <v>2</v>
      </c>
    </row>
    <row r="84" spans="5:6" ht="16">
      <c r="E84" s="22" t="s">
        <v>114</v>
      </c>
      <c r="F84" s="24">
        <v>2</v>
      </c>
    </row>
    <row r="85" spans="5:6" ht="16">
      <c r="E85" s="22" t="s">
        <v>130</v>
      </c>
      <c r="F85" s="24">
        <v>2</v>
      </c>
    </row>
    <row r="86" spans="5:6" ht="16">
      <c r="E86" s="22" t="s">
        <v>120</v>
      </c>
      <c r="F86" s="24">
        <v>2</v>
      </c>
    </row>
    <row r="87" spans="5:6" ht="16">
      <c r="E87" s="22" t="s">
        <v>74</v>
      </c>
      <c r="F87" s="24">
        <v>2</v>
      </c>
    </row>
    <row r="88" spans="5:6" ht="16">
      <c r="E88" s="22" t="s">
        <v>67</v>
      </c>
      <c r="F88" s="24">
        <v>4</v>
      </c>
    </row>
    <row r="89" spans="5:6" ht="16">
      <c r="E89" s="22" t="s">
        <v>61</v>
      </c>
      <c r="F89" s="24">
        <v>6</v>
      </c>
    </row>
    <row r="90" spans="5:6" ht="16">
      <c r="E90" s="22" t="s">
        <v>51</v>
      </c>
      <c r="F90" s="24">
        <v>6</v>
      </c>
    </row>
    <row r="91" spans="5:6" ht="16">
      <c r="E91" s="22" t="s">
        <v>116</v>
      </c>
      <c r="F91" s="24">
        <v>2</v>
      </c>
    </row>
    <row r="92" spans="5:6" ht="16">
      <c r="E92" s="22" t="s">
        <v>115</v>
      </c>
      <c r="F92" s="24">
        <v>2</v>
      </c>
    </row>
    <row r="93" spans="5:6" ht="16">
      <c r="E93" s="22" t="s">
        <v>117</v>
      </c>
      <c r="F93" s="24">
        <v>2</v>
      </c>
    </row>
    <row r="94" spans="5:6" ht="16">
      <c r="E94" s="22" t="s">
        <v>123</v>
      </c>
      <c r="F94" s="24">
        <v>2</v>
      </c>
    </row>
    <row r="95" spans="5:6" ht="16">
      <c r="E95" s="22" t="s">
        <v>75</v>
      </c>
      <c r="F95" s="24">
        <v>3</v>
      </c>
    </row>
    <row r="96" spans="5:6" ht="16">
      <c r="E96" s="22" t="s">
        <v>68</v>
      </c>
      <c r="F96" s="24">
        <v>4</v>
      </c>
    </row>
    <row r="97" spans="5:6" ht="16">
      <c r="E97" s="22" t="s">
        <v>77</v>
      </c>
      <c r="F97" s="24">
        <v>2</v>
      </c>
    </row>
    <row r="98" spans="5:6" ht="16">
      <c r="E98" s="22" t="s">
        <v>76</v>
      </c>
      <c r="F98" s="24">
        <v>2</v>
      </c>
    </row>
    <row r="99" spans="5:6" ht="16">
      <c r="E99" s="22" t="s">
        <v>109</v>
      </c>
      <c r="F99" s="24">
        <v>2</v>
      </c>
    </row>
    <row r="100" spans="5:6" ht="16">
      <c r="E100" s="22" t="s">
        <v>89</v>
      </c>
      <c r="F100" s="24">
        <v>2</v>
      </c>
    </row>
    <row r="101" spans="5:6" ht="16">
      <c r="E101" s="22" t="s">
        <v>110</v>
      </c>
      <c r="F101" s="24">
        <v>2</v>
      </c>
    </row>
    <row r="102" spans="5:6" ht="16">
      <c r="E102" s="22" t="s">
        <v>95</v>
      </c>
      <c r="F102" s="24">
        <v>3</v>
      </c>
    </row>
    <row r="103" spans="5:6" ht="16">
      <c r="E103" s="22" t="s">
        <v>124</v>
      </c>
      <c r="F103" s="24">
        <v>2</v>
      </c>
    </row>
    <row r="104" spans="5:6" ht="16">
      <c r="E104" s="22" t="s">
        <v>96</v>
      </c>
      <c r="F104" s="24">
        <v>2</v>
      </c>
    </row>
    <row r="105" spans="5:6" ht="16">
      <c r="E105" s="22" t="s">
        <v>53</v>
      </c>
      <c r="F105" s="24">
        <v>6</v>
      </c>
    </row>
    <row r="106" spans="5:6" ht="16">
      <c r="E106" s="22" t="s">
        <v>54</v>
      </c>
      <c r="F106" s="24">
        <v>6</v>
      </c>
    </row>
    <row r="107" spans="5:6" ht="16">
      <c r="E107" s="22" t="s">
        <v>99</v>
      </c>
      <c r="F107" s="24">
        <v>2</v>
      </c>
    </row>
    <row r="108" spans="5:6" ht="16">
      <c r="E108" s="22" t="s">
        <v>100</v>
      </c>
      <c r="F108" s="24">
        <v>2</v>
      </c>
    </row>
    <row r="109" spans="5:6" ht="16">
      <c r="E109" s="22" t="s">
        <v>105</v>
      </c>
      <c r="F109" s="24">
        <v>2</v>
      </c>
    </row>
    <row r="110" spans="5:6" ht="16">
      <c r="E110" s="22" t="s">
        <v>128</v>
      </c>
      <c r="F110" s="24">
        <v>2</v>
      </c>
    </row>
    <row r="111" spans="5:6" ht="16">
      <c r="E111" s="22" t="s">
        <v>125</v>
      </c>
      <c r="F111" s="24">
        <v>2</v>
      </c>
    </row>
    <row r="112" spans="5:6" ht="16">
      <c r="E112" s="22" t="s">
        <v>82</v>
      </c>
      <c r="F112" s="24">
        <v>2</v>
      </c>
    </row>
    <row r="113" spans="5:6" ht="16">
      <c r="E113" s="22" t="s">
        <v>92</v>
      </c>
      <c r="F113" s="24">
        <v>2</v>
      </c>
    </row>
    <row r="114" spans="5:6" ht="16">
      <c r="E114" s="22" t="s">
        <v>133</v>
      </c>
      <c r="F114" s="24">
        <v>3</v>
      </c>
    </row>
    <row r="115" spans="5:6" ht="17" thickBot="1">
      <c r="E115" s="23" t="s">
        <v>118</v>
      </c>
      <c r="F115" s="25">
        <v>4</v>
      </c>
    </row>
    <row r="116" spans="5:6" ht="14" thickTop="1"/>
  </sheetData>
  <sheetProtection sheet="1" objects="1" scenarios="1"/>
  <sortState xmlns:xlrd2="http://schemas.microsoft.com/office/spreadsheetml/2017/richdata2" ref="E17:E114">
    <sortCondition ref="E17:E114"/>
  </sortState>
  <mergeCells count="2">
    <mergeCell ref="A12:C12"/>
    <mergeCell ref="A31:C31"/>
  </mergeCells>
  <dataValidations count="1">
    <dataValidation type="whole" allowBlank="1" showInputMessage="1" showErrorMessage="1" sqref="B18" xr:uid="{00000000-0002-0000-0400-000000000000}">
      <formula1>2</formula1>
      <formula2>6</formula2>
    </dataValidation>
  </dataValidations>
  <hyperlinks>
    <hyperlink ref="D1" location="Budget!A1" display="til 'Budget'" xr:uid="{5C9B6F63-B58A-C444-8A7D-86C789DF555B}"/>
  </hyperlinks>
  <pageMargins left="0.75" right="0.75" top="1" bottom="1" header="0.5" footer="0.5"/>
  <pageSetup paperSize="9"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0"/>
  <sheetViews>
    <sheetView zoomScale="176" zoomScaleNormal="100" zoomScalePageLayoutView="150" workbookViewId="0">
      <selection activeCell="B32" sqref="B32"/>
    </sheetView>
  </sheetViews>
  <sheetFormatPr baseColWidth="10" defaultColWidth="10.83203125" defaultRowHeight="13"/>
  <cols>
    <col min="1" max="1" width="46.1640625" style="1" customWidth="1"/>
    <col min="2" max="2" width="10.83203125" style="1"/>
    <col min="3" max="5" width="13.33203125" style="1" customWidth="1"/>
    <col min="6" max="16384" width="10.83203125" style="1"/>
  </cols>
  <sheetData>
    <row r="1" spans="1:9">
      <c r="A1" s="10" t="s">
        <v>145</v>
      </c>
      <c r="D1" s="341" t="s">
        <v>399</v>
      </c>
    </row>
    <row r="3" spans="1:9">
      <c r="A3" s="433" t="s">
        <v>146</v>
      </c>
      <c r="B3" s="435"/>
      <c r="C3" s="435"/>
      <c r="D3" s="435"/>
    </row>
    <row r="4" spans="1:9">
      <c r="A4" s="1" t="str">
        <f>"Antal tilskudsberettigede elever i SFO pr. 5. sep. "&amp;aarstal</f>
        <v>Antal tilskudsberettigede elever i SFO pr. 5. sep. 2026</v>
      </c>
      <c r="B4" s="12"/>
    </row>
    <row r="6" spans="1:9">
      <c r="A6" s="1" t="str">
        <f>"Antal tilskudsberettigede elever i SFO pr. 5. sep. "&amp;aarstal+1</f>
        <v>Antal tilskudsberettigede elever i SFO pr. 5. sep. 2027</v>
      </c>
      <c r="B6" s="12"/>
      <c r="I6" s="144"/>
    </row>
    <row r="7" spans="1:9">
      <c r="I7" s="144"/>
    </row>
    <row r="8" spans="1:9">
      <c r="A8" s="1" t="str">
        <f>"SFOtilskudstakst i "&amp;aarstal&amp;""</f>
        <v>SFOtilskudstakst i 2026</v>
      </c>
      <c r="B8" s="16">
        <v>9111</v>
      </c>
      <c r="I8" s="145"/>
    </row>
    <row r="9" spans="1:9">
      <c r="A9" s="1" t="str">
        <f>"SFOtilskudstakst i "&amp;aarstal+1&amp;""</f>
        <v>SFOtilskudstakst i 2027</v>
      </c>
      <c r="B9" s="16">
        <f>B8</f>
        <v>9111</v>
      </c>
    </row>
    <row r="11" spans="1:9">
      <c r="A11" s="1" t="str">
        <f>"SFO aug-dec "&amp;aarstal</f>
        <v>SFO aug-dec 2026</v>
      </c>
      <c r="B11" s="26">
        <f>B4*B8*5/12</f>
        <v>0</v>
      </c>
      <c r="C11" s="16" t="s">
        <v>144</v>
      </c>
      <c r="D11" s="16"/>
      <c r="E11" s="16"/>
    </row>
    <row r="12" spans="1:9">
      <c r="A12" s="1" t="str">
        <f>"SFO jan-jul "&amp;aarstal+1</f>
        <v>SFO jan-jul 2027</v>
      </c>
      <c r="B12" s="26">
        <f>B4*B9*7/12</f>
        <v>0</v>
      </c>
      <c r="C12" s="16" t="s">
        <v>144</v>
      </c>
      <c r="D12" s="16"/>
      <c r="E12" s="16"/>
    </row>
    <row r="13" spans="1:9">
      <c r="A13" s="1" t="str">
        <f>"SFO aug-dec "&amp;aarstal+1</f>
        <v>SFO aug-dec 2027</v>
      </c>
      <c r="B13" s="26">
        <f>B6*B9*5/12</f>
        <v>0</v>
      </c>
      <c r="C13" s="16" t="s">
        <v>144</v>
      </c>
      <c r="D13" s="16"/>
      <c r="E13" s="16"/>
    </row>
    <row r="14" spans="1:9">
      <c r="B14" s="16"/>
      <c r="C14" s="16"/>
      <c r="D14" s="16"/>
      <c r="E14" s="16"/>
    </row>
    <row r="15" spans="1:9">
      <c r="A15" s="433" t="s">
        <v>923</v>
      </c>
      <c r="B15" s="435"/>
      <c r="C15" s="435"/>
      <c r="D15" s="435"/>
    </row>
    <row r="16" spans="1:9">
      <c r="A16" s="1" t="str">
        <f>"Bygningstilskudstakst i "&amp;aarstal&amp;"/"&amp;aarstal+1-2000</f>
        <v>Bygningstilskudstakst i 2026/27</v>
      </c>
      <c r="B16" s="16">
        <v>2764</v>
      </c>
      <c r="C16" s="16"/>
      <c r="D16" s="16"/>
      <c r="E16" s="16"/>
    </row>
    <row r="17" spans="1:8">
      <c r="A17" s="1" t="str">
        <f>"Bygningstilskudstakst i "&amp;aarstal+1&amp;"/"&amp;aarstal+2-2000</f>
        <v>Bygningstilskudstakst i 2027/28</v>
      </c>
      <c r="B17" s="16">
        <f>B16</f>
        <v>2764</v>
      </c>
      <c r="D17" s="16"/>
      <c r="E17" s="16"/>
    </row>
    <row r="18" spans="1:8">
      <c r="B18" s="16"/>
      <c r="C18" s="16"/>
      <c r="D18" s="16"/>
      <c r="E18" s="16"/>
    </row>
    <row r="19" spans="1:8">
      <c r="A19" s="1" t="str">
        <f>"Bygningstilskud aug-dec "&amp;aarstal</f>
        <v>Bygningstilskud aug-dec 2026</v>
      </c>
      <c r="B19" s="26">
        <v>0</v>
      </c>
      <c r="C19" s="16"/>
      <c r="D19" s="16"/>
      <c r="E19" s="16"/>
    </row>
    <row r="20" spans="1:8">
      <c r="A20" s="1" t="str">
        <f>"Bygningstilskud jan-jul "&amp;aarstal+1</f>
        <v>Bygningstilskud jan-jul 2027</v>
      </c>
      <c r="B20" s="26">
        <f>B$17*'1.Driftstilskud'!$B$16*7/12</f>
        <v>0</v>
      </c>
      <c r="C20" s="16" t="s">
        <v>144</v>
      </c>
      <c r="D20" s="16"/>
      <c r="E20" s="16"/>
    </row>
    <row r="21" spans="1:8">
      <c r="A21" s="1" t="str">
        <f>"Bygningstilskud aug-dec "&amp;aarstal+1</f>
        <v>Bygningstilskud aug-dec 2027</v>
      </c>
      <c r="B21" s="26">
        <f>B$17*'1.Driftstilskud'!$B$16*5/12</f>
        <v>0</v>
      </c>
      <c r="C21" s="16" t="s">
        <v>144</v>
      </c>
      <c r="D21" s="16"/>
      <c r="E21" s="16"/>
    </row>
    <row r="22" spans="1:8">
      <c r="B22" s="16"/>
      <c r="C22" s="16"/>
      <c r="D22" s="16"/>
      <c r="E22" s="16"/>
    </row>
    <row r="23" spans="1:8">
      <c r="A23" s="433" t="s">
        <v>924</v>
      </c>
      <c r="B23" s="434"/>
      <c r="C23" s="434"/>
      <c r="D23" s="434"/>
      <c r="E23" s="16"/>
    </row>
    <row r="24" spans="1:8" ht="28" customHeight="1">
      <c r="A24" s="671" t="s">
        <v>925</v>
      </c>
      <c r="B24" s="671"/>
      <c r="C24" s="671"/>
      <c r="D24" s="16"/>
      <c r="E24" s="16"/>
    </row>
    <row r="25" spans="1:8">
      <c r="A25" s="10"/>
      <c r="B25" s="16"/>
      <c r="C25" s="16"/>
      <c r="D25" s="16"/>
      <c r="E25" s="353"/>
      <c r="F25" s="342"/>
      <c r="G25" s="342"/>
      <c r="H25" s="342"/>
    </row>
    <row r="26" spans="1:8" ht="14" thickBot="1">
      <c r="A26" s="433" t="s">
        <v>926</v>
      </c>
      <c r="B26" s="434"/>
      <c r="C26" s="434"/>
      <c r="D26" s="434"/>
      <c r="E26" s="16"/>
    </row>
    <row r="27" spans="1:8">
      <c r="A27" s="667" t="str">
        <f>"Antal SPS-elever pr. 5. september "&amp;Start!A1&amp;" (Elever der af PPR er vurderet til min. 12 lektioners specialundervisning."</f>
        <v>Antal SPS-elever pr. 5. september 2026 (Elever der af PPR er vurderet til min. 12 lektioners specialundervisning.</v>
      </c>
      <c r="B27" s="669"/>
      <c r="C27" s="16"/>
      <c r="D27" s="16"/>
      <c r="E27" s="353"/>
      <c r="F27" s="342"/>
      <c r="G27" s="342"/>
      <c r="H27" s="342"/>
    </row>
    <row r="28" spans="1:8">
      <c r="A28" s="668"/>
      <c r="B28" s="670"/>
      <c r="C28" s="16"/>
      <c r="D28" s="16"/>
      <c r="E28" s="353"/>
      <c r="F28" s="342"/>
      <c r="G28" s="342"/>
      <c r="H28" s="342"/>
    </row>
    <row r="29" spans="1:8" ht="14">
      <c r="A29" s="345" t="s">
        <v>411</v>
      </c>
      <c r="B29" s="346">
        <v>132168</v>
      </c>
      <c r="C29" s="16"/>
      <c r="D29" s="353"/>
      <c r="E29" s="342"/>
      <c r="F29" s="342"/>
      <c r="G29" s="342"/>
    </row>
    <row r="30" spans="1:8" ht="14">
      <c r="A30" s="345" t="s">
        <v>412</v>
      </c>
      <c r="B30" s="346">
        <v>118952</v>
      </c>
      <c r="C30" s="16"/>
      <c r="D30" s="353"/>
      <c r="E30" s="342"/>
      <c r="F30" s="342"/>
      <c r="G30" s="342"/>
    </row>
    <row r="31" spans="1:8" ht="14">
      <c r="A31" s="345" t="s">
        <v>413</v>
      </c>
      <c r="B31" s="346">
        <v>105735</v>
      </c>
      <c r="C31" s="16"/>
      <c r="D31" s="353"/>
      <c r="E31" s="342"/>
      <c r="F31" s="342"/>
      <c r="G31" s="342"/>
    </row>
    <row r="32" spans="1:8" ht="15" thickBot="1">
      <c r="A32" s="354" t="s">
        <v>410</v>
      </c>
      <c r="B32" s="355">
        <f>IF(B27&gt;0,B29,0)+IF(B27&gt;1,B30,0)+IF(B27&gt;2,B31*(B27-2),0)</f>
        <v>0</v>
      </c>
      <c r="C32" s="16" t="s">
        <v>144</v>
      </c>
      <c r="D32" s="16"/>
      <c r="E32" s="353"/>
      <c r="F32" s="342"/>
      <c r="G32" s="342"/>
      <c r="H32" s="342"/>
    </row>
    <row r="33" spans="1:8" ht="14">
      <c r="A33" s="351" t="str">
        <f>"SPS-tilskud aug-dec "&amp;aarstal&amp;""</f>
        <v>SPS-tilskud aug-dec 2026</v>
      </c>
      <c r="B33" s="352">
        <f>B32/12*5</f>
        <v>0</v>
      </c>
      <c r="C33" s="16" t="s">
        <v>414</v>
      </c>
      <c r="D33" s="16"/>
      <c r="E33" s="353"/>
      <c r="F33" s="342"/>
      <c r="G33" s="342"/>
      <c r="H33" s="342"/>
    </row>
    <row r="34" spans="1:8" ht="15" thickBot="1">
      <c r="A34" s="347" t="str">
        <f>"SPS-tilskud jan-dec "&amp;aarstal+1&amp;""</f>
        <v>SPS-tilskud jan-dec 2027</v>
      </c>
      <c r="B34" s="348">
        <f>B32</f>
        <v>0</v>
      </c>
      <c r="C34" s="16"/>
      <c r="D34" s="16"/>
      <c r="E34" s="353"/>
      <c r="F34" s="342"/>
      <c r="G34" s="342"/>
      <c r="H34" s="342"/>
    </row>
    <row r="35" spans="1:8">
      <c r="A35" s="349"/>
      <c r="B35" s="350"/>
      <c r="C35" s="16"/>
      <c r="D35" s="16"/>
      <c r="E35" s="353"/>
      <c r="F35" s="342"/>
      <c r="G35" s="342"/>
      <c r="H35" s="342"/>
    </row>
    <row r="36" spans="1:8">
      <c r="B36" s="16"/>
      <c r="C36" s="16"/>
      <c r="D36" s="382"/>
      <c r="E36" s="382">
        <v>135843</v>
      </c>
      <c r="F36" s="342"/>
      <c r="G36" s="342"/>
      <c r="H36" s="342"/>
    </row>
    <row r="37" spans="1:8" ht="27" customHeight="1">
      <c r="A37" s="672" t="s">
        <v>927</v>
      </c>
      <c r="B37" s="672"/>
      <c r="C37" s="672"/>
      <c r="D37" s="382"/>
      <c r="E37" s="382">
        <f>IF(elevtal&lt;=149,'2.Oevrige Statstilskud'!E36,"0")</f>
        <v>135843</v>
      </c>
      <c r="F37" s="342"/>
      <c r="G37" s="342"/>
      <c r="H37" s="342"/>
    </row>
    <row r="38" spans="1:8">
      <c r="A38" s="567" t="str">
        <f>"Inklusionstilskud aug-dec(Der ydes ikke inklusionstilskud de første 5 mdr.)"</f>
        <v>Inklusionstilskud aug-dec(Der ydes ikke inklusionstilskud de første 5 mdr.)</v>
      </c>
      <c r="B38" s="437">
        <v>0</v>
      </c>
      <c r="C38" s="438"/>
      <c r="D38" s="382"/>
      <c r="E38" s="382" t="str">
        <f>IF(AND(elevtal&gt;=150,elevtal&lt;=299),'2.Oevrige Statstilskud'!E36*80/100,"0")</f>
        <v>0</v>
      </c>
      <c r="F38" s="342"/>
      <c r="G38" s="342"/>
      <c r="H38" s="342"/>
    </row>
    <row r="39" spans="1:8">
      <c r="A39" s="436" t="str">
        <f>"Inklusionstilskud jan-jul "&amp;aarstal+1</f>
        <v>Inklusionstilskud jan-jul 2027</v>
      </c>
      <c r="B39" s="437">
        <f>E41/12*7</f>
        <v>79241.75</v>
      </c>
      <c r="C39" s="438" t="s">
        <v>144</v>
      </c>
      <c r="D39" s="382"/>
      <c r="E39" s="382" t="str">
        <f>IF(AND(elevtal&gt;=300,elevtal&lt;=450),'2.Oevrige Statstilskud'!E36*60/100,"0")</f>
        <v>0</v>
      </c>
      <c r="F39" s="342"/>
      <c r="G39" s="342"/>
      <c r="H39" s="342"/>
    </row>
    <row r="40" spans="1:8">
      <c r="A40" s="436" t="str">
        <f>"Inklusionstilskud aug-dec "&amp;aarstal+1</f>
        <v>Inklusionstilskud aug-dec 2027</v>
      </c>
      <c r="B40" s="437">
        <f>E41/12*5</f>
        <v>56601.25</v>
      </c>
      <c r="C40" s="438" t="s">
        <v>144</v>
      </c>
      <c r="D40" s="382"/>
      <c r="E40" s="382" t="str">
        <f>IF(elevtal&gt;450,'2.Oevrige Statstilskud'!#REF!*40/100,"0")</f>
        <v>0</v>
      </c>
      <c r="F40" s="342"/>
      <c r="G40" s="342"/>
      <c r="H40" s="342"/>
    </row>
    <row r="41" spans="1:8">
      <c r="B41" s="16"/>
      <c r="C41" s="16"/>
      <c r="D41" s="382"/>
      <c r="E41" s="382">
        <f>SUM(E37:E40)</f>
        <v>135843</v>
      </c>
      <c r="F41" s="342"/>
      <c r="G41" s="342"/>
      <c r="H41" s="342"/>
    </row>
    <row r="42" spans="1:8">
      <c r="A42" s="10" t="s">
        <v>270</v>
      </c>
      <c r="B42" s="16"/>
      <c r="C42" s="16"/>
      <c r="D42" s="382"/>
      <c r="E42" s="382"/>
      <c r="F42" s="342"/>
      <c r="G42" s="342"/>
      <c r="H42" s="342"/>
    </row>
    <row r="43" spans="1:8">
      <c r="A43" s="10" t="s">
        <v>147</v>
      </c>
      <c r="B43" s="16"/>
      <c r="C43" s="16"/>
      <c r="D43" s="16"/>
      <c r="E43" s="16"/>
    </row>
    <row r="44" spans="1:8">
      <c r="B44" s="16"/>
      <c r="C44" s="16"/>
      <c r="D44" s="16"/>
      <c r="E44" s="16"/>
    </row>
    <row r="45" spans="1:8">
      <c r="B45" s="16"/>
      <c r="C45" s="16"/>
      <c r="E45" s="16"/>
    </row>
    <row r="46" spans="1:8">
      <c r="B46" s="16"/>
      <c r="C46" s="16"/>
      <c r="E46" s="16"/>
    </row>
    <row r="47" spans="1:8">
      <c r="B47" s="16"/>
      <c r="C47" s="16"/>
      <c r="E47" s="16"/>
    </row>
    <row r="48" spans="1:8">
      <c r="B48" s="16"/>
      <c r="C48" s="16"/>
      <c r="E48" s="16"/>
    </row>
    <row r="49" spans="2:5">
      <c r="B49" s="16"/>
      <c r="C49" s="16"/>
      <c r="E49" s="16"/>
    </row>
    <row r="50" spans="2:5">
      <c r="B50" s="16"/>
      <c r="C50" s="16"/>
    </row>
  </sheetData>
  <sheetProtection sheet="1" formatCells="0" formatColumns="0" formatRows="0"/>
  <mergeCells count="4">
    <mergeCell ref="A27:A28"/>
    <mergeCell ref="B27:B28"/>
    <mergeCell ref="A24:C24"/>
    <mergeCell ref="A37:C37"/>
  </mergeCells>
  <phoneticPr fontId="32" type="noConversion"/>
  <hyperlinks>
    <hyperlink ref="D1" location="Budget!A1" display="til 'Budget'" xr:uid="{89CDAC9A-AF2E-524F-A952-982BBC11B6CA}"/>
  </hyperlinks>
  <pageMargins left="0.75" right="0.75" top="1" bottom="1" header="0.5" footer="0.5"/>
  <pageSetup paperSize="9"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5"/>
  <sheetViews>
    <sheetView zoomScale="136" zoomScaleNormal="75" zoomScalePageLayoutView="150" workbookViewId="0">
      <selection activeCell="F22" sqref="F22"/>
    </sheetView>
  </sheetViews>
  <sheetFormatPr baseColWidth="10" defaultColWidth="10.83203125" defaultRowHeight="13"/>
  <cols>
    <col min="1" max="1" width="13.5" style="1" customWidth="1"/>
    <col min="2" max="16384" width="10.83203125" style="1"/>
  </cols>
  <sheetData>
    <row r="1" spans="1:8">
      <c r="A1" s="35" t="s">
        <v>174</v>
      </c>
      <c r="H1" s="341" t="s">
        <v>399</v>
      </c>
    </row>
    <row r="2" spans="1:8" ht="21" thickBot="1">
      <c r="A2" s="439" t="s">
        <v>167</v>
      </c>
      <c r="B2" s="435"/>
      <c r="C2" s="435"/>
      <c r="D2" s="435"/>
      <c r="E2" s="435"/>
      <c r="F2" s="435"/>
      <c r="G2" s="440">
        <f>aarstal</f>
        <v>2026</v>
      </c>
      <c r="H2" s="435"/>
    </row>
    <row r="3" spans="1:8">
      <c r="A3" s="36"/>
      <c r="B3" s="37" t="s">
        <v>149</v>
      </c>
      <c r="C3" s="37" t="s">
        <v>150</v>
      </c>
      <c r="D3" s="37" t="s">
        <v>151</v>
      </c>
      <c r="E3" s="37" t="s">
        <v>152</v>
      </c>
      <c r="F3" s="37" t="s">
        <v>153</v>
      </c>
      <c r="G3" s="37" t="s">
        <v>154</v>
      </c>
      <c r="H3" s="38" t="s">
        <v>155</v>
      </c>
    </row>
    <row r="4" spans="1:8" ht="42">
      <c r="A4" s="39" t="s">
        <v>156</v>
      </c>
      <c r="B4" s="40" t="s">
        <v>157</v>
      </c>
      <c r="C4" s="40" t="s">
        <v>158</v>
      </c>
      <c r="D4" s="40" t="s">
        <v>172</v>
      </c>
      <c r="E4" s="40" t="s">
        <v>159</v>
      </c>
      <c r="F4" s="40" t="s">
        <v>160</v>
      </c>
      <c r="G4" s="40" t="s">
        <v>161</v>
      </c>
      <c r="H4" s="41" t="s">
        <v>162</v>
      </c>
    </row>
    <row r="5" spans="1:8">
      <c r="A5" s="42" t="s">
        <v>163</v>
      </c>
      <c r="B5" s="43"/>
      <c r="C5" s="69"/>
      <c r="D5" s="44">
        <f>B5</f>
        <v>0</v>
      </c>
      <c r="E5" s="45"/>
      <c r="F5" s="46"/>
      <c r="G5" s="47">
        <f>D5*E5*F5</f>
        <v>0</v>
      </c>
      <c r="H5" s="48">
        <f>C5*E5*F5</f>
        <v>0</v>
      </c>
    </row>
    <row r="6" spans="1:8">
      <c r="A6" s="42" t="s">
        <v>164</v>
      </c>
      <c r="B6" s="49"/>
      <c r="C6" s="46"/>
      <c r="D6" s="50">
        <f>B6-C6</f>
        <v>0</v>
      </c>
      <c r="E6" s="45"/>
      <c r="F6" s="46"/>
      <c r="G6" s="47">
        <f>D6*E6*F6</f>
        <v>0</v>
      </c>
      <c r="H6" s="48">
        <f>C6*E6*F6</f>
        <v>0</v>
      </c>
    </row>
    <row r="7" spans="1:8">
      <c r="A7" s="51" t="s">
        <v>165</v>
      </c>
      <c r="B7" s="52"/>
      <c r="C7" s="53"/>
      <c r="D7" s="54">
        <f>B7-C7</f>
        <v>0</v>
      </c>
      <c r="E7" s="55"/>
      <c r="F7" s="46"/>
      <c r="G7" s="56">
        <f>D7*E7*F7</f>
        <v>0</v>
      </c>
      <c r="H7" s="57">
        <f>C7*E7*F7</f>
        <v>0</v>
      </c>
    </row>
    <row r="8" spans="1:8" ht="14" thickBot="1">
      <c r="A8" s="58" t="s">
        <v>166</v>
      </c>
      <c r="B8" s="59"/>
      <c r="C8" s="59"/>
      <c r="D8" s="60"/>
      <c r="E8" s="61">
        <f>SUM(E5:E7)</f>
        <v>0</v>
      </c>
      <c r="F8" s="62"/>
      <c r="G8" s="61">
        <f>SUM(G5:G7)</f>
        <v>0</v>
      </c>
      <c r="H8" s="63">
        <f>SUM(H5:H7)</f>
        <v>0</v>
      </c>
    </row>
    <row r="9" spans="1:8">
      <c r="A9" s="64"/>
      <c r="B9" s="65"/>
      <c r="C9" s="65"/>
      <c r="D9" s="65"/>
      <c r="E9" s="65"/>
      <c r="F9" s="65"/>
      <c r="G9" s="65"/>
      <c r="H9" s="65"/>
    </row>
    <row r="10" spans="1:8" ht="21" thickBot="1">
      <c r="A10" s="439" t="s">
        <v>148</v>
      </c>
      <c r="B10" s="435"/>
      <c r="C10" s="435"/>
      <c r="D10" s="435"/>
      <c r="E10" s="435"/>
      <c r="F10" s="440"/>
      <c r="G10" s="440">
        <f>G2+1</f>
        <v>2027</v>
      </c>
      <c r="H10" s="435"/>
    </row>
    <row r="11" spans="1:8">
      <c r="A11" s="36"/>
      <c r="B11" s="37" t="s">
        <v>149</v>
      </c>
      <c r="C11" s="37" t="s">
        <v>150</v>
      </c>
      <c r="D11" s="37" t="s">
        <v>151</v>
      </c>
      <c r="E11" s="37" t="s">
        <v>152</v>
      </c>
      <c r="F11" s="37" t="s">
        <v>153</v>
      </c>
      <c r="G11" s="37" t="s">
        <v>154</v>
      </c>
      <c r="H11" s="38" t="s">
        <v>155</v>
      </c>
    </row>
    <row r="12" spans="1:8" ht="42">
      <c r="A12" s="39" t="s">
        <v>156</v>
      </c>
      <c r="B12" s="40" t="s">
        <v>157</v>
      </c>
      <c r="C12" s="40" t="s">
        <v>158</v>
      </c>
      <c r="D12" s="40" t="s">
        <v>172</v>
      </c>
      <c r="E12" s="40" t="s">
        <v>159</v>
      </c>
      <c r="F12" s="40" t="s">
        <v>160</v>
      </c>
      <c r="G12" s="40" t="s">
        <v>161</v>
      </c>
      <c r="H12" s="41" t="s">
        <v>162</v>
      </c>
    </row>
    <row r="13" spans="1:8">
      <c r="A13" s="42" t="s">
        <v>163</v>
      </c>
      <c r="B13" s="43"/>
      <c r="C13" s="69"/>
      <c r="D13" s="44">
        <f>B13</f>
        <v>0</v>
      </c>
      <c r="E13" s="66"/>
      <c r="F13" s="46"/>
      <c r="G13" s="47">
        <f>D13*E13*F13</f>
        <v>0</v>
      </c>
      <c r="H13" s="48">
        <f>C13*E13*F13</f>
        <v>0</v>
      </c>
    </row>
    <row r="14" spans="1:8">
      <c r="A14" s="42" t="s">
        <v>164</v>
      </c>
      <c r="B14" s="49"/>
      <c r="C14" s="46"/>
      <c r="D14" s="50">
        <f>B14-C14</f>
        <v>0</v>
      </c>
      <c r="E14" s="46"/>
      <c r="F14" s="46"/>
      <c r="G14" s="47">
        <f>D14*E14*F14</f>
        <v>0</v>
      </c>
      <c r="H14" s="48">
        <f>C14*E14*F14</f>
        <v>0</v>
      </c>
    </row>
    <row r="15" spans="1:8">
      <c r="A15" s="42" t="s">
        <v>165</v>
      </c>
      <c r="B15" s="49"/>
      <c r="C15" s="46"/>
      <c r="D15" s="54">
        <f>B15-C15</f>
        <v>0</v>
      </c>
      <c r="E15" s="46"/>
      <c r="F15" s="46"/>
      <c r="G15" s="47">
        <f>D15*E15*F15</f>
        <v>0</v>
      </c>
      <c r="H15" s="48">
        <f>C15*E15*F15</f>
        <v>0</v>
      </c>
    </row>
    <row r="16" spans="1:8" ht="14" thickBot="1">
      <c r="A16" s="58" t="s">
        <v>166</v>
      </c>
      <c r="B16" s="59"/>
      <c r="C16" s="59"/>
      <c r="D16" s="60"/>
      <c r="E16" s="67">
        <f>SUM(E13:E15)</f>
        <v>0</v>
      </c>
      <c r="F16" s="68"/>
      <c r="G16" s="67">
        <f>SUM(G13:G15)</f>
        <v>0</v>
      </c>
      <c r="H16" s="63">
        <f>SUM(H13:H15)</f>
        <v>0</v>
      </c>
    </row>
    <row r="18" spans="1:8" ht="21" thickBot="1">
      <c r="A18" s="439" t="s">
        <v>167</v>
      </c>
      <c r="B18" s="435"/>
      <c r="C18" s="435"/>
      <c r="D18" s="435"/>
      <c r="E18" s="435"/>
      <c r="F18" s="435"/>
      <c r="G18" s="440">
        <f>G10</f>
        <v>2027</v>
      </c>
      <c r="H18" s="435"/>
    </row>
    <row r="19" spans="1:8">
      <c r="A19" s="36"/>
      <c r="B19" s="37" t="s">
        <v>149</v>
      </c>
      <c r="C19" s="37" t="s">
        <v>150</v>
      </c>
      <c r="D19" s="37" t="s">
        <v>151</v>
      </c>
      <c r="E19" s="37" t="s">
        <v>152</v>
      </c>
      <c r="F19" s="37" t="s">
        <v>153</v>
      </c>
      <c r="G19" s="37" t="s">
        <v>154</v>
      </c>
      <c r="H19" s="38" t="s">
        <v>155</v>
      </c>
    </row>
    <row r="20" spans="1:8" ht="42">
      <c r="A20" s="39" t="s">
        <v>156</v>
      </c>
      <c r="B20" s="40" t="s">
        <v>157</v>
      </c>
      <c r="C20" s="40" t="s">
        <v>158</v>
      </c>
      <c r="D20" s="40" t="s">
        <v>172</v>
      </c>
      <c r="E20" s="40" t="s">
        <v>159</v>
      </c>
      <c r="F20" s="40" t="s">
        <v>160</v>
      </c>
      <c r="G20" s="40" t="s">
        <v>161</v>
      </c>
      <c r="H20" s="41" t="s">
        <v>162</v>
      </c>
    </row>
    <row r="21" spans="1:8">
      <c r="A21" s="42" t="s">
        <v>163</v>
      </c>
      <c r="B21" s="43"/>
      <c r="C21" s="69"/>
      <c r="D21" s="44">
        <f>B21</f>
        <v>0</v>
      </c>
      <c r="E21" s="45"/>
      <c r="F21" s="46"/>
      <c r="G21" s="47">
        <f>D21*E21*F21</f>
        <v>0</v>
      </c>
      <c r="H21" s="48">
        <f>C21*E21*F21</f>
        <v>0</v>
      </c>
    </row>
    <row r="22" spans="1:8">
      <c r="A22" s="42" t="s">
        <v>164</v>
      </c>
      <c r="B22" s="49"/>
      <c r="C22" s="46"/>
      <c r="D22" s="50">
        <f>B22-C22</f>
        <v>0</v>
      </c>
      <c r="E22" s="45"/>
      <c r="F22" s="46"/>
      <c r="G22" s="47">
        <f>D22*E22*F22</f>
        <v>0</v>
      </c>
      <c r="H22" s="48">
        <f>C22*E22*F22</f>
        <v>0</v>
      </c>
    </row>
    <row r="23" spans="1:8">
      <c r="A23" s="51" t="s">
        <v>165</v>
      </c>
      <c r="B23" s="52"/>
      <c r="C23" s="53"/>
      <c r="D23" s="54">
        <f>B23-C23</f>
        <v>0</v>
      </c>
      <c r="E23" s="55"/>
      <c r="F23" s="46"/>
      <c r="G23" s="56">
        <f>D23*E23*F23</f>
        <v>0</v>
      </c>
      <c r="H23" s="48">
        <f>C23*E23*F23</f>
        <v>0</v>
      </c>
    </row>
    <row r="24" spans="1:8" ht="14" thickBot="1">
      <c r="A24" s="58" t="s">
        <v>166</v>
      </c>
      <c r="B24" s="59"/>
      <c r="C24" s="59"/>
      <c r="D24" s="60"/>
      <c r="E24" s="61">
        <f>SUM(E21:E23)</f>
        <v>0</v>
      </c>
      <c r="F24" s="62"/>
      <c r="G24" s="61">
        <f>SUM(G21:G23)</f>
        <v>0</v>
      </c>
      <c r="H24" s="63">
        <f>SUM(H21:H23)</f>
        <v>0</v>
      </c>
    </row>
    <row r="25" spans="1:8">
      <c r="A25" s="64"/>
      <c r="B25" s="65"/>
      <c r="C25" s="65"/>
      <c r="D25" s="65"/>
      <c r="E25" s="65"/>
      <c r="F25" s="65"/>
      <c r="G25" s="65"/>
      <c r="H25" s="65"/>
    </row>
  </sheetData>
  <sheetProtection sheet="1" objects="1" scenarios="1" formatCells="0" formatColumns="0" formatRows="0"/>
  <dataValidations count="2">
    <dataValidation type="whole" allowBlank="1" showInputMessage="1" showErrorMessage="1" sqref="F5:F7 F21:F23" xr:uid="{1CFA2BC5-CEE8-D14E-8178-A37FEF717A2E}">
      <formula1>1</formula1>
      <formula2>5</formula2>
    </dataValidation>
    <dataValidation type="whole" allowBlank="1" showInputMessage="1" showErrorMessage="1" sqref="F13:F15" xr:uid="{5A6D0812-DD7C-D44C-8633-C5EE047C8796}">
      <formula1>1</formula1>
      <formula2>7</formula2>
    </dataValidation>
  </dataValidations>
  <hyperlinks>
    <hyperlink ref="H1" location="Budget!A1" display="til 'Budget'" xr:uid="{70EE506B-6383-6F48-918C-24F87BDFB30D}"/>
  </hyperlinks>
  <pageMargins left="0.75" right="0.75" top="1" bottom="1" header="0.5" footer="0.5"/>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
  <sheetViews>
    <sheetView zoomScaleNormal="75" zoomScalePageLayoutView="150" workbookViewId="0">
      <selection activeCell="E20" sqref="E20:F20"/>
    </sheetView>
  </sheetViews>
  <sheetFormatPr baseColWidth="10" defaultColWidth="10.83203125" defaultRowHeight="13"/>
  <cols>
    <col min="1" max="16384" width="10.83203125" style="1"/>
  </cols>
  <sheetData>
    <row r="1" spans="1:8">
      <c r="A1" s="35" t="s">
        <v>176</v>
      </c>
      <c r="H1" s="341" t="s">
        <v>399</v>
      </c>
    </row>
    <row r="3" spans="1:8" ht="21" thickBot="1">
      <c r="A3" s="439" t="s">
        <v>171</v>
      </c>
      <c r="B3" s="435"/>
      <c r="C3" s="435"/>
      <c r="D3" s="435"/>
      <c r="E3" s="435"/>
      <c r="F3" s="435"/>
      <c r="G3" s="440">
        <f>aarstal</f>
        <v>2026</v>
      </c>
      <c r="H3" s="435"/>
    </row>
    <row r="4" spans="1:8">
      <c r="A4" s="36"/>
      <c r="B4" s="37" t="s">
        <v>149</v>
      </c>
      <c r="C4" s="37" t="s">
        <v>150</v>
      </c>
      <c r="D4" s="37" t="s">
        <v>151</v>
      </c>
      <c r="E4" s="37" t="s">
        <v>152</v>
      </c>
      <c r="F4" s="37" t="s">
        <v>153</v>
      </c>
      <c r="G4" s="37" t="s">
        <v>154</v>
      </c>
      <c r="H4" s="38" t="s">
        <v>155</v>
      </c>
    </row>
    <row r="5" spans="1:8" ht="56">
      <c r="A5" s="39" t="s">
        <v>156</v>
      </c>
      <c r="B5" s="40" t="s">
        <v>168</v>
      </c>
      <c r="C5" s="40" t="s">
        <v>158</v>
      </c>
      <c r="D5" s="40" t="s">
        <v>173</v>
      </c>
      <c r="E5" s="40" t="s">
        <v>159</v>
      </c>
      <c r="F5" s="40" t="s">
        <v>169</v>
      </c>
      <c r="G5" s="40" t="s">
        <v>170</v>
      </c>
      <c r="H5" s="41" t="s">
        <v>162</v>
      </c>
    </row>
    <row r="6" spans="1:8">
      <c r="A6" s="42" t="s">
        <v>163</v>
      </c>
      <c r="B6" s="70"/>
      <c r="C6" s="80"/>
      <c r="D6" s="44">
        <f>B6</f>
        <v>0</v>
      </c>
      <c r="E6" s="71"/>
      <c r="F6" s="72"/>
      <c r="G6" s="73">
        <f>D6*E6*F6</f>
        <v>0</v>
      </c>
      <c r="H6" s="74">
        <v>0</v>
      </c>
    </row>
    <row r="7" spans="1:8">
      <c r="A7" s="42" t="s">
        <v>164</v>
      </c>
      <c r="B7" s="70"/>
      <c r="C7" s="72"/>
      <c r="D7" s="50">
        <f>B7-C7</f>
        <v>0</v>
      </c>
      <c r="E7" s="71"/>
      <c r="F7" s="72"/>
      <c r="G7" s="73">
        <f>D7*E7*F7</f>
        <v>0</v>
      </c>
      <c r="H7" s="74">
        <v>0</v>
      </c>
    </row>
    <row r="8" spans="1:8" ht="14" thickBot="1">
      <c r="A8" s="58" t="s">
        <v>166</v>
      </c>
      <c r="B8" s="75"/>
      <c r="C8" s="75"/>
      <c r="D8" s="76"/>
      <c r="E8" s="77">
        <f>SUM(E6:E7)</f>
        <v>0</v>
      </c>
      <c r="F8" s="78"/>
      <c r="G8" s="77">
        <f>SUM(G6:G7)</f>
        <v>0</v>
      </c>
      <c r="H8" s="79">
        <f>SUM(H6:H7)</f>
        <v>0</v>
      </c>
    </row>
    <row r="10" spans="1:8" ht="21" thickBot="1">
      <c r="A10" s="439" t="s">
        <v>175</v>
      </c>
      <c r="B10" s="435"/>
      <c r="C10" s="435"/>
      <c r="D10" s="435"/>
      <c r="E10" s="435"/>
      <c r="F10" s="435"/>
      <c r="G10" s="440">
        <f>aarstal+1</f>
        <v>2027</v>
      </c>
      <c r="H10" s="435"/>
    </row>
    <row r="11" spans="1:8">
      <c r="A11" s="36"/>
      <c r="B11" s="37" t="s">
        <v>149</v>
      </c>
      <c r="C11" s="37" t="s">
        <v>150</v>
      </c>
      <c r="D11" s="37" t="s">
        <v>151</v>
      </c>
      <c r="E11" s="37" t="s">
        <v>152</v>
      </c>
      <c r="F11" s="37" t="s">
        <v>153</v>
      </c>
      <c r="G11" s="37" t="s">
        <v>154</v>
      </c>
      <c r="H11" s="38" t="s">
        <v>155</v>
      </c>
    </row>
    <row r="12" spans="1:8" ht="56">
      <c r="A12" s="39" t="s">
        <v>156</v>
      </c>
      <c r="B12" s="40" t="s">
        <v>168</v>
      </c>
      <c r="C12" s="40" t="s">
        <v>158</v>
      </c>
      <c r="D12" s="40" t="s">
        <v>173</v>
      </c>
      <c r="E12" s="40" t="s">
        <v>159</v>
      </c>
      <c r="F12" s="40" t="s">
        <v>169</v>
      </c>
      <c r="G12" s="40" t="s">
        <v>170</v>
      </c>
      <c r="H12" s="41" t="s">
        <v>162</v>
      </c>
    </row>
    <row r="13" spans="1:8">
      <c r="A13" s="42" t="s">
        <v>163</v>
      </c>
      <c r="B13" s="70"/>
      <c r="C13" s="80"/>
      <c r="D13" s="44">
        <f>B13</f>
        <v>0</v>
      </c>
      <c r="E13" s="71"/>
      <c r="F13" s="72"/>
      <c r="G13" s="73">
        <f>D13*E13*F13</f>
        <v>0</v>
      </c>
      <c r="H13" s="74">
        <v>0</v>
      </c>
    </row>
    <row r="14" spans="1:8">
      <c r="A14" s="42" t="s">
        <v>164</v>
      </c>
      <c r="B14" s="70"/>
      <c r="C14" s="72"/>
      <c r="D14" s="50">
        <f>B14-C14</f>
        <v>0</v>
      </c>
      <c r="E14" s="71"/>
      <c r="F14" s="72"/>
      <c r="G14" s="73">
        <f>D14*E14*F14</f>
        <v>0</v>
      </c>
      <c r="H14" s="74">
        <v>0</v>
      </c>
    </row>
    <row r="15" spans="1:8" ht="14" thickBot="1">
      <c r="A15" s="58" t="s">
        <v>166</v>
      </c>
      <c r="B15" s="75"/>
      <c r="C15" s="75"/>
      <c r="D15" s="76"/>
      <c r="E15" s="77">
        <f>SUM(E13:E14)</f>
        <v>0</v>
      </c>
      <c r="F15" s="78"/>
      <c r="G15" s="77">
        <f>SUM(G13:G14)</f>
        <v>0</v>
      </c>
      <c r="H15" s="79">
        <f>SUM(H13:H14)</f>
        <v>0</v>
      </c>
    </row>
    <row r="17" spans="1:8" ht="21" thickBot="1">
      <c r="A17" s="439" t="s">
        <v>171</v>
      </c>
      <c r="B17" s="435"/>
      <c r="C17" s="435"/>
      <c r="D17" s="435"/>
      <c r="E17" s="435"/>
      <c r="F17" s="435"/>
      <c r="G17" s="440">
        <f>aarstal+1</f>
        <v>2027</v>
      </c>
      <c r="H17" s="435"/>
    </row>
    <row r="18" spans="1:8">
      <c r="A18" s="36"/>
      <c r="B18" s="37" t="s">
        <v>149</v>
      </c>
      <c r="C18" s="37" t="s">
        <v>150</v>
      </c>
      <c r="D18" s="37" t="s">
        <v>151</v>
      </c>
      <c r="E18" s="37" t="s">
        <v>152</v>
      </c>
      <c r="F18" s="37" t="s">
        <v>153</v>
      </c>
      <c r="G18" s="37" t="s">
        <v>154</v>
      </c>
      <c r="H18" s="38" t="s">
        <v>155</v>
      </c>
    </row>
    <row r="19" spans="1:8" ht="56">
      <c r="A19" s="39" t="s">
        <v>156</v>
      </c>
      <c r="B19" s="40" t="s">
        <v>168</v>
      </c>
      <c r="C19" s="40" t="s">
        <v>158</v>
      </c>
      <c r="D19" s="40" t="s">
        <v>173</v>
      </c>
      <c r="E19" s="40" t="s">
        <v>159</v>
      </c>
      <c r="F19" s="40" t="s">
        <v>169</v>
      </c>
      <c r="G19" s="40" t="s">
        <v>170</v>
      </c>
      <c r="H19" s="41" t="s">
        <v>162</v>
      </c>
    </row>
    <row r="20" spans="1:8">
      <c r="A20" s="42" t="s">
        <v>163</v>
      </c>
      <c r="B20" s="70"/>
      <c r="C20" s="80"/>
      <c r="D20" s="44">
        <f>B20</f>
        <v>0</v>
      </c>
      <c r="E20" s="71"/>
      <c r="F20" s="72"/>
      <c r="G20" s="47">
        <f>D20*E20*F20</f>
        <v>0</v>
      </c>
      <c r="H20" s="74">
        <v>0</v>
      </c>
    </row>
    <row r="21" spans="1:8">
      <c r="A21" s="42" t="s">
        <v>164</v>
      </c>
      <c r="B21" s="70"/>
      <c r="C21" s="72"/>
      <c r="D21" s="50">
        <f>B21-C21</f>
        <v>0</v>
      </c>
      <c r="E21" s="71"/>
      <c r="F21" s="72"/>
      <c r="G21" s="47">
        <f>D21*E21*F21</f>
        <v>0</v>
      </c>
      <c r="H21" s="74">
        <v>0</v>
      </c>
    </row>
    <row r="22" spans="1:8" ht="14" thickBot="1">
      <c r="A22" s="58" t="s">
        <v>166</v>
      </c>
      <c r="B22" s="75"/>
      <c r="C22" s="75"/>
      <c r="D22" s="76"/>
      <c r="E22" s="77">
        <f>SUM(E20:E21)</f>
        <v>0</v>
      </c>
      <c r="F22" s="78"/>
      <c r="G22" s="77">
        <f>SUM(G20:G21)</f>
        <v>0</v>
      </c>
      <c r="H22" s="79">
        <f>SUM(H20:H21)</f>
        <v>0</v>
      </c>
    </row>
  </sheetData>
  <sheetProtection sheet="1" objects="1" scenarios="1" formatCells="0" formatColumns="0" formatRows="0"/>
  <dataValidations count="2">
    <dataValidation type="whole" allowBlank="1" showInputMessage="1" showErrorMessage="1" sqref="F6:F7 F20:F21 F14" xr:uid="{35FB45F7-9074-5A47-A272-3DEC5F1DE738}">
      <formula1>1</formula1>
      <formula2>5</formula2>
    </dataValidation>
    <dataValidation type="whole" allowBlank="1" showInputMessage="1" showErrorMessage="1" sqref="F13" xr:uid="{DF425607-1277-1044-BF42-AEB3EF72EE5F}">
      <formula1>1</formula1>
      <formula2>7</formula2>
    </dataValidation>
  </dataValidations>
  <hyperlinks>
    <hyperlink ref="H1" location="Budget!A1" display="til 'Budget'" xr:uid="{8C89D857-87DB-1A4F-B91C-BA7DFC7F7DD0}"/>
  </hyperlinks>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21</vt:i4>
      </vt:variant>
      <vt:variant>
        <vt:lpstr>Navngivne områder</vt:lpstr>
      </vt:variant>
      <vt:variant>
        <vt:i4>4</vt:i4>
      </vt:variant>
    </vt:vector>
  </HeadingPairs>
  <TitlesOfParts>
    <vt:vector size="25" baseType="lpstr">
      <vt:lpstr>Start</vt:lpstr>
      <vt:lpstr>Vejledning</vt:lpstr>
      <vt:lpstr>Regnskabsdata</vt:lpstr>
      <vt:lpstr>Likviditet.1</vt:lpstr>
      <vt:lpstr>Budget</vt:lpstr>
      <vt:lpstr>1.Driftstilskud</vt:lpstr>
      <vt:lpstr>2.Oevrige Statstilskud</vt:lpstr>
      <vt:lpstr>3.Skolepenge</vt:lpstr>
      <vt:lpstr>4.Foraeldrebetaling,SFO</vt:lpstr>
      <vt:lpstr>5.Andre_Indt</vt:lpstr>
      <vt:lpstr>7.Loen,Uv</vt:lpstr>
      <vt:lpstr>8.Loen,SFO</vt:lpstr>
      <vt:lpstr>9.Uv.</vt:lpstr>
      <vt:lpstr>10.SFOudg.</vt:lpstr>
      <vt:lpstr>12.Ejd.loen</vt:lpstr>
      <vt:lpstr>13.Lokaleleje</vt:lpstr>
      <vt:lpstr>14.Ejendom</vt:lpstr>
      <vt:lpstr>20.Adm.loen</vt:lpstr>
      <vt:lpstr>21.Adm</vt:lpstr>
      <vt:lpstr>22.Dagtilbud</vt:lpstr>
      <vt:lpstr>Likviditet</vt:lpstr>
      <vt:lpstr>elevtal</vt:lpstr>
      <vt:lpstr>reg</vt:lpstr>
      <vt:lpstr>region</vt:lpstr>
      <vt:lpstr>aarstal</vt:lpstr>
    </vt:vector>
  </TitlesOfParts>
  <Company>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 Mikkelsen</dc:creator>
  <cp:lastModifiedBy>Tove Dohn</cp:lastModifiedBy>
  <cp:lastPrinted>2017-12-19T14:33:37Z</cp:lastPrinted>
  <dcterms:created xsi:type="dcterms:W3CDTF">2014-05-12T13:18:39Z</dcterms:created>
  <dcterms:modified xsi:type="dcterms:W3CDTF">2025-09-08T09:39:29Z</dcterms:modified>
</cp:coreProperties>
</file>